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570" windowHeight="81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4" i="1" l="1"/>
  <c r="G440" i="1"/>
  <c r="J468" i="1"/>
  <c r="D9" i="13"/>
  <c r="G611" i="1"/>
  <c r="H604" i="1"/>
  <c r="G526" i="1"/>
  <c r="H522" i="1"/>
  <c r="K531" i="1"/>
  <c r="H526" i="1"/>
  <c r="F526" i="1"/>
  <c r="J521" i="1"/>
  <c r="I521" i="1"/>
  <c r="F521" i="1"/>
  <c r="H521" i="1"/>
  <c r="G521" i="1"/>
  <c r="I358" i="1"/>
  <c r="G358" i="1"/>
  <c r="F358" i="1"/>
  <c r="K285" i="1"/>
  <c r="H282" i="1"/>
  <c r="G282" i="1"/>
  <c r="F282" i="1"/>
  <c r="J277" i="1"/>
  <c r="I277" i="1"/>
  <c r="J276" i="1"/>
  <c r="G276" i="1"/>
  <c r="F276" i="1"/>
  <c r="I205" i="1"/>
  <c r="I203" i="1"/>
  <c r="I202" i="1"/>
  <c r="H208" i="1"/>
  <c r="H204" i="1"/>
  <c r="H202" i="1"/>
  <c r="G204" i="1"/>
  <c r="G202" i="1"/>
  <c r="G200" i="1"/>
  <c r="G198" i="1"/>
  <c r="F202" i="1"/>
  <c r="F204" i="1"/>
  <c r="F200" i="1"/>
  <c r="F198" i="1"/>
  <c r="H159" i="1"/>
  <c r="H155" i="1"/>
  <c r="H150" i="1"/>
  <c r="G97" i="1"/>
  <c r="F110" i="1"/>
  <c r="F12" i="1"/>
  <c r="F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/>
  <c r="L200" i="1"/>
  <c r="C112" i="2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/>
  <c r="L223" i="1"/>
  <c r="L241" i="1"/>
  <c r="F14" i="13"/>
  <c r="G14" i="13"/>
  <c r="L207" i="1"/>
  <c r="C20" i="10"/>
  <c r="L225" i="1"/>
  <c r="L243" i="1"/>
  <c r="F15" i="13"/>
  <c r="G15" i="13"/>
  <c r="L208" i="1"/>
  <c r="L226" i="1"/>
  <c r="L244" i="1"/>
  <c r="H662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/>
  <c r="L359" i="1"/>
  <c r="L360" i="1"/>
  <c r="I367" i="1"/>
  <c r="J290" i="1"/>
  <c r="J309" i="1"/>
  <c r="J328" i="1"/>
  <c r="K290" i="1"/>
  <c r="K309" i="1"/>
  <c r="K328" i="1"/>
  <c r="L276" i="1"/>
  <c r="C10" i="10"/>
  <c r="L277" i="1"/>
  <c r="L278" i="1"/>
  <c r="L279" i="1"/>
  <c r="L281" i="1"/>
  <c r="L282" i="1"/>
  <c r="E119" i="2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/>
  <c r="L341" i="1"/>
  <c r="L342" i="1"/>
  <c r="L255" i="1"/>
  <c r="F22" i="13"/>
  <c r="C22" i="13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/>
  <c r="C138" i="2"/>
  <c r="L390" i="1"/>
  <c r="L391" i="1"/>
  <c r="L392" i="1"/>
  <c r="L395" i="1"/>
  <c r="L396" i="1"/>
  <c r="L397" i="1"/>
  <c r="L398" i="1"/>
  <c r="L401" i="1"/>
  <c r="C139" i="2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56" i="2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J140" i="1"/>
  <c r="F147" i="1"/>
  <c r="C85" i="2"/>
  <c r="F162" i="1"/>
  <c r="G147" i="1"/>
  <c r="G162" i="1"/>
  <c r="H147" i="1"/>
  <c r="E85" i="2"/>
  <c r="H162" i="1"/>
  <c r="I147" i="1"/>
  <c r="I162" i="1"/>
  <c r="I169" i="1"/>
  <c r="C11" i="10"/>
  <c r="C13" i="10"/>
  <c r="C18" i="10"/>
  <c r="L250" i="1"/>
  <c r="L332" i="1"/>
  <c r="E113" i="2"/>
  <c r="L254" i="1"/>
  <c r="L268" i="1"/>
  <c r="L269" i="1"/>
  <c r="C143" i="2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51" i="1"/>
  <c r="L347" i="1"/>
  <c r="K351" i="1"/>
  <c r="L521" i="1"/>
  <c r="F549" i="1"/>
  <c r="L522" i="1"/>
  <c r="F550" i="1"/>
  <c r="L523" i="1"/>
  <c r="F551" i="1"/>
  <c r="L526" i="1"/>
  <c r="G549" i="1"/>
  <c r="G552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I552" i="1"/>
  <c r="L537" i="1"/>
  <c r="I550" i="1"/>
  <c r="L538" i="1"/>
  <c r="I551" i="1"/>
  <c r="L541" i="1"/>
  <c r="J549" i="1"/>
  <c r="J552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G22" i="2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C79" i="2"/>
  <c r="D79" i="2"/>
  <c r="E79" i="2"/>
  <c r="C80" i="2"/>
  <c r="E80" i="2"/>
  <c r="D85" i="2"/>
  <c r="D91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C114" i="2"/>
  <c r="E114" i="2"/>
  <c r="D115" i="2"/>
  <c r="F115" i="2"/>
  <c r="G115" i="2"/>
  <c r="E118" i="2"/>
  <c r="E120" i="2"/>
  <c r="E121" i="2"/>
  <c r="E122" i="2"/>
  <c r="E123" i="2"/>
  <c r="E124" i="2"/>
  <c r="C125" i="2"/>
  <c r="E125" i="2"/>
  <c r="F128" i="2"/>
  <c r="G128" i="2"/>
  <c r="E130" i="2"/>
  <c r="F130" i="2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G158" i="2" s="1"/>
  <c r="C158" i="2"/>
  <c r="D158" i="2"/>
  <c r="E158" i="2"/>
  <c r="F158" i="2"/>
  <c r="B159" i="2"/>
  <c r="C159" i="2"/>
  <c r="G159" i="2" s="1"/>
  <c r="D159" i="2"/>
  <c r="E159" i="2"/>
  <c r="F159" i="2"/>
  <c r="B160" i="2"/>
  <c r="G160" i="2" s="1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G162" i="2" s="1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G164" i="2" s="1"/>
  <c r="H503" i="1"/>
  <c r="D164" i="2"/>
  <c r="I503" i="1"/>
  <c r="E164" i="2"/>
  <c r="J503" i="1"/>
  <c r="F164" i="2"/>
  <c r="F19" i="1"/>
  <c r="G19" i="1"/>
  <c r="G618" i="1"/>
  <c r="H19" i="1"/>
  <c r="G619" i="1"/>
  <c r="I19" i="1"/>
  <c r="F32" i="1"/>
  <c r="F52" i="1"/>
  <c r="G32" i="1"/>
  <c r="G52" i="1"/>
  <c r="H618" i="1"/>
  <c r="H32" i="1"/>
  <c r="I32" i="1"/>
  <c r="H617" i="1"/>
  <c r="H51" i="1"/>
  <c r="I51" i="1"/>
  <c r="F177" i="1"/>
  <c r="I177" i="1"/>
  <c r="F183" i="1"/>
  <c r="G183" i="1"/>
  <c r="H183" i="1"/>
  <c r="I183" i="1"/>
  <c r="J183" i="1"/>
  <c r="J192" i="1"/>
  <c r="F188" i="1"/>
  <c r="G188" i="1"/>
  <c r="G192" i="1"/>
  <c r="H188" i="1"/>
  <c r="I188" i="1"/>
  <c r="F211" i="1"/>
  <c r="G211" i="1"/>
  <c r="H211" i="1"/>
  <c r="I211" i="1"/>
  <c r="J211" i="1"/>
  <c r="J257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/>
  <c r="G352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K352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L381" i="1"/>
  <c r="L382" i="1"/>
  <c r="G636" i="1"/>
  <c r="J636" i="1"/>
  <c r="F382" i="1"/>
  <c r="G382" i="1"/>
  <c r="H382" i="1"/>
  <c r="I382" i="1"/>
  <c r="J382" i="1"/>
  <c r="K382" i="1"/>
  <c r="F393" i="1"/>
  <c r="G393" i="1"/>
  <c r="H393" i="1"/>
  <c r="I393" i="1"/>
  <c r="I408" i="1"/>
  <c r="F401" i="1"/>
  <c r="G401" i="1"/>
  <c r="H401" i="1"/>
  <c r="H408" i="1"/>
  <c r="H644" i="1"/>
  <c r="I401" i="1"/>
  <c r="F407" i="1"/>
  <c r="G407" i="1"/>
  <c r="G408" i="1"/>
  <c r="H645" i="1"/>
  <c r="H407" i="1"/>
  <c r="I407" i="1"/>
  <c r="F408" i="1"/>
  <c r="H643" i="1"/>
  <c r="L413" i="1"/>
  <c r="L414" i="1"/>
  <c r="L415" i="1"/>
  <c r="L419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G640" i="1"/>
  <c r="H446" i="1"/>
  <c r="F452" i="1"/>
  <c r="F461" i="1"/>
  <c r="H639" i="1"/>
  <c r="G452" i="1"/>
  <c r="H452" i="1"/>
  <c r="F460" i="1"/>
  <c r="G460" i="1"/>
  <c r="G461" i="1"/>
  <c r="H640" i="1"/>
  <c r="H460" i="1"/>
  <c r="H461" i="1"/>
  <c r="H641" i="1"/>
  <c r="F470" i="1"/>
  <c r="G470" i="1"/>
  <c r="H470" i="1"/>
  <c r="H476" i="1"/>
  <c r="H624" i="1"/>
  <c r="I470" i="1"/>
  <c r="J470" i="1"/>
  <c r="F474" i="1"/>
  <c r="G474" i="1"/>
  <c r="G476" i="1"/>
  <c r="H623" i="1"/>
  <c r="H474" i="1"/>
  <c r="I474" i="1"/>
  <c r="I476" i="1"/>
  <c r="H625" i="1"/>
  <c r="J625" i="1"/>
  <c r="J474" i="1"/>
  <c r="J476" i="1"/>
  <c r="H626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/>
  <c r="K560" i="1"/>
  <c r="L562" i="1"/>
  <c r="L563" i="1"/>
  <c r="L564" i="1"/>
  <c r="L565" i="1"/>
  <c r="F565" i="1"/>
  <c r="G565" i="1"/>
  <c r="H565" i="1"/>
  <c r="I565" i="1"/>
  <c r="I571" i="1"/>
  <c r="J565" i="1"/>
  <c r="K565" i="1"/>
  <c r="L567" i="1"/>
  <c r="L570" i="1"/>
  <c r="L568" i="1"/>
  <c r="L569" i="1"/>
  <c r="F570" i="1"/>
  <c r="G570" i="1"/>
  <c r="H570" i="1"/>
  <c r="H571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/>
  <c r="G643" i="1"/>
  <c r="J643" i="1"/>
  <c r="G644" i="1"/>
  <c r="G645" i="1"/>
  <c r="G650" i="1"/>
  <c r="G651" i="1"/>
  <c r="J651" i="1"/>
  <c r="G652" i="1"/>
  <c r="H652" i="1"/>
  <c r="G653" i="1"/>
  <c r="H653" i="1"/>
  <c r="G654" i="1"/>
  <c r="H654" i="1"/>
  <c r="H655" i="1"/>
  <c r="J655" i="1"/>
  <c r="C26" i="10"/>
  <c r="L328" i="1"/>
  <c r="D18" i="13"/>
  <c r="C18" i="13"/>
  <c r="D17" i="13"/>
  <c r="C17" i="13"/>
  <c r="G161" i="2"/>
  <c r="D19" i="13"/>
  <c r="C19" i="13"/>
  <c r="E78" i="2"/>
  <c r="H112" i="1"/>
  <c r="H140" i="1"/>
  <c r="H338" i="1"/>
  <c r="H352" i="1"/>
  <c r="H192" i="1"/>
  <c r="L309" i="1"/>
  <c r="G36" i="2"/>
  <c r="J634" i="1"/>
  <c r="J644" i="1"/>
  <c r="G62" i="2"/>
  <c r="G63" i="2"/>
  <c r="A40" i="12"/>
  <c r="A13" i="12"/>
  <c r="K605" i="1"/>
  <c r="G648" i="1"/>
  <c r="H545" i="1"/>
  <c r="F552" i="1"/>
  <c r="H661" i="1"/>
  <c r="D29" i="13"/>
  <c r="C29" i="13"/>
  <c r="D127" i="2"/>
  <c r="D128" i="2"/>
  <c r="D145" i="2"/>
  <c r="G661" i="1"/>
  <c r="I661" i="1"/>
  <c r="L362" i="1"/>
  <c r="C27" i="10"/>
  <c r="C19" i="10"/>
  <c r="E128" i="2"/>
  <c r="L290" i="1"/>
  <c r="C16" i="10"/>
  <c r="C15" i="10"/>
  <c r="J338" i="1"/>
  <c r="J352" i="1"/>
  <c r="C124" i="2"/>
  <c r="C110" i="2"/>
  <c r="L247" i="1"/>
  <c r="C109" i="2"/>
  <c r="H25" i="13"/>
  <c r="C25" i="13"/>
  <c r="C132" i="2"/>
  <c r="C32" i="10"/>
  <c r="D7" i="13"/>
  <c r="C7" i="13"/>
  <c r="E16" i="13"/>
  <c r="C16" i="13"/>
  <c r="D14" i="13"/>
  <c r="C14" i="13"/>
  <c r="G649" i="1"/>
  <c r="J649" i="1"/>
  <c r="C118" i="2"/>
  <c r="I257" i="1"/>
  <c r="I271" i="1"/>
  <c r="C130" i="2"/>
  <c r="H257" i="1"/>
  <c r="H271" i="1"/>
  <c r="F662" i="1"/>
  <c r="I662" i="1"/>
  <c r="C21" i="10"/>
  <c r="C119" i="2"/>
  <c r="D15" i="13"/>
  <c r="C15" i="13"/>
  <c r="H647" i="1"/>
  <c r="E13" i="13"/>
  <c r="C13" i="13"/>
  <c r="A31" i="12"/>
  <c r="D5" i="13"/>
  <c r="C5" i="13"/>
  <c r="C111" i="2"/>
  <c r="C115" i="2"/>
  <c r="C122" i="2"/>
  <c r="D12" i="13"/>
  <c r="C12" i="13"/>
  <c r="D6" i="13"/>
  <c r="C6" i="13"/>
  <c r="C123" i="2"/>
  <c r="L211" i="1"/>
  <c r="F660" i="1"/>
  <c r="E8" i="13"/>
  <c r="C8" i="13"/>
  <c r="C17" i="10"/>
  <c r="C120" i="2"/>
  <c r="E115" i="2"/>
  <c r="E103" i="2"/>
  <c r="K545" i="1"/>
  <c r="G545" i="1"/>
  <c r="L433" i="1"/>
  <c r="F338" i="1"/>
  <c r="F352" i="1"/>
  <c r="I52" i="1"/>
  <c r="H620" i="1"/>
  <c r="C18" i="2"/>
  <c r="F18" i="2"/>
  <c r="L270" i="1"/>
  <c r="K549" i="1"/>
  <c r="K551" i="1"/>
  <c r="J639" i="1"/>
  <c r="J545" i="1"/>
  <c r="J623" i="1"/>
  <c r="L427" i="1"/>
  <c r="L434" i="1"/>
  <c r="G638" i="1"/>
  <c r="J638" i="1"/>
  <c r="K257" i="1"/>
  <c r="K271" i="1"/>
  <c r="G257" i="1"/>
  <c r="G271" i="1"/>
  <c r="G156" i="2"/>
  <c r="D50" i="2"/>
  <c r="D51" i="2"/>
  <c r="C29" i="10"/>
  <c r="K550" i="1"/>
  <c r="K598" i="1"/>
  <c r="G647" i="1"/>
  <c r="F571" i="1"/>
  <c r="K571" i="1"/>
  <c r="L560" i="1"/>
  <c r="I545" i="1"/>
  <c r="K503" i="1"/>
  <c r="F476" i="1"/>
  <c r="H622" i="1"/>
  <c r="J622" i="1"/>
  <c r="L256" i="1"/>
  <c r="F257" i="1"/>
  <c r="F271" i="1"/>
  <c r="G81" i="2"/>
  <c r="F78" i="2"/>
  <c r="F81" i="2"/>
  <c r="D62" i="2"/>
  <c r="D63" i="2"/>
  <c r="E62" i="2"/>
  <c r="H169" i="1"/>
  <c r="D81" i="2"/>
  <c r="F192" i="1"/>
  <c r="C91" i="2"/>
  <c r="C70" i="2"/>
  <c r="C62" i="2"/>
  <c r="C63" i="2"/>
  <c r="F112" i="1"/>
  <c r="C35" i="10"/>
  <c r="C36" i="10"/>
  <c r="E31" i="2"/>
  <c r="H52" i="1"/>
  <c r="H619" i="1"/>
  <c r="D31" i="2"/>
  <c r="D18" i="2"/>
  <c r="J617" i="1"/>
  <c r="J645" i="1"/>
  <c r="J640" i="1"/>
  <c r="J271" i="1"/>
  <c r="L544" i="1"/>
  <c r="L524" i="1"/>
  <c r="H552" i="1"/>
  <c r="F169" i="1"/>
  <c r="E81" i="2"/>
  <c r="H660" i="1"/>
  <c r="G624" i="1"/>
  <c r="J624" i="1"/>
  <c r="L534" i="1"/>
  <c r="K500" i="1"/>
  <c r="I460" i="1"/>
  <c r="I452" i="1"/>
  <c r="I461" i="1"/>
  <c r="H642" i="1"/>
  <c r="I446" i="1"/>
  <c r="G642" i="1"/>
  <c r="C78" i="2"/>
  <c r="C81" i="2" s="1"/>
  <c r="C104" i="2" s="1"/>
  <c r="E56" i="2"/>
  <c r="E63" i="2"/>
  <c r="L614" i="1"/>
  <c r="L529" i="1"/>
  <c r="L337" i="1"/>
  <c r="F62" i="2"/>
  <c r="F63" i="2"/>
  <c r="C23" i="10"/>
  <c r="G163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L338" i="1"/>
  <c r="L352" i="1"/>
  <c r="G633" i="1"/>
  <c r="J633" i="1"/>
  <c r="C24" i="10"/>
  <c r="G660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J654" i="1"/>
  <c r="J653" i="1"/>
  <c r="F144" i="2"/>
  <c r="F145" i="2"/>
  <c r="G21" i="2"/>
  <c r="G31" i="2"/>
  <c r="J32" i="1"/>
  <c r="J434" i="1"/>
  <c r="F434" i="1"/>
  <c r="K434" i="1"/>
  <c r="G134" i="2"/>
  <c r="G144" i="2"/>
  <c r="G145" i="2"/>
  <c r="F31" i="13"/>
  <c r="F33" i="13"/>
  <c r="J193" i="1"/>
  <c r="G646" i="1"/>
  <c r="F104" i="2"/>
  <c r="H193" i="1"/>
  <c r="G629" i="1"/>
  <c r="J629" i="1"/>
  <c r="G169" i="1"/>
  <c r="G140" i="1"/>
  <c r="F140" i="1"/>
  <c r="F193" i="1" s="1"/>
  <c r="G627" i="1" s="1"/>
  <c r="J618" i="1"/>
  <c r="G42" i="2"/>
  <c r="G50" i="2"/>
  <c r="G51" i="2"/>
  <c r="J51" i="1"/>
  <c r="G16" i="2"/>
  <c r="J19" i="1"/>
  <c r="G621" i="1"/>
  <c r="G18" i="2"/>
  <c r="F545" i="1"/>
  <c r="H434" i="1"/>
  <c r="J620" i="1"/>
  <c r="J619" i="1"/>
  <c r="D103" i="2"/>
  <c r="I140" i="1"/>
  <c r="A22" i="12"/>
  <c r="H648" i="1"/>
  <c r="J652" i="1"/>
  <c r="G571" i="1"/>
  <c r="I434" i="1"/>
  <c r="G434" i="1"/>
  <c r="I663" i="1"/>
  <c r="J642" i="1"/>
  <c r="H646" i="1"/>
  <c r="J646" i="1"/>
  <c r="J648" i="1"/>
  <c r="K552" i="1"/>
  <c r="H664" i="1"/>
  <c r="H667" i="1"/>
  <c r="G635" i="1"/>
  <c r="J635" i="1"/>
  <c r="G664" i="1"/>
  <c r="E145" i="2"/>
  <c r="H672" i="1"/>
  <c r="C6" i="10"/>
  <c r="H33" i="13"/>
  <c r="J647" i="1"/>
  <c r="F664" i="1"/>
  <c r="F667" i="1" s="1"/>
  <c r="C128" i="2"/>
  <c r="C145" i="2"/>
  <c r="L257" i="1"/>
  <c r="L271" i="1"/>
  <c r="G632" i="1"/>
  <c r="J632" i="1"/>
  <c r="E33" i="13"/>
  <c r="D35" i="13"/>
  <c r="I193" i="1"/>
  <c r="G630" i="1"/>
  <c r="J630" i="1"/>
  <c r="C28" i="10"/>
  <c r="D24" i="10"/>
  <c r="E104" i="2"/>
  <c r="C39" i="10"/>
  <c r="D104" i="2"/>
  <c r="D31" i="13"/>
  <c r="C31" i="13"/>
  <c r="L545" i="1"/>
  <c r="G104" i="2"/>
  <c r="I660" i="1"/>
  <c r="I664" i="1"/>
  <c r="I667" i="1" s="1"/>
  <c r="C51" i="2"/>
  <c r="G631" i="1"/>
  <c r="J631" i="1"/>
  <c r="G193" i="1"/>
  <c r="G628" i="1"/>
  <c r="J628" i="1"/>
  <c r="G626" i="1"/>
  <c r="J626" i="1"/>
  <c r="J52" i="1"/>
  <c r="H621" i="1"/>
  <c r="J621" i="1"/>
  <c r="G672" i="1"/>
  <c r="C5" i="10"/>
  <c r="G667" i="1"/>
  <c r="D11" i="10"/>
  <c r="D10" i="10"/>
  <c r="D21" i="10"/>
  <c r="D20" i="10"/>
  <c r="D16" i="10"/>
  <c r="D15" i="10"/>
  <c r="D23" i="10"/>
  <c r="D13" i="10"/>
  <c r="C30" i="10"/>
  <c r="D19" i="10"/>
  <c r="D26" i="10"/>
  <c r="D25" i="10"/>
  <c r="D22" i="10"/>
  <c r="D33" i="13"/>
  <c r="D36" i="13"/>
  <c r="D27" i="10"/>
  <c r="D18" i="10"/>
  <c r="D17" i="10"/>
  <c r="D12" i="10"/>
  <c r="D28" i="10"/>
  <c r="F672" i="1" l="1"/>
  <c r="C4" i="10" s="1"/>
  <c r="I672" i="1"/>
  <c r="C7" i="10" s="1"/>
  <c r="J627" i="1"/>
  <c r="H656" i="1"/>
  <c r="C38" i="10"/>
  <c r="C41" i="10" l="1"/>
  <c r="D38" i="10"/>
  <c r="D36" i="10" l="1"/>
  <c r="D40" i="10"/>
  <c r="D37" i="10"/>
  <c r="D39" i="10"/>
  <c r="D35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<sst xmlns="http://schemas.openxmlformats.org/spreadsheetml/2006/main" count="3961" uniqueCount="917">
  <si>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</si>
  <si>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</si>
  <si>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</si>
  <si>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</si>
  <si>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</si>
  <si>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</si>
  <si>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</si>
  <si>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</si>
  <si>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</si>
  <si>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</si>
  <si>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</si>
  <si>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</si>
  <si>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</si>
  <si>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</si>
  <si>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</si>
  <si>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</si>
  <si>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</si>
  <si>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</si>
  <si>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</si>
  <si>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</si>
  <si>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</si>
  <si>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</si>
  <si>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</si>
  <si>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</si>
  <si>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</si>
  <si>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</si>
  <si>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</si>
  <si>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</si>
  <si>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</si>
  <si>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</si>
  <si>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</si>
  <si>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</si>
  <si>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</si>
  <si>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</si>
  <si>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</si>
  <si>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</si>
  <si>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</si>
  <si>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</si>
  <si>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</si>
  <si>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</si>
  <si>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</si>
  <si>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</si>
  <si>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</si>
  <si>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</si>
  <si>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</si>
  <si>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</si>
  <si>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</si>
  <si>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</si>
  <si>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</si>
  <si>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</si>
  <si>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</si>
  <si>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</si>
  <si>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</si>
  <si>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</si>
  <si>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</si>
  <si>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</si>
  <si>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</si>
  <si>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</si>
  <si>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</si>
  <si>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</si>
  <si>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</si>
  <si>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</si>
  <si>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</si>
  <si>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</si>
  <si>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</si>
  <si>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</si>
  <si>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</si>
  <si>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</si>
  <si>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</si>
  <si>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</si>
  <si>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</si>
  <si>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</si>
  <si>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</si>
  <si>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</si>
  <si>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</si>
  <si>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</si>
  <si>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</si>
  <si>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</si>
  <si>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</si>
  <si>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</si>
  <si>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</si>
  <si>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</si>
  <si>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</si>
  <si>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</si>
  <si>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</si>
  <si>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</si>
  <si>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</si>
  <si>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</si>
  <si>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</si>
  <si>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</si>
  <si>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</si>
  <si>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</si>
  <si>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</si>
  <si>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</si>
  <si>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</si>
  <si>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</si>
  <si>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</si>
  <si>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</si>
  <si>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</si>
  <si>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</si>
  <si>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</si>
  <si>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</si>
  <si>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</si>
  <si>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</si>
  <si>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</si>
  <si>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</si>
  <si>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</si>
  <si>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</si>
  <si>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</si>
  <si>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</si>
  <si>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</si>
  <si>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</si>
  <si>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</si>
  <si>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</si>
  <si>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</si>
  <si>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</si>
  <si>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</si>
  <si>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</si>
  <si>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</si>
  <si>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</si>
  <si>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</si>
  <si>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</si>
  <si>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</si>
  <si>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</si>
  <si>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</si>
  <si>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</si>
  <si>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</si>
  <si>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</si>
  <si>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</si>
  <si>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</si>
  <si>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</si>
  <si>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</si>
  <si>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</si>
  <si>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</si>
  <si>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</si>
  <si>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</si>
  <si>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</si>
  <si>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</si>
  <si>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</si>
  <si>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</si>
  <si>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</si>
  <si>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</si>
  <si>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</si>
  <si>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</si>
  <si>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</si>
  <si>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</si>
  <si>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</si>
  <si>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</si>
  <si>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</si>
  <si>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</si>
  <si>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</si>
  <si>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</si>
  <si>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</si>
  <si>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</si>
  <si>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</si>
  <si>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</si>
  <si>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</si>
  <si>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</si>
  <si>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</si>
  <si>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</si>
  <si>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</si>
  <si>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</si>
  <si>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</si>
  <si>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</si>
  <si>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</si>
  <si>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</si>
  <si>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</si>
  <si>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</si>
  <si>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</si>
  <si>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</si>
  <si>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</si>
  <si>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</si>
  <si>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</si>
  <si>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</si>
  <si>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</si>
  <si>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</si>
  <si>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</si>
  <si>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</si>
  <si>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</si>
  <si>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</si>
  <si>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</si>
  <si>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</si>
  <si>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</si>
  <si>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</si>
  <si>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</si>
  <si>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</si>
  <si>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</si>
  <si>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</si>
  <si>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</si>
  <si>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</si>
  <si>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</si>
  <si>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</si>
  <si>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</si>
  <si>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</si>
  <si>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</si>
  <si>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</si>
  <si>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</si>
  <si>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</si>
  <si>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</si>
  <si>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</si>
  <si>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</si>
  <si>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</si>
  <si>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</si>
  <si>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</si>
  <si>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</si>
  <si>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</si>
  <si>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</si>
  <si>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</si>
  <si>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</si>
  <si>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</si>
  <si>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</si>
  <si>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</si>
  <si>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</si>
  <si>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</si>
  <si>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</si>
  <si>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</si>
  <si>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</si>
  <si>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</si>
  <si>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</si>
  <si>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</si>
  <si>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</si>
  <si>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</si>
  <si>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</si>
  <si>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</si>
  <si>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</si>
  <si>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</si>
  <si>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</si>
  <si>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</si>
  <si>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</si>
  <si>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</si>
  <si>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</si>
  <si>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</si>
  <si>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</si>
  <si>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</si>
  <si>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</si>
  <si>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</si>
  <si>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</si>
  <si>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</si>
  <si>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</si>
  <si>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</si>
  <si>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</si>
  <si>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</si>
  <si>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</si>
  <si>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</si>
  <si>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</si>
  <si>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</si>
  <si>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</si>
  <si>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</si>
  <si>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</si>
  <si>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</si>
  <si>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</si>
  <si>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</si>
  <si>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</si>
  <si>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</si>
  <si>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</si>
  <si>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</si>
  <si>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</si>
  <si>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</si>
  <si>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</si>
  <si>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</si>
  <si>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</si>
  <si>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</si>
  <si>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</si>
  <si>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</si>
  <si>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</si>
  <si>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</si>
  <si>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</si>
  <si>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</si>
  <si>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</si>
  <si>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</si>
  <si>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</si>
  <si>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</si>
  <si>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</si>
  <si>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</si>
  <si>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</si>
  <si>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</si>
  <si>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</si>
  <si>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</si>
  <si>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</si>
  <si>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</si>
  <si>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</si>
  <si>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</si>
  <si>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</si>
  <si>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</si>
  <si>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</si>
  <si>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</si>
  <si>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</si>
  <si>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</si>
  <si>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</si>
  <si>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</si>
  <si>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</si>
  <si>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</si>
  <si>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</si>
  <si>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</si>
  <si>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</si>
  <si>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</si>
  <si>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</si>
  <si>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</si>
  <si>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</si>
  <si>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</si>
  <si>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</si>
  <si>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</si>
  <si>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</si>
  <si>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</si>
  <si>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</si>
  <si>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</si>
  <si>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</si>
  <si>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</si>
  <si>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</si>
  <si>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</si>
  <si>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</si>
  <si>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</si>
  <si>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</si>
  <si>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</si>
  <si>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</si>
  <si>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</si>
  <si>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</si>
  <si>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</si>
  <si>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</si>
  <si>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</si>
  <si>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</si>
  <si>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</si>
  <si>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</si>
  <si>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</si>
  <si>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</si>
  <si>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</si>
  <si>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</si>
  <si>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</si>
  <si>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</si>
  <si>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</si>
  <si>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</si>
  <si>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</si>
  <si>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</si>
  <si>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</si>
  <si>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</si>
  <si>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</si>
  <si>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</si>
  <si>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</si>
  <si>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</si>
  <si>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</si>
  <si>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</si>
  <si>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</si>
  <si>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</si>
  <si>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</si>
  <si>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</si>
  <si>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</si>
  <si>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</si>
  <si>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</si>
  <si>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</si>
  <si>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</si>
  <si>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</si>
  <si>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</si>
  <si>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</si>
  <si>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</si>
  <si>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</si>
  <si>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</si>
  <si>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</si>
  <si>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</si>
  <si>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</si>
  <si>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</si>
  <si>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</si>
  <si>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</si>
  <si>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</si>
  <si>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</si>
  <si>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</si>
  <si>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</si>
  <si>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</si>
  <si>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</si>
  <si>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</si>
  <si>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</si>
  <si>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</si>
  <si>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</si>
  <si>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</si>
  <si>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</si>
  <si>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</si>
  <si>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</si>
  <si>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</si>
  <si>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</si>
  <si>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</si>
  <si>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</si>
  <si>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</si>
  <si>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</si>
  <si>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</si>
  <si>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</si>
  <si>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</si>
  <si>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</si>
  <si>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</si>
  <si>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</si>
  <si>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</si>
  <si>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</si>
  <si>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</si>
  <si>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</si>
  <si>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</si>
  <si>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</si>
  <si>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</si>
  <si>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</si>
  <si>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</si>
  <si>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</si>
  <si>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</si>
  <si>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</si>
  <si>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</si>
  <si>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</si>
  <si>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</si>
  <si>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</si>
  <si>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</si>
  <si>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</si>
  <si>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</si>
  <si>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</si>
  <si>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</si>
  <si>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</si>
  <si>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</si>
  <si>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</si>
  <si>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</si>
  <si>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</si>
  <si>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</si>
  <si>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</si>
  <si>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</si>
  <si>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</si>
  <si>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</si>
  <si>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</si>
  <si>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</si>
  <si>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</si>
  <si>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</si>
  <si>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</si>
  <si>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</si>
  <si>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</si>
  <si>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</si>
  <si>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</si>
  <si>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</si>
  <si>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</si>
  <si>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</si>
  <si>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</si>
  <si>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</si>
  <si>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</si>
  <si>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</si>
  <si>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</si>
  <si>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</si>
  <si>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</si>
  <si>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</si>
  <si>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</si>
  <si>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</si>
  <si>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</si>
  <si>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</si>
  <si>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</si>
  <si>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</si>
  <si>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</si>
  <si>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</si>
  <si>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</si>
  <si>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</si>
  <si>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</si>
  <si>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</si>
  <si>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</si>
  <si>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</si>
  <si>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</si>
  <si>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</si>
  <si>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</si>
  <si>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</si>
  <si>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</si>
  <si>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</si>
  <si>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</si>
  <si>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</si>
  <si>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</si>
  <si>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</si>
  <si>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</si>
  <si>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</si>
  <si>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</si>
  <si>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</si>
  <si>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</si>
  <si>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</si>
  <si>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</si>
  <si>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</si>
  <si>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</si>
  <si>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</si>
  <si>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</si>
  <si>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</si>
  <si>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</si>
  <si>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</si>
  <si>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</si>
  <si>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</si>
  <si>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</si>
  <si>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</si>
  <si>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</si>
  <si>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</si>
  <si>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</si>
  <si>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</si>
  <si>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</si>
  <si>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</si>
  <si>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</si>
  <si>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</si>
  <si>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</si>
  <si>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</si>
  <si>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</si>
  <si>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</si>
  <si>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</si>
  <si>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</si>
  <si>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</si>
  <si>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</si>
  <si>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</si>
  <si>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</si>
  <si>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</si>
  <si>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</si>
  <si>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</si>
  <si>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</si>
  <si>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</si>
  <si>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</si>
  <si>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</si>
  <si>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</si>
  <si>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</si>
  <si>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</si>
  <si>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</si>
  <si>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</si>
  <si>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</si>
  <si>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</si>
  <si>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</si>
  <si>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</si>
  <si>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</si>
  <si>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</si>
  <si>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</si>
  <si>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</si>
  <si>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</si>
  <si>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</si>
  <si>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</si>
  <si>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</si>
  <si>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</si>
  <si>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</si>
  <si>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</si>
  <si>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</si>
  <si>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</si>
  <si>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</si>
  <si>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</si>
  <si>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</si>
  <si>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</si>
  <si>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</si>
  <si>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</si>
  <si>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</si>
  <si>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</si>
  <si>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</si>
  <si>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</si>
  <si>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</si>
  <si>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</si>
  <si>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</si>
  <si>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</si>
  <si>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</si>
  <si>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</si>
  <si>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</si>
  <si>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</si>
  <si>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</si>
  <si>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</si>
  <si>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</si>
  <si>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</si>
  <si>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</si>
  <si>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</si>
  <si>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</si>
  <si>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</si>
  <si>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</si>
  <si>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</si>
  <si>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</si>
  <si>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</si>
  <si>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</si>
  <si>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</si>
  <si>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</si>
  <si>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</si>
  <si>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</si>
  <si>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</si>
  <si>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</si>
  <si>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</si>
  <si>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</si>
  <si>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</si>
  <si>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</si>
  <si>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</si>
  <si>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</si>
  <si>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</si>
  <si>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</si>
  <si>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</si>
  <si>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</si>
  <si>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</si>
  <si>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</si>
  <si>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</si>
  <si>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</si>
  <si>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</si>
  <si>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</si>
  <si>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</si>
  <si>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</si>
  <si>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</si>
  <si>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</si>
  <si>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</si>
  <si>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</si>
  <si>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</si>
  <si>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</si>
  <si>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</si>
  <si>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</si>
  <si>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</si>
  <si>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</si>
  <si>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</si>
  <si>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</si>
  <si>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</si>
  <si>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</si>
  <si>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</si>
  <si>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</si>
  <si>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</si>
  <si>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</si>
  <si>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</si>
  <si>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</si>
  <si>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</si>
  <si>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</si>
  <si>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</si>
  <si>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</si>
  <si>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</si>
  <si>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</si>
  <si>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</si>
  <si>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</si>
  <si>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</si>
  <si>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</si>
  <si>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</si>
  <si>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</si>
  <si>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</si>
  <si>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</si>
  <si>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</si>
  <si>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</si>
  <si>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</si>
  <si>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</si>
  <si>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</si>
  <si>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</si>
  <si>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</si>
  <si>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</si>
  <si>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</si>
  <si>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</si>
  <si>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</si>
  <si>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</si>
  <si>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</si>
  <si>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</si>
  <si>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</si>
  <si>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</si>
  <si>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</si>
  <si>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</si>
  <si>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</si>
  <si>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</si>
  <si>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</si>
  <si>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</si>
  <si>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</si>
  <si>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</si>
  <si>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</si>
  <si>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</si>
  <si>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</si>
  <si>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</si>
  <si>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</si>
  <si>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</si>
  <si>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</si>
  <si>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</si>
  <si>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</si>
  <si>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</si>
  <si>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</si>
  <si>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</si>
  <si>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</si>
  <si>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</si>
  <si>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</si>
  <si>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</si>
  <si>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</si>
  <si>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</si>
  <si>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</si>
  <si>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</si>
  <si>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</si>
  <si>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</si>
  <si>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</si>
  <si>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</si>
  <si>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</si>
  <si>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</si>
  <si>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</si>
  <si>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</si>
  <si>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</si>
  <si>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</si>
  <si>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</si>
  <si>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</si>
  <si>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</si>
  <si>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</si>
  <si>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</si>
  <si>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</si>
  <si>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</si>
  <si>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</si>
  <si>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</si>
  <si>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</si>
  <si>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</si>
  <si>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</si>
  <si>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</si>
  <si>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</si>
  <si>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</si>
  <si>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</si>
  <si>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</si>
  <si>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</si>
  <si>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</si>
  <si>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</si>
  <si>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</si>
  <si>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</si>
  <si>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</si>
  <si>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</si>
  <si>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</si>
  <si>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</si>
  <si>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</si>
  <si>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</si>
  <si>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</si>
  <si>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</si>
  <si>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</si>
  <si>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</si>
  <si>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</si>
  <si>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</si>
  <si>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</si>
  <si>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</si>
  <si>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</si>
  <si>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</si>
  <si>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</si>
  <si>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</si>
  <si>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</si>
  <si>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</si>
  <si>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</si>
  <si>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</si>
  <si>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</si>
  <si>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</si>
  <si>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</si>
  <si>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</si>
  <si>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</si>
  <si>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</si>
  <si>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</si>
  <si>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</si>
  <si>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</si>
  <si>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</si>
  <si>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</si>
  <si>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</si>
  <si>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</si>
  <si>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</si>
  <si>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</si>
  <si>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</si>
  <si>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</si>
  <si>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</si>
  <si>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</si>
  <si>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</si>
  <si>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</si>
  <si>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</si>
  <si>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</si>
  <si>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</si>
  <si>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</si>
  <si>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</si>
  <si>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</si>
  <si>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</si>
  <si>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</si>
  <si>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</si>
  <si>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</si>
  <si>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</si>
  <si>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</si>
  <si>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</si>
  <si>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</si>
  <si>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</si>
  <si>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</si>
  <si>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</si>
  <si>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</si>
  <si>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</si>
  <si>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</si>
  <si>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</si>
  <si>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</si>
  <si>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</si>
  <si>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</si>
  <si>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</si>
  <si>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</si>
  <si>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</si>
  <si>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</si>
  <si>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</si>
  <si>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</si>
  <si>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</si>
  <si>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</si>
  <si>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</si>
  <si>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</si>
  <si>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</si>
  <si>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</si>
  <si>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</si>
  <si>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</si>
  <si>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</si>
  <si>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</si>
  <si>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</si>
  <si>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</si>
  <si>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</si>
  <si>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</si>
  <si>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</si>
  <si>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</si>
  <si>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</si>
  <si>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</si>
  <si>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</si>
  <si>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</si>
  <si>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</si>
  <si>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</si>
  <si>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</si>
  <si>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</si>
  <si>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</si>
  <si>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</si>
  <si>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</si>
  <si>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</si>
  <si>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</si>
  <si>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</si>
  <si>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</si>
  <si>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</si>
  <si>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</si>
  <si>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</si>
  <si>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</si>
  <si>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</si>
  <si>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</si>
  <si>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</si>
  <si>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</si>
  <si>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</si>
  <si>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</si>
  <si>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</si>
  <si>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</si>
  <si>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</si>
  <si>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</si>
  <si>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</si>
  <si>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</si>
  <si>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</si>
  <si>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</si>
  <si>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</si>
  <si>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</si>
  <si>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</si>
  <si>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</si>
  <si>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</si>
  <si>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</si>
  <si>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</si>
  <si>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</si>
  <si>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</si>
  <si>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</si>
  <si>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</si>
  <si>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</si>
  <si>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</si>
  <si>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</si>
  <si>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</si>
  <si>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</si>
  <si>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</si>
  <si>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</si>
  <si>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</si>
  <si>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</si>
  <si>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</si>
  <si>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</si>
  <si>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</si>
  <si>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</si>
  <si>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</si>
  <si>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</si>
  <si>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</si>
  <si>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</si>
  <si>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</si>
  <si>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</si>
  <si>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</si>
  <si>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</si>
  <si>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</si>
  <si>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</si>
  <si>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</si>
  <si>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</si>
  <si>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</si>
  <si>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</si>
  <si>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</si>
  <si>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</si>
  <si>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</si>
  <si>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</si>
  <si>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</si>
  <si>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</si>
  <si>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</si>
  <si>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</si>
  <si>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</si>
  <si>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</si>
  <si>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</si>
  <si>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</si>
  <si>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</si>
  <si>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</si>
  <si>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</si>
  <si>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</si>
  <si>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</si>
  <si>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</si>
  <si>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</si>
  <si>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</si>
  <si>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</si>
  <si>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</si>
  <si>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</si>
  <si>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</si>
  <si>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</si>
  <si>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</si>
  <si>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</si>
  <si>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</si>
  <si>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</si>
  <si>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</si>
  <si>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</si>
  <si>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</si>
  <si>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</si>
  <si>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</si>
  <si>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</si>
  <si>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</si>
  <si>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</si>
  <si>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</si>
  <si>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</si>
  <si>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</si>
  <si>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</si>
  <si>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</si>
  <si>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</si>
  <si>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</si>
  <si>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</si>
  <si>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</si>
  <si>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</si>
  <si>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</si>
  <si>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</si>
  <si>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</si>
  <si>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</si>
  <si>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</si>
  <si>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</si>
  <si>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</si>
  <si>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</si>
  <si>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</si>
  <si>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</si>
  <si>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</si>
  <si>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</si>
  <si>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Westmoreland </t>
  </si>
  <si>
    <t>08/07</t>
  </si>
  <si>
    <t>08/15</t>
  </si>
  <si>
    <t>08/17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</si>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</sst>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topLeftCell="A636" zoomScale="120" zoomScaleNormal="120" workbookViewId="0">
      <selection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563</v>
      </c>
      <c r="C2" s="21">
        <v>563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176087.97-47589.93</f>
        <v>128498.04000000001</v>
      </c>
      <c r="G9" s="18">
        <v>0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4067.65</v>
      </c>
      <c r="G10" s="18"/>
      <c r="H10" s="18"/>
      <c r="I10" s="18"/>
      <c r="J10" s="67">
        <f>SUM(I440)</f>
        <v>252240.69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1127+17615.77</f>
        <v>18742.77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250.42</v>
      </c>
      <c r="G13" s="18">
        <v>1462.29</v>
      </c>
      <c r="H13" s="18">
        <v>-18801.599999999999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8</v>
      </c>
      <c r="G14" s="18">
        <v>848.6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151566.88</v>
      </c>
      <c r="G19" s="41">
        <f>SUM(G9:G18)</f>
        <v>2310.89</v>
      </c>
      <c r="H19" s="41">
        <f>SUM(H9:H18)</f>
        <v>-18801.599999999999</v>
      </c>
      <c r="I19" s="41">
        <f>SUM(I9:I18)</f>
        <v>0</v>
      </c>
      <c r="J19" s="41">
        <f>SUM(J9:J18)</f>
        <v>252240.69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1127</v>
      </c>
      <c r="H22" s="18">
        <v>-26638.77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2863.37</v>
      </c>
      <c r="G23" s="18"/>
      <c r="H23" s="18">
        <v>7837.17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8150.12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1833.75</v>
      </c>
      <c r="G28" s="18">
        <v>213.78</v>
      </c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970.11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12847.24</v>
      </c>
      <c r="G32" s="41">
        <f>SUM(G22:G31)</f>
        <v>2310.89</v>
      </c>
      <c r="H32" s="41">
        <f>SUM(H22:H31)</f>
        <v>-18801.599999999999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29206.52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252240.69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84513.12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138719.64000000001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252240.69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151566.88</v>
      </c>
      <c r="G52" s="41">
        <f>G51+G32</f>
        <v>2310.89</v>
      </c>
      <c r="H52" s="41">
        <f>H51+H32</f>
        <v>-18801.599999999999</v>
      </c>
      <c r="I52" s="41">
        <f>I51+I32</f>
        <v>0</v>
      </c>
      <c r="J52" s="41">
        <f>J51+J32</f>
        <v>252240.69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2497091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2497091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800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856.07</v>
      </c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1656.0700000000002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1955.96</v>
      </c>
      <c r="G96" s="18"/>
      <c r="H96" s="18"/>
      <c r="I96" s="18"/>
      <c r="J96" s="18">
        <v>3069.62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28471.74+1932.3</f>
        <v>30404.04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4640.54+3199.94</f>
        <v>7840.48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9796.4399999999987</v>
      </c>
      <c r="G111" s="41">
        <f>SUM(G96:G110)</f>
        <v>30404.04</v>
      </c>
      <c r="H111" s="41">
        <f>SUM(H96:H110)</f>
        <v>0</v>
      </c>
      <c r="I111" s="41">
        <f>SUM(I96:I110)</f>
        <v>0</v>
      </c>
      <c r="J111" s="41">
        <f>SUM(J96:J110)</f>
        <v>3069.62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2508543.5099999998</v>
      </c>
      <c r="G112" s="41">
        <f>G60+G111</f>
        <v>30404.04</v>
      </c>
      <c r="H112" s="41">
        <f>H60+H79+H94+H111</f>
        <v>0</v>
      </c>
      <c r="I112" s="41">
        <f>I60+I111</f>
        <v>0</v>
      </c>
      <c r="J112" s="41">
        <f>J60+J111</f>
        <v>3069.62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740137.63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367705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1109236.17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12150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33435.39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575.08000000000004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45585.39</v>
      </c>
      <c r="G136" s="41">
        <f>SUM(G123:G135)</f>
        <v>575.08000000000004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1154821.5599999998</v>
      </c>
      <c r="G140" s="41">
        <f>G121+SUM(G136:G137)</f>
        <v>575.08000000000004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f>9116.01+7754.32</f>
        <v>16870.330000000002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17205.78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2487.9+14193+5113.8+3577.15</f>
        <v>25371.850000000002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18547.88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4383.33+34271.57</f>
        <v>38654.9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18501.3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18501.3</v>
      </c>
      <c r="G162" s="41">
        <f>SUM(G150:G161)</f>
        <v>18547.88</v>
      </c>
      <c r="H162" s="41">
        <f>SUM(H150:H161)</f>
        <v>98102.860000000015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18501.3</v>
      </c>
      <c r="G169" s="41">
        <f>G147+G162+SUM(G163:G168)</f>
        <v>18547.88</v>
      </c>
      <c r="H169" s="41">
        <f>H147+H162+SUM(H163:H168)</f>
        <v>98102.860000000015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48012.87</v>
      </c>
      <c r="H179" s="18"/>
      <c r="I179" s="18"/>
      <c r="J179" s="18">
        <v>28900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48012.87</v>
      </c>
      <c r="H183" s="41">
        <f>SUM(H179:H182)</f>
        <v>0</v>
      </c>
      <c r="I183" s="41">
        <f>SUM(I179:I182)</f>
        <v>0</v>
      </c>
      <c r="J183" s="41">
        <f>SUM(J179:J182)</f>
        <v>28900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15000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15000</v>
      </c>
      <c r="G192" s="41">
        <f>G183+SUM(G188:G191)</f>
        <v>48012.87</v>
      </c>
      <c r="H192" s="41">
        <f>+H183+SUM(H188:H191)</f>
        <v>0</v>
      </c>
      <c r="I192" s="41">
        <f>I177+I183+SUM(I188:I191)</f>
        <v>0</v>
      </c>
      <c r="J192" s="41">
        <f>J183</f>
        <v>28900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3696866.3699999992</v>
      </c>
      <c r="G193" s="47">
        <f>G112+G140+G169+G192</f>
        <v>97539.87</v>
      </c>
      <c r="H193" s="47">
        <f>H112+H140+H169+H192</f>
        <v>98102.860000000015</v>
      </c>
      <c r="I193" s="47">
        <f>I112+I140+I169+I192</f>
        <v>0</v>
      </c>
      <c r="J193" s="47">
        <f>J112+J140+J192</f>
        <v>31969.62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694719.99</v>
      </c>
      <c r="G197" s="18">
        <v>330515.59999999998</v>
      </c>
      <c r="H197" s="18">
        <v>0</v>
      </c>
      <c r="I197" s="18">
        <v>16095.31</v>
      </c>
      <c r="J197" s="18">
        <v>6011.45</v>
      </c>
      <c r="K197" s="18">
        <v>0</v>
      </c>
      <c r="L197" s="19">
        <f>SUM(F197:K197)</f>
        <v>1047342.35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145876.39+8600.02</f>
        <v>154476.41</v>
      </c>
      <c r="G198" s="18">
        <f>76094.34+689.78</f>
        <v>76784.12</v>
      </c>
      <c r="H198" s="18">
        <v>101723.5</v>
      </c>
      <c r="I198" s="18">
        <v>1006.28</v>
      </c>
      <c r="J198" s="18">
        <v>500.03</v>
      </c>
      <c r="K198" s="18">
        <v>0</v>
      </c>
      <c r="L198" s="19">
        <f>SUM(F198:K198)</f>
        <v>334490.34000000008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2550.62</v>
      </c>
      <c r="I199" s="18">
        <v>0</v>
      </c>
      <c r="J199" s="18">
        <v>0</v>
      </c>
      <c r="K199" s="18">
        <v>0</v>
      </c>
      <c r="L199" s="19">
        <f>SUM(F199:K199)</f>
        <v>2550.62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15555.89+775</f>
        <v>16330.89</v>
      </c>
      <c r="G200" s="18">
        <f>2682.91+196.7</f>
        <v>2879.6099999999997</v>
      </c>
      <c r="H200" s="18">
        <v>0</v>
      </c>
      <c r="I200" s="18">
        <v>2353.88</v>
      </c>
      <c r="J200" s="18">
        <v>481.32</v>
      </c>
      <c r="K200" s="18">
        <v>2326</v>
      </c>
      <c r="L200" s="19">
        <f>SUM(F200:K200)</f>
        <v>24371.7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33250.1+25199.98+7531.94+33199.92</f>
        <v>99181.94</v>
      </c>
      <c r="G202" s="18">
        <f>2666.56+2020.98+603.98+2662.66</f>
        <v>7954.18</v>
      </c>
      <c r="H202" s="18">
        <f>30640.5+1812+3235+28506.49</f>
        <v>64193.990000000005</v>
      </c>
      <c r="I202" s="18">
        <f>439+557.94+196.34</f>
        <v>1193.28</v>
      </c>
      <c r="J202" s="18">
        <v>0</v>
      </c>
      <c r="K202" s="18">
        <v>0</v>
      </c>
      <c r="L202" s="19">
        <f t="shared" ref="L202:L208" si="0">SUM(F202:K202)</f>
        <v>172523.38999999998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59999.94</v>
      </c>
      <c r="G203" s="18">
        <v>23396.26</v>
      </c>
      <c r="H203" s="18">
        <v>5291.92</v>
      </c>
      <c r="I203" s="18">
        <f>56.95+3234.03</f>
        <v>3290.98</v>
      </c>
      <c r="J203" s="18">
        <v>0</v>
      </c>
      <c r="K203" s="18">
        <v>0</v>
      </c>
      <c r="L203" s="19">
        <f t="shared" si="0"/>
        <v>91979.099999999991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275.5+2000</f>
        <v>2275.5</v>
      </c>
      <c r="G204" s="18">
        <f>53.43+160.4</f>
        <v>213.83</v>
      </c>
      <c r="H204" s="18">
        <f>94.05+100+160+8852+100+167923</f>
        <v>177229.05</v>
      </c>
      <c r="I204" s="18">
        <v>590.15</v>
      </c>
      <c r="J204" s="18">
        <v>0</v>
      </c>
      <c r="K204" s="18">
        <v>0</v>
      </c>
      <c r="L204" s="19">
        <f t="shared" si="0"/>
        <v>180308.52999999997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116458.27</v>
      </c>
      <c r="G205" s="18">
        <v>63928.78</v>
      </c>
      <c r="H205" s="18">
        <v>10028.41</v>
      </c>
      <c r="I205" s="18">
        <f>1760.28+170</f>
        <v>1930.28</v>
      </c>
      <c r="J205" s="18">
        <v>0</v>
      </c>
      <c r="K205" s="18">
        <v>0</v>
      </c>
      <c r="L205" s="19">
        <f t="shared" si="0"/>
        <v>192345.74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27384.06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27384.06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53431.519999999997</v>
      </c>
      <c r="G207" s="18">
        <v>0</v>
      </c>
      <c r="H207" s="18">
        <v>23452.61</v>
      </c>
      <c r="I207" s="18">
        <v>43658.79</v>
      </c>
      <c r="J207" s="18">
        <v>0</v>
      </c>
      <c r="K207" s="18">
        <v>0</v>
      </c>
      <c r="L207" s="19">
        <f t="shared" si="0"/>
        <v>120542.92000000001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f>150322+24759+3026.25+2881.75</f>
        <v>180989</v>
      </c>
      <c r="I208" s="18">
        <v>0</v>
      </c>
      <c r="J208" s="18">
        <v>0</v>
      </c>
      <c r="K208" s="18">
        <v>0</v>
      </c>
      <c r="L208" s="19">
        <f t="shared" si="0"/>
        <v>180989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1348</v>
      </c>
      <c r="I209" s="18">
        <v>0</v>
      </c>
      <c r="J209" s="18">
        <v>0</v>
      </c>
      <c r="K209" s="18">
        <v>0</v>
      </c>
      <c r="L209" s="19">
        <f>SUM(F209:K209)</f>
        <v>1348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1196874.46</v>
      </c>
      <c r="G211" s="41">
        <f t="shared" si="1"/>
        <v>533056.44000000006</v>
      </c>
      <c r="H211" s="41">
        <f t="shared" si="1"/>
        <v>566807.09999999986</v>
      </c>
      <c r="I211" s="41">
        <f t="shared" si="1"/>
        <v>70118.95</v>
      </c>
      <c r="J211" s="41">
        <f t="shared" si="1"/>
        <v>6992.7999999999993</v>
      </c>
      <c r="K211" s="41">
        <f t="shared" si="1"/>
        <v>2326</v>
      </c>
      <c r="L211" s="41">
        <f t="shared" si="1"/>
        <v>2376175.75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834098.89</v>
      </c>
      <c r="I233" s="18"/>
      <c r="J233" s="18"/>
      <c r="K233" s="18"/>
      <c r="L233" s="19">
        <f>SUM(F233:K233)</f>
        <v>834098.89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f>164434.76+6311.25</f>
        <v>170746.01</v>
      </c>
      <c r="I234" s="18"/>
      <c r="J234" s="18"/>
      <c r="K234" s="18"/>
      <c r="L234" s="19">
        <f>SUM(F234:K234)</f>
        <v>170746.01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55600</v>
      </c>
      <c r="I244" s="18"/>
      <c r="J244" s="18"/>
      <c r="K244" s="18"/>
      <c r="L244" s="19">
        <f t="shared" si="4"/>
        <v>55600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1060444.8999999999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1060444.8999999999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40825</v>
      </c>
      <c r="I255" s="18"/>
      <c r="J255" s="18"/>
      <c r="K255" s="18"/>
      <c r="L255" s="19">
        <f t="shared" si="6"/>
        <v>40825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40825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40825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1196874.46</v>
      </c>
      <c r="G257" s="41">
        <f t="shared" si="8"/>
        <v>533056.44000000006</v>
      </c>
      <c r="H257" s="41">
        <f t="shared" si="8"/>
        <v>1668076.9999999998</v>
      </c>
      <c r="I257" s="41">
        <f t="shared" si="8"/>
        <v>70118.95</v>
      </c>
      <c r="J257" s="41">
        <f t="shared" si="8"/>
        <v>6992.7999999999993</v>
      </c>
      <c r="K257" s="41">
        <f t="shared" si="8"/>
        <v>2326</v>
      </c>
      <c r="L257" s="41">
        <f t="shared" si="8"/>
        <v>3477445.65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125000</v>
      </c>
      <c r="L260" s="19">
        <f>SUM(F260:K260)</f>
        <v>125000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12664.5</v>
      </c>
      <c r="L261" s="19">
        <f>SUM(F261:K261)</f>
        <v>12664.5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48012.87</v>
      </c>
      <c r="L263" s="19">
        <f>SUM(F263:K263)</f>
        <v>48012.87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28900</v>
      </c>
      <c r="L266" s="19">
        <f t="shared" si="9"/>
        <v>28900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214577.37</v>
      </c>
      <c r="L270" s="41">
        <f t="shared" si="9"/>
        <v>214577.37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1196874.46</v>
      </c>
      <c r="G271" s="42">
        <f t="shared" si="11"/>
        <v>533056.44000000006</v>
      </c>
      <c r="H271" s="42">
        <f t="shared" si="11"/>
        <v>1668076.9999999998</v>
      </c>
      <c r="I271" s="42">
        <f t="shared" si="11"/>
        <v>70118.95</v>
      </c>
      <c r="J271" s="42">
        <f t="shared" si="11"/>
        <v>6992.7999999999993</v>
      </c>
      <c r="K271" s="42">
        <f t="shared" si="11"/>
        <v>216903.37</v>
      </c>
      <c r="L271" s="42">
        <f t="shared" si="11"/>
        <v>3692023.02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585.34+16832.54</f>
        <v>17417.88</v>
      </c>
      <c r="G276" s="18">
        <f>44.81+1287.67+2.18+62.28</f>
        <v>1396.94</v>
      </c>
      <c r="H276" s="18"/>
      <c r="I276" s="18"/>
      <c r="J276" s="18">
        <f>2593+155+9116.01+14193+4528.99</f>
        <v>30586</v>
      </c>
      <c r="K276" s="18"/>
      <c r="L276" s="19">
        <f>SUM(F276:K276)</f>
        <v>49400.82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32733.119999999999</v>
      </c>
      <c r="G277" s="18"/>
      <c r="H277" s="18"/>
      <c r="I277" s="18">
        <f>398.59+1319.1</f>
        <v>1717.6899999999998</v>
      </c>
      <c r="J277" s="18">
        <f>279.8+2153.39</f>
        <v>2433.19</v>
      </c>
      <c r="K277" s="18"/>
      <c r="L277" s="19">
        <f>SUM(F277:K277)</f>
        <v>36884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237.5</v>
      </c>
      <c r="J281" s="18"/>
      <c r="K281" s="18"/>
      <c r="L281" s="19">
        <f t="shared" ref="L281:L287" si="12">SUM(F281:K281)</f>
        <v>237.5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1900+1875</f>
        <v>3775</v>
      </c>
      <c r="G282" s="18">
        <f>144.75+140.68+286.44+325.5+7.06+6.94</f>
        <v>911.37</v>
      </c>
      <c r="H282" s="18">
        <f>1535+959.5</f>
        <v>2494.5</v>
      </c>
      <c r="I282" s="18"/>
      <c r="J282" s="18"/>
      <c r="K282" s="18"/>
      <c r="L282" s="19">
        <f t="shared" si="12"/>
        <v>7180.87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1275</v>
      </c>
      <c r="I283" s="18"/>
      <c r="J283" s="18"/>
      <c r="K283" s="18"/>
      <c r="L283" s="19">
        <f t="shared" si="12"/>
        <v>1275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149.65+271.18+932.94+232.45+1538.45</f>
        <v>3124.67</v>
      </c>
      <c r="L285" s="19">
        <f t="shared" si="12"/>
        <v>3124.67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53926</v>
      </c>
      <c r="G290" s="42">
        <f t="shared" si="13"/>
        <v>2308.31</v>
      </c>
      <c r="H290" s="42">
        <f t="shared" si="13"/>
        <v>3769.5</v>
      </c>
      <c r="I290" s="42">
        <f t="shared" si="13"/>
        <v>1955.1899999999998</v>
      </c>
      <c r="J290" s="42">
        <f t="shared" si="13"/>
        <v>33019.19</v>
      </c>
      <c r="K290" s="42">
        <f t="shared" si="13"/>
        <v>3124.67</v>
      </c>
      <c r="L290" s="41">
        <f t="shared" si="13"/>
        <v>98102.86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53926</v>
      </c>
      <c r="G338" s="41">
        <f t="shared" si="20"/>
        <v>2308.31</v>
      </c>
      <c r="H338" s="41">
        <f t="shared" si="20"/>
        <v>3769.5</v>
      </c>
      <c r="I338" s="41">
        <f t="shared" si="20"/>
        <v>1955.1899999999998</v>
      </c>
      <c r="J338" s="41">
        <f t="shared" si="20"/>
        <v>33019.19</v>
      </c>
      <c r="K338" s="41">
        <f t="shared" si="20"/>
        <v>3124.67</v>
      </c>
      <c r="L338" s="41">
        <f t="shared" si="20"/>
        <v>98102.86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53926</v>
      </c>
      <c r="G352" s="41">
        <f>G338</f>
        <v>2308.31</v>
      </c>
      <c r="H352" s="41">
        <f>H338</f>
        <v>3769.5</v>
      </c>
      <c r="I352" s="41">
        <f>I338</f>
        <v>1955.1899999999998</v>
      </c>
      <c r="J352" s="41">
        <f>J338</f>
        <v>33019.19</v>
      </c>
      <c r="K352" s="47">
        <f>K338+K351</f>
        <v>3124.67</v>
      </c>
      <c r="L352" s="41">
        <f>L338+L351</f>
        <v>98102.86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f>756+33297.35</f>
        <v>34053.35</v>
      </c>
      <c r="G358" s="18">
        <f>14778.4+573+52.79+88.73+2333.39+2880.03+1155.15</f>
        <v>21861.49</v>
      </c>
      <c r="H358" s="18">
        <v>307.5</v>
      </c>
      <c r="I358" s="18">
        <f>8321.8+32859.07+90</f>
        <v>41270.869999999995</v>
      </c>
      <c r="J358" s="18">
        <v>46.66</v>
      </c>
      <c r="K358" s="18"/>
      <c r="L358" s="13">
        <f>SUM(F358:K358)</f>
        <v>97539.87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34053.35</v>
      </c>
      <c r="G362" s="47">
        <f t="shared" si="22"/>
        <v>21861.49</v>
      </c>
      <c r="H362" s="47">
        <f t="shared" si="22"/>
        <v>307.5</v>
      </c>
      <c r="I362" s="47">
        <f t="shared" si="22"/>
        <v>41270.869999999995</v>
      </c>
      <c r="J362" s="47">
        <f t="shared" si="22"/>
        <v>46.66</v>
      </c>
      <c r="K362" s="47">
        <f t="shared" si="22"/>
        <v>0</v>
      </c>
      <c r="L362" s="47">
        <f t="shared" si="22"/>
        <v>97539.87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41270.870000000003</v>
      </c>
      <c r="G367" s="18"/>
      <c r="H367" s="18"/>
      <c r="I367" s="56">
        <f>SUM(F367:H367)</f>
        <v>41270.870000000003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41270.870000000003</v>
      </c>
      <c r="G369" s="47">
        <f>SUM(G367:G368)</f>
        <v>0</v>
      </c>
      <c r="H369" s="47">
        <f>SUM(H367:H368)</f>
        <v>0</v>
      </c>
      <c r="I369" s="47">
        <f>SUM(I367:I368)</f>
        <v>41270.870000000003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28900</v>
      </c>
      <c r="H389" s="18">
        <v>221.49</v>
      </c>
      <c r="I389" s="18"/>
      <c r="J389" s="24" t="s">
        <v>286</v>
      </c>
      <c r="K389" s="24" t="s">
        <v>286</v>
      </c>
      <c r="L389" s="56">
        <f t="shared" si="25"/>
        <v>29121.49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28900</v>
      </c>
      <c r="H393" s="139">
        <f>SUM(H387:H392)</f>
        <v>221.49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29121.49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2833.74</v>
      </c>
      <c r="I398" s="18"/>
      <c r="J398" s="24" t="s">
        <v>286</v>
      </c>
      <c r="K398" s="24" t="s">
        <v>286</v>
      </c>
      <c r="L398" s="56">
        <f t="shared" si="26"/>
        <v>2833.74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14.39</v>
      </c>
      <c r="I400" s="18"/>
      <c r="J400" s="24" t="s">
        <v>286</v>
      </c>
      <c r="K400" s="24" t="s">
        <v>286</v>
      </c>
      <c r="L400" s="56">
        <f t="shared" si="26"/>
        <v>14.39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2848.1299999999997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2848.1299999999997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28900</v>
      </c>
      <c r="H408" s="47">
        <f>H393+H401+H407</f>
        <v>3069.62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31969.620000000003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15000</v>
      </c>
      <c r="I415" s="18"/>
      <c r="J415" s="18"/>
      <c r="K415" s="18"/>
      <c r="L415" s="56">
        <f t="shared" si="27"/>
        <v>15000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15000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15000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15000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15000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27197.61</v>
      </c>
      <c r="G440" s="18">
        <f>220025.64+5017.44</f>
        <v>225043.08000000002</v>
      </c>
      <c r="H440" s="18"/>
      <c r="I440" s="56">
        <f t="shared" si="33"/>
        <v>252240.69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27197.61</v>
      </c>
      <c r="G446" s="13">
        <f>SUM(G439:G445)</f>
        <v>225043.08000000002</v>
      </c>
      <c r="H446" s="13">
        <f>SUM(H439:H445)</f>
        <v>0</v>
      </c>
      <c r="I446" s="13">
        <f>SUM(I439:I445)</f>
        <v>252240.69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27197.61</v>
      </c>
      <c r="G459" s="18">
        <v>225043.08</v>
      </c>
      <c r="H459" s="18"/>
      <c r="I459" s="56">
        <f t="shared" si="34"/>
        <v>252240.69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27197.61</v>
      </c>
      <c r="G460" s="83">
        <f>SUM(G454:G459)</f>
        <v>225043.08</v>
      </c>
      <c r="H460" s="83">
        <f>SUM(H454:H459)</f>
        <v>0</v>
      </c>
      <c r="I460" s="83">
        <f>SUM(I454:I459)</f>
        <v>252240.69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27197.61</v>
      </c>
      <c r="G461" s="42">
        <f>G452+G460</f>
        <v>225043.08</v>
      </c>
      <c r="H461" s="42">
        <f>H452+H460</f>
        <v>0</v>
      </c>
      <c r="I461" s="42">
        <f>I452+I460</f>
        <v>252240.69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133876.29</v>
      </c>
      <c r="G465" s="18">
        <v>0</v>
      </c>
      <c r="H465" s="18">
        <v>0</v>
      </c>
      <c r="I465" s="18">
        <v>0</v>
      </c>
      <c r="J465" s="18">
        <v>235271.07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3696866.37</v>
      </c>
      <c r="G468" s="18">
        <v>97539.87</v>
      </c>
      <c r="H468" s="18">
        <v>98102.86</v>
      </c>
      <c r="I468" s="18">
        <v>0</v>
      </c>
      <c r="J468" s="18">
        <f>3069.62+28900</f>
        <v>31969.62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3696866.37</v>
      </c>
      <c r="G470" s="53">
        <f>SUM(G468:G469)</f>
        <v>97539.87</v>
      </c>
      <c r="H470" s="53">
        <f>SUM(H468:H469)</f>
        <v>98102.86</v>
      </c>
      <c r="I470" s="53">
        <f>SUM(I468:I469)</f>
        <v>0</v>
      </c>
      <c r="J470" s="53">
        <f>SUM(J468:J469)</f>
        <v>31969.62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3692023.02</v>
      </c>
      <c r="G472" s="18">
        <v>97539.87</v>
      </c>
      <c r="H472" s="18">
        <v>98102.86</v>
      </c>
      <c r="I472" s="18"/>
      <c r="J472" s="18">
        <v>15000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3692023.02</v>
      </c>
      <c r="G474" s="53">
        <f>SUM(G472:G473)</f>
        <v>97539.87</v>
      </c>
      <c r="H474" s="53">
        <f>SUM(H472:H473)</f>
        <v>98102.86</v>
      </c>
      <c r="I474" s="53">
        <f>SUM(I472:I473)</f>
        <v>0</v>
      </c>
      <c r="J474" s="53">
        <f>SUM(J472:J473)</f>
        <v>15000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138719.64000000013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252240.69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>
        <v>5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915</v>
      </c>
      <c r="G492" s="155" t="s">
        <v>916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440000</v>
      </c>
      <c r="G493" s="18">
        <v>412000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4.28</v>
      </c>
      <c r="G494" s="18">
        <v>2.1800000000000002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40000</v>
      </c>
      <c r="G495" s="18">
        <v>327000</v>
      </c>
      <c r="H495" s="18"/>
      <c r="I495" s="18"/>
      <c r="J495" s="18"/>
      <c r="K495" s="53">
        <f>SUM(F495:J495)</f>
        <v>367000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40000</v>
      </c>
      <c r="G497" s="18">
        <v>85000</v>
      </c>
      <c r="H497" s="18"/>
      <c r="I497" s="18"/>
      <c r="J497" s="18"/>
      <c r="K497" s="53">
        <f t="shared" si="35"/>
        <v>125000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0</v>
      </c>
      <c r="G498" s="204">
        <v>242000</v>
      </c>
      <c r="H498" s="204"/>
      <c r="I498" s="204"/>
      <c r="J498" s="204"/>
      <c r="K498" s="205">
        <f t="shared" si="35"/>
        <v>242000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0</v>
      </c>
      <c r="G499" s="18">
        <v>14800.5</v>
      </c>
      <c r="H499" s="18"/>
      <c r="I499" s="18"/>
      <c r="J499" s="18"/>
      <c r="K499" s="53">
        <f t="shared" si="35"/>
        <v>14800.5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256800.5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256800.5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0</v>
      </c>
      <c r="G501" s="204">
        <v>90000</v>
      </c>
      <c r="H501" s="204"/>
      <c r="I501" s="204"/>
      <c r="J501" s="204"/>
      <c r="K501" s="205">
        <f t="shared" si="35"/>
        <v>90000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0</v>
      </c>
      <c r="G502" s="18">
        <v>6750</v>
      </c>
      <c r="H502" s="18"/>
      <c r="I502" s="18"/>
      <c r="J502" s="18"/>
      <c r="K502" s="53">
        <f t="shared" si="35"/>
        <v>6750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96750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96750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70223.86+45001.27+30651.26+32733.12</f>
        <v>178609.51</v>
      </c>
      <c r="G521" s="18">
        <f>49507.67+2819+260.96+445.76+12812.57+9587.64+660.74</f>
        <v>76094.34</v>
      </c>
      <c r="H521" s="18">
        <f>2915.5+75408.87+162.63</f>
        <v>78487</v>
      </c>
      <c r="I521" s="18">
        <f>257.18+749.1+23236.5+398.59+1319.1</f>
        <v>25960.469999999998</v>
      </c>
      <c r="J521" s="18">
        <f>499.87+0.16+279.8+2153.39</f>
        <v>2933.22</v>
      </c>
      <c r="K521" s="18"/>
      <c r="L521" s="88">
        <f>SUM(F521:K521)</f>
        <v>362084.53999999992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f>164434.76+6311.25</f>
        <v>170746.01</v>
      </c>
      <c r="I522" s="18"/>
      <c r="J522" s="18"/>
      <c r="K522" s="18"/>
      <c r="L522" s="88">
        <f>SUM(F522:K522)</f>
        <v>170746.01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178609.51</v>
      </c>
      <c r="G524" s="108">
        <f t="shared" ref="G524:L524" si="36">SUM(G521:G523)</f>
        <v>76094.34</v>
      </c>
      <c r="H524" s="108">
        <f t="shared" si="36"/>
        <v>249233.01</v>
      </c>
      <c r="I524" s="108">
        <f t="shared" si="36"/>
        <v>25960.469999999998</v>
      </c>
      <c r="J524" s="108">
        <f t="shared" si="36"/>
        <v>2933.22</v>
      </c>
      <c r="K524" s="108">
        <f t="shared" si="36"/>
        <v>0</v>
      </c>
      <c r="L524" s="89">
        <f t="shared" si="36"/>
        <v>532830.54999999993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7531.94+33199.92</f>
        <v>40731.86</v>
      </c>
      <c r="G526" s="18">
        <f>576.16+27.82+2539.94+122.72</f>
        <v>3266.64</v>
      </c>
      <c r="H526" s="18">
        <f>3235+30640.5+28506.49</f>
        <v>62381.990000000005</v>
      </c>
      <c r="I526" s="18">
        <v>196.34</v>
      </c>
      <c r="J526" s="18"/>
      <c r="K526" s="18"/>
      <c r="L526" s="88">
        <f>SUM(F526:K526)</f>
        <v>106576.83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40731.86</v>
      </c>
      <c r="G529" s="89">
        <f t="shared" ref="G529:L529" si="37">SUM(G526:G528)</f>
        <v>3266.64</v>
      </c>
      <c r="H529" s="89">
        <f t="shared" si="37"/>
        <v>62381.990000000005</v>
      </c>
      <c r="I529" s="89">
        <f t="shared" si="37"/>
        <v>196.34</v>
      </c>
      <c r="J529" s="89">
        <f t="shared" si="37"/>
        <v>0</v>
      </c>
      <c r="K529" s="89">
        <f t="shared" si="37"/>
        <v>0</v>
      </c>
      <c r="L529" s="89">
        <f t="shared" si="37"/>
        <v>106576.83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16717</v>
      </c>
      <c r="I531" s="18"/>
      <c r="J531" s="18"/>
      <c r="K531" s="18">
        <f>232.45+1538.45</f>
        <v>1770.9</v>
      </c>
      <c r="L531" s="88">
        <f>SUM(F531:K531)</f>
        <v>18487.900000000001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16717</v>
      </c>
      <c r="I534" s="89">
        <f t="shared" si="38"/>
        <v>0</v>
      </c>
      <c r="J534" s="89">
        <f t="shared" si="38"/>
        <v>0</v>
      </c>
      <c r="K534" s="89">
        <f t="shared" si="38"/>
        <v>1770.9</v>
      </c>
      <c r="L534" s="89">
        <f t="shared" si="38"/>
        <v>18487.900000000001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24759</v>
      </c>
      <c r="I541" s="18"/>
      <c r="J541" s="18"/>
      <c r="K541" s="18"/>
      <c r="L541" s="88">
        <f>SUM(F541:K541)</f>
        <v>24759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24759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24759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219341.37</v>
      </c>
      <c r="G545" s="89">
        <f t="shared" ref="G545:L545" si="41">G524+G529+G534+G539+G544</f>
        <v>79360.98</v>
      </c>
      <c r="H545" s="89">
        <f t="shared" si="41"/>
        <v>353091</v>
      </c>
      <c r="I545" s="89">
        <f t="shared" si="41"/>
        <v>26156.809999999998</v>
      </c>
      <c r="J545" s="89">
        <f t="shared" si="41"/>
        <v>2933.22</v>
      </c>
      <c r="K545" s="89">
        <f t="shared" si="41"/>
        <v>1770.9</v>
      </c>
      <c r="L545" s="89">
        <f t="shared" si="41"/>
        <v>682654.27999999991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362084.53999999992</v>
      </c>
      <c r="G549" s="87">
        <f>L526</f>
        <v>106576.83</v>
      </c>
      <c r="H549" s="87">
        <f>L531</f>
        <v>18487.900000000001</v>
      </c>
      <c r="I549" s="87">
        <f>L536</f>
        <v>0</v>
      </c>
      <c r="J549" s="87">
        <f>L541</f>
        <v>24759</v>
      </c>
      <c r="K549" s="87">
        <f>SUM(F549:J549)</f>
        <v>511908.26999999996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170746.01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170746.01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532830.54999999993</v>
      </c>
      <c r="G552" s="89">
        <f t="shared" si="42"/>
        <v>106576.83</v>
      </c>
      <c r="H552" s="89">
        <f t="shared" si="42"/>
        <v>18487.900000000001</v>
      </c>
      <c r="I552" s="89">
        <f t="shared" si="42"/>
        <v>0</v>
      </c>
      <c r="J552" s="89">
        <f t="shared" si="42"/>
        <v>24759</v>
      </c>
      <c r="K552" s="89">
        <f t="shared" si="42"/>
        <v>682654.28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834098.89</v>
      </c>
      <c r="I575" s="87">
        <f>SUM(F575:H575)</f>
        <v>834098.89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23236.5</v>
      </c>
      <c r="G579" s="18"/>
      <c r="H579" s="18">
        <v>164434.76</v>
      </c>
      <c r="I579" s="87">
        <f t="shared" si="47"/>
        <v>187671.26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>
        <v>6311.25</v>
      </c>
      <c r="I580" s="87">
        <f t="shared" si="47"/>
        <v>6311.25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75408.87</v>
      </c>
      <c r="G582" s="18"/>
      <c r="H582" s="18"/>
      <c r="I582" s="87">
        <f t="shared" si="47"/>
        <v>75408.87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150322</v>
      </c>
      <c r="I591" s="18"/>
      <c r="J591" s="18">
        <v>55600</v>
      </c>
      <c r="K591" s="104">
        <f t="shared" ref="K591:K597" si="48">SUM(H591:J591)</f>
        <v>205922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24759</v>
      </c>
      <c r="I592" s="18"/>
      <c r="J592" s="18"/>
      <c r="K592" s="104">
        <f t="shared" si="48"/>
        <v>24759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3026.25</v>
      </c>
      <c r="I594" s="18"/>
      <c r="J594" s="18"/>
      <c r="K594" s="104">
        <f t="shared" si="48"/>
        <v>3026.25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2881.75</v>
      </c>
      <c r="I595" s="18"/>
      <c r="J595" s="18"/>
      <c r="K595" s="104">
        <f t="shared" si="48"/>
        <v>2881.75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180989</v>
      </c>
      <c r="I598" s="108">
        <f>SUM(I591:I597)</f>
        <v>0</v>
      </c>
      <c r="J598" s="108">
        <f>SUM(J591:J597)</f>
        <v>55600</v>
      </c>
      <c r="K598" s="108">
        <f>SUM(K591:K597)</f>
        <v>236589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36597.45+2933.22+481.32</f>
        <v>40011.99</v>
      </c>
      <c r="I604" s="18"/>
      <c r="J604" s="18"/>
      <c r="K604" s="104">
        <f>SUM(H604:J604)</f>
        <v>40011.99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40011.99</v>
      </c>
      <c r="I605" s="108">
        <f>SUM(I602:I604)</f>
        <v>0</v>
      </c>
      <c r="J605" s="108">
        <f>SUM(J602:J604)</f>
        <v>0</v>
      </c>
      <c r="K605" s="108">
        <f>SUM(K602:K604)</f>
        <v>40011.99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775</v>
      </c>
      <c r="G611" s="18">
        <f>59.29+134.54+2.87</f>
        <v>196.7</v>
      </c>
      <c r="H611" s="18"/>
      <c r="I611" s="18"/>
      <c r="J611" s="18"/>
      <c r="K611" s="18"/>
      <c r="L611" s="88">
        <f>SUM(F611:K611)</f>
        <v>971.7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775</v>
      </c>
      <c r="G614" s="108">
        <f t="shared" si="49"/>
        <v>196.7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971.7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151566.88</v>
      </c>
      <c r="H617" s="109">
        <f>SUM(F52)</f>
        <v>151566.88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2310.89</v>
      </c>
      <c r="H618" s="109">
        <f>SUM(G52)</f>
        <v>2310.89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-18801.599999999999</v>
      </c>
      <c r="H619" s="109">
        <f>SUM(H52)</f>
        <v>-18801.599999999999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252240.69</v>
      </c>
      <c r="H621" s="109">
        <f>SUM(J52)</f>
        <v>252240.69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138719.64000000001</v>
      </c>
      <c r="H622" s="109">
        <f>F476</f>
        <v>138719.64000000013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252240.69</v>
      </c>
      <c r="H626" s="109">
        <f>J476</f>
        <v>252240.69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3696866.3699999992</v>
      </c>
      <c r="H627" s="104">
        <f>SUM(F468)</f>
        <v>3696866.37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97539.87</v>
      </c>
      <c r="H628" s="104">
        <f>SUM(G468)</f>
        <v>97539.87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98102.860000000015</v>
      </c>
      <c r="H629" s="104">
        <f>SUM(H468)</f>
        <v>98102.86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31969.62</v>
      </c>
      <c r="H631" s="104">
        <f>SUM(J468)</f>
        <v>31969.62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3692023.02</v>
      </c>
      <c r="H632" s="104">
        <f>SUM(F472)</f>
        <v>3692023.02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98102.86</v>
      </c>
      <c r="H633" s="104">
        <f>SUM(H472)</f>
        <v>98102.86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41270.869999999995</v>
      </c>
      <c r="H634" s="104">
        <f>I369</f>
        <v>41270.870000000003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97539.87</v>
      </c>
      <c r="H635" s="104">
        <f>SUM(G472)</f>
        <v>97539.87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31969.620000000003</v>
      </c>
      <c r="H637" s="164">
        <f>SUM(J468)</f>
        <v>31969.62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15000</v>
      </c>
      <c r="H638" s="164">
        <f>SUM(J472)</f>
        <v>15000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27197.61</v>
      </c>
      <c r="H639" s="104">
        <f>SUM(F461)</f>
        <v>27197.61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225043.08000000002</v>
      </c>
      <c r="H640" s="104">
        <f>SUM(G461)</f>
        <v>225043.08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252240.69</v>
      </c>
      <c r="H642" s="104">
        <f>SUM(I461)</f>
        <v>252240.69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3069.62</v>
      </c>
      <c r="H644" s="104">
        <f>H408</f>
        <v>3069.62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28900</v>
      </c>
      <c r="H645" s="104">
        <f>G408</f>
        <v>28900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31969.62</v>
      </c>
      <c r="H646" s="104">
        <f>L408</f>
        <v>31969.620000000003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236589</v>
      </c>
      <c r="H647" s="104">
        <f>L208+L226+L244</f>
        <v>236589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40011.99</v>
      </c>
      <c r="H648" s="104">
        <f>(J257+J338)-(J255+J336)</f>
        <v>40011.990000000005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180989</v>
      </c>
      <c r="H649" s="104">
        <f>H598</f>
        <v>180989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55600</v>
      </c>
      <c r="H651" s="104">
        <f>J598</f>
        <v>55600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48012.87</v>
      </c>
      <c r="H652" s="104">
        <f>K263+K345</f>
        <v>48012.87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28900</v>
      </c>
      <c r="H655" s="104">
        <f>K266+K347</f>
        <v>28900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2571818.48</v>
      </c>
      <c r="G660" s="19">
        <f>(L229+L309+L359)</f>
        <v>0</v>
      </c>
      <c r="H660" s="19">
        <f>(L247+L328+L360)</f>
        <v>1060444.8999999999</v>
      </c>
      <c r="I660" s="19">
        <f>SUM(F660:H660)</f>
        <v>3632263.38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30404.04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30404.04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180989</v>
      </c>
      <c r="G662" s="19">
        <f>(L226+L306)-(J226+J306)</f>
        <v>0</v>
      </c>
      <c r="H662" s="19">
        <f>(L244+L325)-(J244+J325)</f>
        <v>55600</v>
      </c>
      <c r="I662" s="19">
        <f>SUM(F662:H662)</f>
        <v>236589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139629.06</v>
      </c>
      <c r="G663" s="199">
        <f>SUM(G575:G587)+SUM(I602:I604)+L612</f>
        <v>0</v>
      </c>
      <c r="H663" s="199">
        <f>SUM(H575:H587)+SUM(J602:J604)+L613</f>
        <v>1004844.9</v>
      </c>
      <c r="I663" s="19">
        <f>SUM(F663:H663)</f>
        <v>1144473.96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2220796.38</v>
      </c>
      <c r="G664" s="19">
        <f>G660-SUM(G661:G663)</f>
        <v>0</v>
      </c>
      <c r="H664" s="19">
        <f>H660-SUM(H661:H663)</f>
        <v>0</v>
      </c>
      <c r="I664" s="19">
        <f>I660-SUM(I661:I663)</f>
        <v>2220796.38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140.99</v>
      </c>
      <c r="G665" s="248"/>
      <c r="H665" s="248"/>
      <c r="I665" s="19">
        <f>SUM(F665:H665)</f>
        <v>140.99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15751.45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15751.45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15751.45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15751.45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Westmoreland 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712137.87</v>
      </c>
      <c r="C9" s="229">
        <f>'DOE25'!G197+'DOE25'!G215+'DOE25'!G233+'DOE25'!G276+'DOE25'!G295+'DOE25'!G314</f>
        <v>331912.53999999998</v>
      </c>
    </row>
    <row r="10" spans="1:3" x14ac:dyDescent="0.2">
      <c r="A10" t="s">
        <v>773</v>
      </c>
      <c r="B10" s="240">
        <v>644057.4</v>
      </c>
      <c r="C10" s="240">
        <v>304715.5</v>
      </c>
    </row>
    <row r="11" spans="1:3" x14ac:dyDescent="0.2">
      <c r="A11" t="s">
        <v>774</v>
      </c>
      <c r="B11" s="240">
        <v>58352.85</v>
      </c>
      <c r="C11" s="240">
        <v>27197.040000000001</v>
      </c>
    </row>
    <row r="12" spans="1:3" x14ac:dyDescent="0.2">
      <c r="A12" t="s">
        <v>775</v>
      </c>
      <c r="B12" s="240">
        <v>9727.6200000000008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712137.87</v>
      </c>
      <c r="C13" s="231">
        <f>SUM(C10:C12)</f>
        <v>331912.53999999998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187209.53</v>
      </c>
      <c r="C18" s="229">
        <f>'DOE25'!G198+'DOE25'!G216+'DOE25'!G234+'DOE25'!G277+'DOE25'!G296+'DOE25'!G315</f>
        <v>76784.12</v>
      </c>
    </row>
    <row r="19" spans="1:3" x14ac:dyDescent="0.2">
      <c r="A19" t="s">
        <v>773</v>
      </c>
      <c r="B19" s="240">
        <v>111557</v>
      </c>
      <c r="C19" s="240">
        <v>45755.18</v>
      </c>
    </row>
    <row r="20" spans="1:3" x14ac:dyDescent="0.2">
      <c r="A20" t="s">
        <v>774</v>
      </c>
      <c r="B20" s="240">
        <v>45001.27</v>
      </c>
      <c r="C20" s="240">
        <v>31028.94</v>
      </c>
    </row>
    <row r="21" spans="1:3" x14ac:dyDescent="0.2">
      <c r="A21" t="s">
        <v>775</v>
      </c>
      <c r="B21" s="240">
        <v>30651.26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187209.53</v>
      </c>
      <c r="C22" s="231">
        <f>SUM(C19:C21)</f>
        <v>76784.12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16330.89</v>
      </c>
      <c r="C36" s="235">
        <f>'DOE25'!G200+'DOE25'!G218+'DOE25'!G236+'DOE25'!G279+'DOE25'!G298+'DOE25'!G317</f>
        <v>2879.6099999999997</v>
      </c>
    </row>
    <row r="37" spans="1:3" x14ac:dyDescent="0.2">
      <c r="A37" t="s">
        <v>773</v>
      </c>
      <c r="B37" s="240">
        <v>13480.89</v>
      </c>
      <c r="C37" s="240">
        <v>2377.0700000000002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2850</v>
      </c>
      <c r="C39" s="240">
        <v>502.54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16330.89</v>
      </c>
      <c r="C40" s="231">
        <f>SUM(C37:C39)</f>
        <v>2879.61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Westmoreland 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2413599.91</v>
      </c>
      <c r="D5" s="20">
        <f>SUM('DOE25'!L197:L200)+SUM('DOE25'!L215:L218)+SUM('DOE25'!L233:L236)-F5-G5</f>
        <v>2404281.1100000003</v>
      </c>
      <c r="E5" s="243"/>
      <c r="F5" s="255">
        <f>SUM('DOE25'!J197:J200)+SUM('DOE25'!J215:J218)+SUM('DOE25'!J233:J236)</f>
        <v>6992.7999999999993</v>
      </c>
      <c r="G5" s="53">
        <f>SUM('DOE25'!K197:K200)+SUM('DOE25'!K215:K218)+SUM('DOE25'!K233:K236)</f>
        <v>2326</v>
      </c>
      <c r="H5" s="259"/>
    </row>
    <row r="6" spans="1:9" x14ac:dyDescent="0.2">
      <c r="A6" s="32">
        <v>2100</v>
      </c>
      <c r="B6" t="s">
        <v>795</v>
      </c>
      <c r="C6" s="245">
        <f t="shared" si="0"/>
        <v>172523.38999999998</v>
      </c>
      <c r="D6" s="20">
        <f>'DOE25'!L202+'DOE25'!L220+'DOE25'!L238-F6-G6</f>
        <v>172523.38999999998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91979.099999999991</v>
      </c>
      <c r="D7" s="20">
        <f>'DOE25'!L203+'DOE25'!L221+'DOE25'!L239-F7-G7</f>
        <v>91979.099999999991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151232.99999999997</v>
      </c>
      <c r="D8" s="243"/>
      <c r="E8" s="20">
        <f>'DOE25'!L204+'DOE25'!L222+'DOE25'!L240-F8-G8-D9-D11</f>
        <v>151232.99999999997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3533.53</v>
      </c>
      <c r="D9" s="244">
        <f>1013.13+100+2160.4+160+100</f>
        <v>3533.53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8852</v>
      </c>
      <c r="D10" s="243"/>
      <c r="E10" s="244">
        <v>8852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25542</v>
      </c>
      <c r="D11" s="244">
        <v>25542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192345.74</v>
      </c>
      <c r="D12" s="20">
        <f>'DOE25'!L205+'DOE25'!L223+'DOE25'!L241-F12-G12</f>
        <v>192345.74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27384.06</v>
      </c>
      <c r="D13" s="243"/>
      <c r="E13" s="20">
        <f>'DOE25'!L206+'DOE25'!L224+'DOE25'!L242-F13-G13</f>
        <v>27384.06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120542.92000000001</v>
      </c>
      <c r="D14" s="20">
        <f>'DOE25'!L207+'DOE25'!L225+'DOE25'!L243-F14-G14</f>
        <v>120542.92000000001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236589</v>
      </c>
      <c r="D15" s="20">
        <f>'DOE25'!L208+'DOE25'!L226+'DOE25'!L244-F15-G15</f>
        <v>236589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1348</v>
      </c>
      <c r="D16" s="243"/>
      <c r="E16" s="20">
        <f>'DOE25'!L209+'DOE25'!L227+'DOE25'!L245-F16-G16</f>
        <v>1348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40825</v>
      </c>
      <c r="D22" s="243"/>
      <c r="E22" s="243"/>
      <c r="F22" s="255">
        <f>'DOE25'!L255+'DOE25'!L336</f>
        <v>40825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137664.5</v>
      </c>
      <c r="D25" s="243"/>
      <c r="E25" s="243"/>
      <c r="F25" s="258"/>
      <c r="G25" s="256"/>
      <c r="H25" s="257">
        <f>'DOE25'!L260+'DOE25'!L261+'DOE25'!L341+'DOE25'!L342</f>
        <v>137664.5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56268.999999999993</v>
      </c>
      <c r="D29" s="20">
        <f>'DOE25'!L358+'DOE25'!L359+'DOE25'!L360-'DOE25'!I367-F29-G29</f>
        <v>56222.339999999989</v>
      </c>
      <c r="E29" s="243"/>
      <c r="F29" s="255">
        <f>'DOE25'!J358+'DOE25'!J359+'DOE25'!J360</f>
        <v>46.66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98102.86</v>
      </c>
      <c r="D31" s="20">
        <f>'DOE25'!L290+'DOE25'!L309+'DOE25'!L328+'DOE25'!L333+'DOE25'!L334+'DOE25'!L335-F31-G31</f>
        <v>61959</v>
      </c>
      <c r="E31" s="243"/>
      <c r="F31" s="255">
        <f>'DOE25'!J290+'DOE25'!J309+'DOE25'!J328+'DOE25'!J333+'DOE25'!J334+'DOE25'!J335</f>
        <v>33019.19</v>
      </c>
      <c r="G31" s="53">
        <f>'DOE25'!K290+'DOE25'!K309+'DOE25'!K328+'DOE25'!K333+'DOE25'!K334+'DOE25'!K335</f>
        <v>3124.67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3365518.13</v>
      </c>
      <c r="E33" s="246">
        <f>SUM(E5:E31)</f>
        <v>188817.05999999997</v>
      </c>
      <c r="F33" s="246">
        <f>SUM(F5:F31)</f>
        <v>80883.650000000009</v>
      </c>
      <c r="G33" s="246">
        <f>SUM(G5:G31)</f>
        <v>5450.67</v>
      </c>
      <c r="H33" s="246">
        <f>SUM(H5:H31)</f>
        <v>137664.5</v>
      </c>
    </row>
    <row r="35" spans="2:8" ht="12" thickBot="1" x14ac:dyDescent="0.25">
      <c r="B35" s="253" t="s">
        <v>841</v>
      </c>
      <c r="D35" s="254">
        <f>E33</f>
        <v>188817.05999999997</v>
      </c>
      <c r="E35" s="249"/>
    </row>
    <row r="36" spans="2:8" ht="12" thickTop="1" x14ac:dyDescent="0.2">
      <c r="B36" t="s">
        <v>809</v>
      </c>
      <c r="D36" s="20">
        <f>D33</f>
        <v>3365518.13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Westmoreland 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128498.04000000001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4067.65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252240.69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18742.77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250.42</v>
      </c>
      <c r="D12" s="95">
        <f>'DOE25'!G13</f>
        <v>1462.29</v>
      </c>
      <c r="E12" s="95">
        <f>'DOE25'!H13</f>
        <v>-18801.599999999999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</v>
      </c>
      <c r="D13" s="95">
        <f>'DOE25'!G14</f>
        <v>848.6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151566.88</v>
      </c>
      <c r="D18" s="41">
        <f>SUM(D8:D17)</f>
        <v>2310.89</v>
      </c>
      <c r="E18" s="41">
        <f>SUM(E8:E17)</f>
        <v>-18801.599999999999</v>
      </c>
      <c r="F18" s="41">
        <f>SUM(F8:F17)</f>
        <v>0</v>
      </c>
      <c r="G18" s="41">
        <f>SUM(G8:G17)</f>
        <v>252240.69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1127</v>
      </c>
      <c r="E21" s="95">
        <f>'DOE25'!H22</f>
        <v>-26638.77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2863.37</v>
      </c>
      <c r="D22" s="95">
        <f>'DOE25'!G23</f>
        <v>0</v>
      </c>
      <c r="E22" s="95">
        <f>'DOE25'!H23</f>
        <v>7837.17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8150.12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1833.75</v>
      </c>
      <c r="D27" s="95">
        <f>'DOE25'!G28</f>
        <v>213.78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970.11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12847.24</v>
      </c>
      <c r="D31" s="41">
        <f>SUM(D21:D30)</f>
        <v>2310.89</v>
      </c>
      <c r="E31" s="41">
        <f>SUM(E21:E30)</f>
        <v>-18801.599999999999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29206.52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252240.69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84513.12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138719.64000000001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252240.69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151566.88</v>
      </c>
      <c r="D51" s="41">
        <f>D50+D31</f>
        <v>2310.89</v>
      </c>
      <c r="E51" s="41">
        <f>E50+E31</f>
        <v>-18801.599999999999</v>
      </c>
      <c r="F51" s="41">
        <f>F50+F31</f>
        <v>0</v>
      </c>
      <c r="G51" s="41">
        <f>G50+G31</f>
        <v>252240.69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2497091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1656.0700000000002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1955.96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3069.62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30404.04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7840.48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11452.51</v>
      </c>
      <c r="D62" s="130">
        <f>SUM(D57:D61)</f>
        <v>30404.04</v>
      </c>
      <c r="E62" s="130">
        <f>SUM(E57:E61)</f>
        <v>0</v>
      </c>
      <c r="F62" s="130">
        <f>SUM(F57:F61)</f>
        <v>0</v>
      </c>
      <c r="G62" s="130">
        <f>SUM(G57:G61)</f>
        <v>3069.62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2508543.5099999998</v>
      </c>
      <c r="D63" s="22">
        <f>D56+D62</f>
        <v>30404.04</v>
      </c>
      <c r="E63" s="22">
        <f>E56+E62</f>
        <v>0</v>
      </c>
      <c r="F63" s="22">
        <f>F56+F62</f>
        <v>0</v>
      </c>
      <c r="G63" s="22">
        <f>G56+G62</f>
        <v>3069.62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740137.63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367705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1109236.17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12150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33435.39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575.08000000000004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45585.39</v>
      </c>
      <c r="D78" s="130">
        <f>SUM(D72:D77)</f>
        <v>575.08000000000004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1154821.5599999998</v>
      </c>
      <c r="D81" s="130">
        <f>SUM(D79:D80)+D78+D70</f>
        <v>575.08000000000004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16870.330000000002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18501.3</v>
      </c>
      <c r="D88" s="95">
        <f>SUM('DOE25'!G153:G161)</f>
        <v>18547.88</v>
      </c>
      <c r="E88" s="95">
        <f>SUM('DOE25'!H153:H161)</f>
        <v>81232.53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18501.3</v>
      </c>
      <c r="D91" s="131">
        <f>SUM(D85:D90)</f>
        <v>18547.88</v>
      </c>
      <c r="E91" s="131">
        <f>SUM(E85:E90)</f>
        <v>98102.86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48012.87</v>
      </c>
      <c r="E96" s="95">
        <f>'DOE25'!H179</f>
        <v>0</v>
      </c>
      <c r="F96" s="95">
        <f>'DOE25'!I179</f>
        <v>0</v>
      </c>
      <c r="G96" s="95">
        <f>'DOE25'!J179</f>
        <v>28900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15000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15000</v>
      </c>
      <c r="D103" s="86">
        <f>SUM(D93:D102)</f>
        <v>48012.87</v>
      </c>
      <c r="E103" s="86">
        <f>SUM(E93:E102)</f>
        <v>0</v>
      </c>
      <c r="F103" s="86">
        <f>SUM(F93:F102)</f>
        <v>0</v>
      </c>
      <c r="G103" s="86">
        <f>SUM(G93:G102)</f>
        <v>28900</v>
      </c>
    </row>
    <row r="104" spans="1:7" ht="12.75" thickTop="1" thickBot="1" x14ac:dyDescent="0.25">
      <c r="A104" s="33" t="s">
        <v>759</v>
      </c>
      <c r="C104" s="86">
        <f>C63+C81+C91+C103</f>
        <v>3696866.3699999992</v>
      </c>
      <c r="D104" s="86">
        <f>D63+D81+D91+D103</f>
        <v>97539.87</v>
      </c>
      <c r="E104" s="86">
        <f>E63+E81+E91+E103</f>
        <v>98102.86</v>
      </c>
      <c r="F104" s="86">
        <f>F63+F81+F91+F103</f>
        <v>0</v>
      </c>
      <c r="G104" s="86">
        <f>G63+G81+G103</f>
        <v>31969.62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1881441.24</v>
      </c>
      <c r="D109" s="24" t="s">
        <v>286</v>
      </c>
      <c r="E109" s="95">
        <f>('DOE25'!L276)+('DOE25'!L295)+('DOE25'!L314)</f>
        <v>49400.82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505236.35000000009</v>
      </c>
      <c r="D110" s="24" t="s">
        <v>286</v>
      </c>
      <c r="E110" s="95">
        <f>('DOE25'!L277)+('DOE25'!L296)+('DOE25'!L315)</f>
        <v>36884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2550.62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24371.7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2413599.91</v>
      </c>
      <c r="D115" s="86">
        <f>SUM(D109:D114)</f>
        <v>0</v>
      </c>
      <c r="E115" s="86">
        <f>SUM(E109:E114)</f>
        <v>86284.82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172523.38999999998</v>
      </c>
      <c r="D118" s="24" t="s">
        <v>286</v>
      </c>
      <c r="E118" s="95">
        <f>+('DOE25'!L281)+('DOE25'!L300)+('DOE25'!L319)</f>
        <v>237.5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91979.099999999991</v>
      </c>
      <c r="D119" s="24" t="s">
        <v>286</v>
      </c>
      <c r="E119" s="95">
        <f>+('DOE25'!L282)+('DOE25'!L301)+('DOE25'!L320)</f>
        <v>7180.87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180308.52999999997</v>
      </c>
      <c r="D120" s="24" t="s">
        <v>286</v>
      </c>
      <c r="E120" s="95">
        <f>+('DOE25'!L283)+('DOE25'!L302)+('DOE25'!L321)</f>
        <v>1275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192345.74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27384.06</v>
      </c>
      <c r="D122" s="24" t="s">
        <v>286</v>
      </c>
      <c r="E122" s="95">
        <f>+('DOE25'!L285)+('DOE25'!L304)+('DOE25'!L323)</f>
        <v>3124.67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120542.92000000001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236589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1348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97539.87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1023020.7400000001</v>
      </c>
      <c r="D128" s="86">
        <f>SUM(D118:D127)</f>
        <v>97539.87</v>
      </c>
      <c r="E128" s="86">
        <f>SUM(E118:E127)</f>
        <v>11818.039999999999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40825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125000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12664.5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48012.87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29121.49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2848.1299999999997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-3069.6200000000026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255402.37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3692023.0200000005</v>
      </c>
      <c r="D145" s="86">
        <f>(D115+D128+D144)</f>
        <v>97539.87</v>
      </c>
      <c r="E145" s="86">
        <f>(E115+E128+E144)</f>
        <v>98102.86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08/07</v>
      </c>
      <c r="C152" s="152" t="str">
        <f>'DOE25'!G491</f>
        <v>08/15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08/17</v>
      </c>
      <c r="C153" s="152" t="str">
        <f>'DOE25'!G492</f>
        <v>08/20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440000</v>
      </c>
      <c r="C154" s="137">
        <f>'DOE25'!G493</f>
        <v>412000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4.28</v>
      </c>
      <c r="C155" s="137">
        <f>'DOE25'!G494</f>
        <v>2.1800000000000002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40000</v>
      </c>
      <c r="C156" s="137">
        <f>'DOE25'!G495</f>
        <v>327000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367000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40000</v>
      </c>
      <c r="C158" s="137">
        <f>'DOE25'!G497</f>
        <v>85000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242000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242000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14800.5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14800.5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256800.5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256800.5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90000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90000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6750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6750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96750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96750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Westmoreland 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15751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15751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1930842</v>
      </c>
      <c r="D10" s="182">
        <f>ROUND((C10/$C$28)*100,1)</f>
        <v>53.4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542120</v>
      </c>
      <c r="D11" s="182">
        <f>ROUND((C11/$C$28)*100,1)</f>
        <v>15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2551</v>
      </c>
      <c r="D12" s="182">
        <f>ROUND((C12/$C$28)*100,1)</f>
        <v>0.1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24372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172761</v>
      </c>
      <c r="D15" s="182">
        <f t="shared" ref="D15:D27" si="0">ROUND((C15/$C$28)*100,1)</f>
        <v>4.8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99160</v>
      </c>
      <c r="D16" s="182">
        <f t="shared" si="0"/>
        <v>2.7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182932</v>
      </c>
      <c r="D17" s="182">
        <f t="shared" si="0"/>
        <v>5.0999999999999996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192346</v>
      </c>
      <c r="D18" s="182">
        <f t="shared" si="0"/>
        <v>5.3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30509</v>
      </c>
      <c r="D19" s="182">
        <f t="shared" si="0"/>
        <v>0.8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120543</v>
      </c>
      <c r="D20" s="182">
        <f t="shared" si="0"/>
        <v>3.3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236589</v>
      </c>
      <c r="D21" s="182">
        <f t="shared" si="0"/>
        <v>6.5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12665</v>
      </c>
      <c r="D25" s="182">
        <f t="shared" si="0"/>
        <v>0.4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67135.959999999992</v>
      </c>
      <c r="D27" s="182">
        <f t="shared" si="0"/>
        <v>1.9</v>
      </c>
    </row>
    <row r="28" spans="1:4" x14ac:dyDescent="0.2">
      <c r="B28" s="187" t="s">
        <v>717</v>
      </c>
      <c r="C28" s="180">
        <f>SUM(C10:C27)</f>
        <v>3614525.96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40825</v>
      </c>
    </row>
    <row r="30" spans="1:4" x14ac:dyDescent="0.2">
      <c r="B30" s="187" t="s">
        <v>723</v>
      </c>
      <c r="C30" s="180">
        <f>SUM(C28:C29)</f>
        <v>3655350.96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125000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2497091</v>
      </c>
      <c r="D35" s="182">
        <f t="shared" ref="D35:D40" si="1">ROUND((C35/$C$41)*100,1)</f>
        <v>65.7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14522.129999999888</v>
      </c>
      <c r="D36" s="182">
        <f t="shared" si="1"/>
        <v>0.4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1107843</v>
      </c>
      <c r="D37" s="182">
        <f t="shared" si="1"/>
        <v>29.1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47554</v>
      </c>
      <c r="D38" s="182">
        <f t="shared" si="1"/>
        <v>1.3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135152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3802162.13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 xml:space="preserve">Westmoreland 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2018-09-19T17:41:02Z</cp:lastPrinted>
  <dcterms:created xsi:type="dcterms:W3CDTF">1997-12-04T19:04:30Z</dcterms:created>
  <dcterms:modified xsi:type="dcterms:W3CDTF">2018-11-30T17:44:49Z</dcterms:modified>
</cp:coreProperties>
</file>