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D5" i="13" s="1"/>
  <c r="C5" i="13" s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A31" i="12" s="1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L250" i="1"/>
  <c r="L332" i="1"/>
  <c r="L254" i="1"/>
  <c r="L268" i="1"/>
  <c r="L269" i="1"/>
  <c r="L349" i="1"/>
  <c r="L350" i="1"/>
  <c r="E143" i="2" s="1"/>
  <c r="I665" i="1"/>
  <c r="I670" i="1"/>
  <c r="G662" i="1"/>
  <c r="H662" i="1"/>
  <c r="I669" i="1"/>
  <c r="C42" i="10"/>
  <c r="C32" i="10"/>
  <c r="L374" i="1"/>
  <c r="L375" i="1"/>
  <c r="L376" i="1"/>
  <c r="L377" i="1"/>
  <c r="L378" i="1"/>
  <c r="F130" i="2" s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D115" i="2"/>
  <c r="F115" i="2"/>
  <c r="G115" i="2"/>
  <c r="C119" i="2"/>
  <c r="E119" i="2"/>
  <c r="E120" i="2"/>
  <c r="E121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I452" i="1"/>
  <c r="F460" i="1"/>
  <c r="G460" i="1"/>
  <c r="H460" i="1"/>
  <c r="H461" i="1" s="1"/>
  <c r="H641" i="1" s="1"/>
  <c r="F461" i="1"/>
  <c r="H639" i="1" s="1"/>
  <c r="G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F571" i="1" s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40" i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I257" i="1"/>
  <c r="D50" i="2"/>
  <c r="G62" i="2"/>
  <c r="D19" i="13"/>
  <c r="C19" i="13" s="1"/>
  <c r="E78" i="2"/>
  <c r="J571" i="1"/>
  <c r="I169" i="1"/>
  <c r="J476" i="1"/>
  <c r="H626" i="1" s="1"/>
  <c r="F476" i="1"/>
  <c r="H622" i="1" s="1"/>
  <c r="J140" i="1"/>
  <c r="G22" i="2"/>
  <c r="H552" i="1"/>
  <c r="H140" i="1"/>
  <c r="H571" i="1"/>
  <c r="H192" i="1"/>
  <c r="G36" i="2"/>
  <c r="H25" i="13" l="1"/>
  <c r="C25" i="13" s="1"/>
  <c r="J640" i="1"/>
  <c r="G156" i="2"/>
  <c r="C114" i="2"/>
  <c r="D91" i="2"/>
  <c r="E125" i="2"/>
  <c r="J639" i="1"/>
  <c r="L328" i="1"/>
  <c r="E122" i="2"/>
  <c r="K571" i="1"/>
  <c r="L560" i="1"/>
  <c r="J617" i="1"/>
  <c r="D18" i="2"/>
  <c r="L309" i="1"/>
  <c r="L229" i="1"/>
  <c r="K605" i="1"/>
  <c r="G648" i="1" s="1"/>
  <c r="H112" i="1"/>
  <c r="K500" i="1"/>
  <c r="L433" i="1"/>
  <c r="I52" i="1"/>
  <c r="H620" i="1" s="1"/>
  <c r="J620" i="1" s="1"/>
  <c r="F18" i="2"/>
  <c r="G161" i="2"/>
  <c r="G157" i="2"/>
  <c r="H33" i="13"/>
  <c r="G164" i="2"/>
  <c r="E81" i="2"/>
  <c r="E103" i="2"/>
  <c r="D81" i="2"/>
  <c r="C70" i="2"/>
  <c r="J552" i="1"/>
  <c r="L544" i="1"/>
  <c r="J545" i="1"/>
  <c r="G545" i="1"/>
  <c r="L534" i="1"/>
  <c r="I545" i="1"/>
  <c r="K551" i="1"/>
  <c r="K545" i="1"/>
  <c r="F552" i="1"/>
  <c r="L524" i="1"/>
  <c r="K549" i="1"/>
  <c r="H545" i="1"/>
  <c r="G645" i="1"/>
  <c r="L419" i="1"/>
  <c r="H408" i="1"/>
  <c r="H644" i="1" s="1"/>
  <c r="J644" i="1" s="1"/>
  <c r="L393" i="1"/>
  <c r="C138" i="2" s="1"/>
  <c r="J645" i="1"/>
  <c r="I460" i="1"/>
  <c r="I461" i="1"/>
  <c r="H642" i="1" s="1"/>
  <c r="J642" i="1" s="1"/>
  <c r="I446" i="1"/>
  <c r="G642" i="1" s="1"/>
  <c r="J651" i="1"/>
  <c r="K598" i="1"/>
  <c r="G647" i="1" s="1"/>
  <c r="F22" i="13"/>
  <c r="C22" i="13" s="1"/>
  <c r="C10" i="10"/>
  <c r="H338" i="1"/>
  <c r="H352" i="1" s="1"/>
  <c r="G338" i="1"/>
  <c r="G352" i="1" s="1"/>
  <c r="E118" i="2"/>
  <c r="E128" i="2" s="1"/>
  <c r="F338" i="1"/>
  <c r="F352" i="1" s="1"/>
  <c r="L290" i="1"/>
  <c r="H52" i="1"/>
  <c r="H619" i="1" s="1"/>
  <c r="J619" i="1" s="1"/>
  <c r="J622" i="1"/>
  <c r="C18" i="2"/>
  <c r="D62" i="2"/>
  <c r="D63" i="2" s="1"/>
  <c r="I476" i="1"/>
  <c r="H625" i="1" s="1"/>
  <c r="G476" i="1"/>
  <c r="H623" i="1" s="1"/>
  <c r="J623" i="1" s="1"/>
  <c r="C29" i="10"/>
  <c r="J634" i="1"/>
  <c r="L362" i="1"/>
  <c r="C27" i="10" s="1"/>
  <c r="D29" i="13"/>
  <c r="C29" i="13" s="1"/>
  <c r="G661" i="1"/>
  <c r="C26" i="10"/>
  <c r="L270" i="1"/>
  <c r="L256" i="1"/>
  <c r="C130" i="2"/>
  <c r="K257" i="1"/>
  <c r="K271" i="1" s="1"/>
  <c r="C20" i="10"/>
  <c r="J257" i="1"/>
  <c r="J271" i="1" s="1"/>
  <c r="L211" i="1"/>
  <c r="C123" i="2"/>
  <c r="H257" i="1"/>
  <c r="H271" i="1" s="1"/>
  <c r="G257" i="1"/>
  <c r="G271" i="1" s="1"/>
  <c r="L247" i="1"/>
  <c r="D12" i="13"/>
  <c r="C12" i="13" s="1"/>
  <c r="C121" i="2"/>
  <c r="E8" i="13"/>
  <c r="C8" i="13" s="1"/>
  <c r="C12" i="10"/>
  <c r="F257" i="1"/>
  <c r="F271" i="1" s="1"/>
  <c r="C91" i="2"/>
  <c r="F112" i="1"/>
  <c r="C36" i="10" s="1"/>
  <c r="H476" i="1"/>
  <c r="H624" i="1" s="1"/>
  <c r="J624" i="1" s="1"/>
  <c r="C78" i="2"/>
  <c r="C81" i="2" s="1"/>
  <c r="J641" i="1"/>
  <c r="E109" i="2"/>
  <c r="E115" i="2" s="1"/>
  <c r="G81" i="2"/>
  <c r="C62" i="2"/>
  <c r="F661" i="1"/>
  <c r="C19" i="10"/>
  <c r="C15" i="10"/>
  <c r="G112" i="1"/>
  <c r="C16" i="13"/>
  <c r="G552" i="1"/>
  <c r="I271" i="1"/>
  <c r="L539" i="1"/>
  <c r="K503" i="1"/>
  <c r="L382" i="1"/>
  <c r="G636" i="1" s="1"/>
  <c r="J636" i="1" s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D127" i="2"/>
  <c r="D128" i="2" s="1"/>
  <c r="D145" i="2" s="1"/>
  <c r="C124" i="2"/>
  <c r="C120" i="2"/>
  <c r="C111" i="2"/>
  <c r="C56" i="2"/>
  <c r="F662" i="1"/>
  <c r="I662" i="1" s="1"/>
  <c r="K352" i="1"/>
  <c r="F81" i="2"/>
  <c r="L351" i="1"/>
  <c r="H647" i="1"/>
  <c r="G625" i="1"/>
  <c r="J625" i="1" s="1"/>
  <c r="L614" i="1"/>
  <c r="L529" i="1"/>
  <c r="L54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I193" i="1" s="1"/>
  <c r="G630" i="1" s="1"/>
  <c r="J630" i="1" s="1"/>
  <c r="A22" i="12"/>
  <c r="J652" i="1"/>
  <c r="G571" i="1"/>
  <c r="I434" i="1"/>
  <c r="G434" i="1"/>
  <c r="I663" i="1"/>
  <c r="G635" i="1"/>
  <c r="J635" i="1" s="1"/>
  <c r="G51" i="2" l="1"/>
  <c r="F104" i="2"/>
  <c r="D104" i="2"/>
  <c r="C115" i="2"/>
  <c r="F33" i="13"/>
  <c r="K552" i="1"/>
  <c r="H646" i="1"/>
  <c r="J646" i="1" s="1"/>
  <c r="J647" i="1"/>
  <c r="L338" i="1"/>
  <c r="H648" i="1"/>
  <c r="J648" i="1" s="1"/>
  <c r="E145" i="2"/>
  <c r="F660" i="1"/>
  <c r="F664" i="1" s="1"/>
  <c r="G664" i="1"/>
  <c r="G667" i="1" s="1"/>
  <c r="I661" i="1"/>
  <c r="C144" i="2"/>
  <c r="L257" i="1"/>
  <c r="L271" i="1" s="1"/>
  <c r="G632" i="1" s="1"/>
  <c r="J632" i="1" s="1"/>
  <c r="H660" i="1"/>
  <c r="H664" i="1" s="1"/>
  <c r="H672" i="1" s="1"/>
  <c r="C6" i="10" s="1"/>
  <c r="C128" i="2"/>
  <c r="F193" i="1"/>
  <c r="G627" i="1" s="1"/>
  <c r="J627" i="1" s="1"/>
  <c r="D31" i="13"/>
  <c r="C31" i="13" s="1"/>
  <c r="G104" i="2"/>
  <c r="E33" i="13"/>
  <c r="D35" i="13" s="1"/>
  <c r="C28" i="10"/>
  <c r="D22" i="10" s="1"/>
  <c r="L352" i="1"/>
  <c r="G633" i="1" s="1"/>
  <c r="J633" i="1" s="1"/>
  <c r="C63" i="2"/>
  <c r="C104" i="2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D33" i="13"/>
  <c r="D36" i="13" s="1"/>
  <c r="G672" i="1"/>
  <c r="C5" i="10" s="1"/>
  <c r="I660" i="1"/>
  <c r="I664" i="1" s="1"/>
  <c r="I672" i="1" s="1"/>
  <c r="C7" i="10" s="1"/>
  <c r="H667" i="1"/>
  <c r="D11" i="10"/>
  <c r="D15" i="10"/>
  <c r="D20" i="10"/>
  <c r="D12" i="10"/>
  <c r="D13" i="10"/>
  <c r="D23" i="10"/>
  <c r="D25" i="10"/>
  <c r="D27" i="10"/>
  <c r="D18" i="10"/>
  <c r="D17" i="10"/>
  <c r="D16" i="10"/>
  <c r="D10" i="10"/>
  <c r="D26" i="10"/>
  <c r="C30" i="10"/>
  <c r="D24" i="10"/>
  <c r="D19" i="10"/>
  <c r="D21" i="10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<sst xmlns="http://schemas.openxmlformats.org/spreadsheetml/2006/main" count="3966" uniqueCount="918">
  <si>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</si>
  <si>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</si>
  <si>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</si>
  <si>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</si>
  <si>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</si>
  <si>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</si>
  <si>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</si>
  <si>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</si>
  <si>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</si>
  <si>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</si>
  <si>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</si>
  <si>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</si>
  <si>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</si>
  <si>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</si>
  <si>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</si>
  <si>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</si>
  <si>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</si>
  <si>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</si>
  <si>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</si>
  <si>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</si>
  <si>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</si>
  <si>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</si>
  <si>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</si>
  <si>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</si>
  <si>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</si>
  <si>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</si>
  <si>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</si>
  <si>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</si>
  <si>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</si>
  <si>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</si>
  <si>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</si>
  <si>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</si>
  <si>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</si>
  <si>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</si>
  <si>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</si>
  <si>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</si>
  <si>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</si>
  <si>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</si>
  <si>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</si>
  <si>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</si>
  <si>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</si>
  <si>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</si>
  <si>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</si>
  <si>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</si>
  <si>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</si>
  <si>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</si>
  <si>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</si>
  <si>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</si>
  <si>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</si>
  <si>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</si>
  <si>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</si>
  <si>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</si>
  <si>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</si>
  <si>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</si>
  <si>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</si>
  <si>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</si>
  <si>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</si>
  <si>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</si>
  <si>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</si>
  <si>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</si>
  <si>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</si>
  <si>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</si>
  <si>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</si>
  <si>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</si>
  <si>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</si>
  <si>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</si>
  <si>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</si>
  <si>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</si>
  <si>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</si>
  <si>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</si>
  <si>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</si>
  <si>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</si>
  <si>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</si>
  <si>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</si>
  <si>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</si>
  <si>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</si>
  <si>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</si>
  <si>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</si>
  <si>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</si>
  <si>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</si>
  <si>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</si>
  <si>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</si>
  <si>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</si>
  <si>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</si>
  <si>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</si>
  <si>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</si>
  <si>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</si>
  <si>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</si>
  <si>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</si>
  <si>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</si>
  <si>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</si>
  <si>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</si>
  <si>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</si>
  <si>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</si>
  <si>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</si>
  <si>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</si>
  <si>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</si>
  <si>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</si>
  <si>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</si>
  <si>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</si>
  <si>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</si>
  <si>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</si>
  <si>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</si>
  <si>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</si>
  <si>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</si>
  <si>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</si>
  <si>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</si>
  <si>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</si>
  <si>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</si>
  <si>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</si>
  <si>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</si>
  <si>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</si>
  <si>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</si>
  <si>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</si>
  <si>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</si>
  <si>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</si>
  <si>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</si>
  <si>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</si>
  <si>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</si>
  <si>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</si>
  <si>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</si>
  <si>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</si>
  <si>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</si>
  <si>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</si>
  <si>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</si>
  <si>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</si>
  <si>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</si>
  <si>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</si>
  <si>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</si>
  <si>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</si>
  <si>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</si>
  <si>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</si>
  <si>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</si>
  <si>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</si>
  <si>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</si>
  <si>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</si>
  <si>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</si>
  <si>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</si>
  <si>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</si>
  <si>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</si>
  <si>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</si>
  <si>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</si>
  <si>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</si>
  <si>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</si>
  <si>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</si>
  <si>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</si>
  <si>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</si>
  <si>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</si>
  <si>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</si>
  <si>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</si>
  <si>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</si>
  <si>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</si>
  <si>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</si>
  <si>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</si>
  <si>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</si>
  <si>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</si>
  <si>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</si>
  <si>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</si>
  <si>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</si>
  <si>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</si>
  <si>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</si>
  <si>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</si>
  <si>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</si>
  <si>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</si>
  <si>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</si>
  <si>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</si>
  <si>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</si>
  <si>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</si>
  <si>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</si>
  <si>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</si>
  <si>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</si>
  <si>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</si>
  <si>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</si>
  <si>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</si>
  <si>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</si>
  <si>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</si>
  <si>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</si>
  <si>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</si>
  <si>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</si>
  <si>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</si>
  <si>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</si>
  <si>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</si>
  <si>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</si>
  <si>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</si>
  <si>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</si>
  <si>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</si>
  <si>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</si>
  <si>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</si>
  <si>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</si>
  <si>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</si>
  <si>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</si>
  <si>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</si>
  <si>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</si>
  <si>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</si>
  <si>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</si>
  <si>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</si>
  <si>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</si>
  <si>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</si>
  <si>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</si>
  <si>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</si>
  <si>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</si>
  <si>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</si>
  <si>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</si>
  <si>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</si>
  <si>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</si>
  <si>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</si>
  <si>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</si>
  <si>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</si>
  <si>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</si>
  <si>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</si>
  <si>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</si>
  <si>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</si>
  <si>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</si>
  <si>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</si>
  <si>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</si>
  <si>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</si>
  <si>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</si>
  <si>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</si>
  <si>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</si>
  <si>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</si>
  <si>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</si>
  <si>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</si>
  <si>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</si>
  <si>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</si>
  <si>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</si>
  <si>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</si>
  <si>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</si>
  <si>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</si>
  <si>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</si>
  <si>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</si>
  <si>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</si>
  <si>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</si>
  <si>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</si>
  <si>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</si>
  <si>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</si>
  <si>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</si>
  <si>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</si>
  <si>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</si>
  <si>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</si>
  <si>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</si>
  <si>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</si>
  <si>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</si>
  <si>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</si>
  <si>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</si>
  <si>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</si>
  <si>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</si>
  <si>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</si>
  <si>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</si>
  <si>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</si>
  <si>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</si>
  <si>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</si>
  <si>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</si>
  <si>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</si>
  <si>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</si>
  <si>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</si>
  <si>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</si>
  <si>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</si>
  <si>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</si>
  <si>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</si>
  <si>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</si>
  <si>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</si>
  <si>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</si>
  <si>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</si>
  <si>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</si>
  <si>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</si>
  <si>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</si>
  <si>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</si>
  <si>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</si>
  <si>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</si>
  <si>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</si>
  <si>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</si>
  <si>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</si>
  <si>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</si>
  <si>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</si>
  <si>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</si>
  <si>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</si>
  <si>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</si>
  <si>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</si>
  <si>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</si>
  <si>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</si>
  <si>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</si>
  <si>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</si>
  <si>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</si>
  <si>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</si>
  <si>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</si>
  <si>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</si>
  <si>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</si>
  <si>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</si>
  <si>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</si>
  <si>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</si>
  <si>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</si>
  <si>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</si>
  <si>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</si>
  <si>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</si>
  <si>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</si>
  <si>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</si>
  <si>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</si>
  <si>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</si>
  <si>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</si>
  <si>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</si>
  <si>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</si>
  <si>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</si>
  <si>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</si>
  <si>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</si>
  <si>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</si>
  <si>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</si>
  <si>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</si>
  <si>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</si>
  <si>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</si>
  <si>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</si>
  <si>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</si>
  <si>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</si>
  <si>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</si>
  <si>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</si>
  <si>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</si>
  <si>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</si>
  <si>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</si>
  <si>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</si>
  <si>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</si>
  <si>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</si>
  <si>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</si>
  <si>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</si>
  <si>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</si>
  <si>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</si>
  <si>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</si>
  <si>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</si>
  <si>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</si>
  <si>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</si>
  <si>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</si>
  <si>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</si>
  <si>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</si>
  <si>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</si>
  <si>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</si>
  <si>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</si>
  <si>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</si>
  <si>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</si>
  <si>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</si>
  <si>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</si>
  <si>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</si>
  <si>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</si>
  <si>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</si>
  <si>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</si>
  <si>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</si>
  <si>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</si>
  <si>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</si>
  <si>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</si>
  <si>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</si>
  <si>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</si>
  <si>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</si>
  <si>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</si>
  <si>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</si>
  <si>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</si>
  <si>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</si>
  <si>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</si>
  <si>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</si>
  <si>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</si>
  <si>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</si>
  <si>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</si>
  <si>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</si>
  <si>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</si>
  <si>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</si>
  <si>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</si>
  <si>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</si>
  <si>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</si>
  <si>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</si>
  <si>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</si>
  <si>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</si>
  <si>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</si>
  <si>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</si>
  <si>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</si>
  <si>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</si>
  <si>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</si>
  <si>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</si>
  <si>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</si>
  <si>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</si>
  <si>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</si>
  <si>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</si>
  <si>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</si>
  <si>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</si>
  <si>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</si>
  <si>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</si>
  <si>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</si>
  <si>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</si>
  <si>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</si>
  <si>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</si>
  <si>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</si>
  <si>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</si>
  <si>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</si>
  <si>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</si>
  <si>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</si>
  <si>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</si>
  <si>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</si>
  <si>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</si>
  <si>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</si>
  <si>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</si>
  <si>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</si>
  <si>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</si>
  <si>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</si>
  <si>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</si>
  <si>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</si>
  <si>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</si>
  <si>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</si>
  <si>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</si>
  <si>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</si>
  <si>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</si>
  <si>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</si>
  <si>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</si>
  <si>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</si>
  <si>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</si>
  <si>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</si>
  <si>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</si>
  <si>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</si>
  <si>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</si>
  <si>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</si>
  <si>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</si>
  <si>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</si>
  <si>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</si>
  <si>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</si>
  <si>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</si>
  <si>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</si>
  <si>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</si>
  <si>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</si>
  <si>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</si>
  <si>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</si>
  <si>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</si>
  <si>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</si>
  <si>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</si>
  <si>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</si>
  <si>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</si>
  <si>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</si>
  <si>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</si>
  <si>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</si>
  <si>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</si>
  <si>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</si>
  <si>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</si>
  <si>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</si>
  <si>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</si>
  <si>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</si>
  <si>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</si>
  <si>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</si>
  <si>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</si>
  <si>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</si>
  <si>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</si>
  <si>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</si>
  <si>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</si>
  <si>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</si>
  <si>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</si>
  <si>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</si>
  <si>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</si>
  <si>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</si>
  <si>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</si>
  <si>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</si>
  <si>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</si>
  <si>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</si>
  <si>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</si>
  <si>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</si>
  <si>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</si>
  <si>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</si>
  <si>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</si>
  <si>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</si>
  <si>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</si>
  <si>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</si>
  <si>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</si>
  <si>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</si>
  <si>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</si>
  <si>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</si>
  <si>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</si>
  <si>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</si>
  <si>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</si>
  <si>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</si>
  <si>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</si>
  <si>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</si>
  <si>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</si>
  <si>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</si>
  <si>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</si>
  <si>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</si>
  <si>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</si>
  <si>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</si>
  <si>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</si>
  <si>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</si>
  <si>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</si>
  <si>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</si>
  <si>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</si>
  <si>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</si>
  <si>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</si>
  <si>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</si>
  <si>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</si>
  <si>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</si>
  <si>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</si>
  <si>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</si>
  <si>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</si>
  <si>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</si>
  <si>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</si>
  <si>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</si>
  <si>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</si>
  <si>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</si>
  <si>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</si>
  <si>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</si>
  <si>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</si>
  <si>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</si>
  <si>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</si>
  <si>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</si>
  <si>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</si>
  <si>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</si>
  <si>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</si>
  <si>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</si>
  <si>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</si>
  <si>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</si>
  <si>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</si>
  <si>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</si>
  <si>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</si>
  <si>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</si>
  <si>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</si>
  <si>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</si>
  <si>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</si>
  <si>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</si>
  <si>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</si>
  <si>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</si>
  <si>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</si>
  <si>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</si>
  <si>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</si>
  <si>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</si>
  <si>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</si>
  <si>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</si>
  <si>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</si>
  <si>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</si>
  <si>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</si>
  <si>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</si>
  <si>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</si>
  <si>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</si>
  <si>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</si>
  <si>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</si>
  <si>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</si>
  <si>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</si>
  <si>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</si>
  <si>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</si>
  <si>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</si>
  <si>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</si>
  <si>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</si>
  <si>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</si>
  <si>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</si>
  <si>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</si>
  <si>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</si>
  <si>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</si>
  <si>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</si>
  <si>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</si>
  <si>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</si>
  <si>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</si>
  <si>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</si>
  <si>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</si>
  <si>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</si>
  <si>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</si>
  <si>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</si>
  <si>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</si>
  <si>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</si>
  <si>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</si>
  <si>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</si>
  <si>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</si>
  <si>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</si>
  <si>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</si>
  <si>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</si>
  <si>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</si>
  <si>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</si>
  <si>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</si>
  <si>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</si>
  <si>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</si>
  <si>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</si>
  <si>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</si>
  <si>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</si>
  <si>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</si>
  <si>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</si>
  <si>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</si>
  <si>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</si>
  <si>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</si>
  <si>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</si>
  <si>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</si>
  <si>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</si>
  <si>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</si>
  <si>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</si>
  <si>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</si>
  <si>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</si>
  <si>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</si>
  <si>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</si>
  <si>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</si>
  <si>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</si>
  <si>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</si>
  <si>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</si>
  <si>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</si>
  <si>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</si>
  <si>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</si>
  <si>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</si>
  <si>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</si>
  <si>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</si>
  <si>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</si>
  <si>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</si>
  <si>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</si>
  <si>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</si>
  <si>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</si>
  <si>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</si>
  <si>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</si>
  <si>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</si>
  <si>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</si>
  <si>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</si>
  <si>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</si>
  <si>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</si>
  <si>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</si>
  <si>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</si>
  <si>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</si>
  <si>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</si>
  <si>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</si>
  <si>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</si>
  <si>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</si>
  <si>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</si>
  <si>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</si>
  <si>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</si>
  <si>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</si>
  <si>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</si>
  <si>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</si>
  <si>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</si>
  <si>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</si>
  <si>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</si>
  <si>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</si>
  <si>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</si>
  <si>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</si>
  <si>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</si>
  <si>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</si>
  <si>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</si>
  <si>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</si>
  <si>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</si>
  <si>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</si>
  <si>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</si>
  <si>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</si>
  <si>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</si>
  <si>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</si>
  <si>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</si>
  <si>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</si>
  <si>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</si>
  <si>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</si>
  <si>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</si>
  <si>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</si>
  <si>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</si>
  <si>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</si>
  <si>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</si>
  <si>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</si>
  <si>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</si>
  <si>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</si>
  <si>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</si>
  <si>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</si>
  <si>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</si>
  <si>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</si>
  <si>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</si>
  <si>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</si>
  <si>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</si>
  <si>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</si>
  <si>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</si>
  <si>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</si>
  <si>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</si>
  <si>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</si>
  <si>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</si>
  <si>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</si>
  <si>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</si>
  <si>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</si>
  <si>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</si>
  <si>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</si>
  <si>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</si>
  <si>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</si>
  <si>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</si>
  <si>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</si>
  <si>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</si>
  <si>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</si>
  <si>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</si>
  <si>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</si>
  <si>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</si>
  <si>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</si>
  <si>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</si>
  <si>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</si>
  <si>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</si>
  <si>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</si>
  <si>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</si>
  <si>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</si>
  <si>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</si>
  <si>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</si>
  <si>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</si>
  <si>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</si>
  <si>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</si>
  <si>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</si>
  <si>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</si>
  <si>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</si>
  <si>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</si>
  <si>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</si>
  <si>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</si>
  <si>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</si>
  <si>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</si>
  <si>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</si>
  <si>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</si>
  <si>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</si>
  <si>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</si>
  <si>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</si>
  <si>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</si>
  <si>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</si>
  <si>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</si>
  <si>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</si>
  <si>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</si>
  <si>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</si>
  <si>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</si>
  <si>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</si>
  <si>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</si>
  <si>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</si>
  <si>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</si>
  <si>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</si>
  <si>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</si>
  <si>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</si>
  <si>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</si>
  <si>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</si>
  <si>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</si>
  <si>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</si>
  <si>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</si>
  <si>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</si>
  <si>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</si>
  <si>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</si>
  <si>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</si>
  <si>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</si>
  <si>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</si>
  <si>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</si>
  <si>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</si>
  <si>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</si>
  <si>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</si>
  <si>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</si>
  <si>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</si>
  <si>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</si>
  <si>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</si>
  <si>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</si>
  <si>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</si>
  <si>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</si>
  <si>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</si>
  <si>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</si>
  <si>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</si>
  <si>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</si>
  <si>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</si>
  <si>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</si>
  <si>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</si>
  <si>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</si>
  <si>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</si>
  <si>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</si>
  <si>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</si>
  <si>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</si>
  <si>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</si>
  <si>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</si>
  <si>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</si>
  <si>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</si>
  <si>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</si>
  <si>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</si>
  <si>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</si>
  <si>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</si>
  <si>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</si>
  <si>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</si>
  <si>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</si>
  <si>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</si>
  <si>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</si>
  <si>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</si>
  <si>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</si>
  <si>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</si>
  <si>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</si>
  <si>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</si>
  <si>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</si>
  <si>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</si>
  <si>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</si>
  <si>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</si>
  <si>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</si>
  <si>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</si>
  <si>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</si>
  <si>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</si>
  <si>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</si>
  <si>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</si>
  <si>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</si>
  <si>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</si>
  <si>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</si>
  <si>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</si>
  <si>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</si>
  <si>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</si>
  <si>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</si>
  <si>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</si>
  <si>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</si>
  <si>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</si>
  <si>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</si>
  <si>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</si>
  <si>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</si>
  <si>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</si>
  <si>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</si>
  <si>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</si>
  <si>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</si>
  <si>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</si>
  <si>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</si>
  <si>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</si>
  <si>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</si>
  <si>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</si>
  <si>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</si>
  <si>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</si>
  <si>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</si>
  <si>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</si>
  <si>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</si>
  <si>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</si>
  <si>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</si>
  <si>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</si>
  <si>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</si>
  <si>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</si>
  <si>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</si>
  <si>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</si>
  <si>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</si>
  <si>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</si>
  <si>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</si>
  <si>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</si>
  <si>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</si>
  <si>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</si>
  <si>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</si>
  <si>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</si>
  <si>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</si>
  <si>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</si>
  <si>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</si>
  <si>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</si>
  <si>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</si>
  <si>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</si>
  <si>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</si>
  <si>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</si>
  <si>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</si>
  <si>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</si>
  <si>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</si>
  <si>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</si>
  <si>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</si>
  <si>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</si>
  <si>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</si>
  <si>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</si>
  <si>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</si>
  <si>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</si>
  <si>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</si>
  <si>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</si>
  <si>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</si>
  <si>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</si>
  <si>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</si>
  <si>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</si>
  <si>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</si>
  <si>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</si>
  <si>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</si>
  <si>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</si>
  <si>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</si>
  <si>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</si>
  <si>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</si>
  <si>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</si>
  <si>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</si>
  <si>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</si>
  <si>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</si>
  <si>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</si>
  <si>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</si>
  <si>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</si>
  <si>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</si>
  <si>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</si>
  <si>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</si>
  <si>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</si>
  <si>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</si>
  <si>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</si>
  <si>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</si>
  <si>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</si>
  <si>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</si>
  <si>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</si>
  <si>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</si>
  <si>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</si>
  <si>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</si>
  <si>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</si>
  <si>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</si>
  <si>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</si>
  <si>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</si>
  <si>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</si>
  <si>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</si>
  <si>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</si>
  <si>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</si>
  <si>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</si>
  <si>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</si>
  <si>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</si>
  <si>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</si>
  <si>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</si>
  <si>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</si>
  <si>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</si>
  <si>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</si>
  <si>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</si>
  <si>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</si>
  <si>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</si>
  <si>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</si>
  <si>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</si>
  <si>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</si>
  <si>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</si>
  <si>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</si>
  <si>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</si>
  <si>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</si>
  <si>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</si>
  <si>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</si>
  <si>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</si>
  <si>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</si>
  <si>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</si>
  <si>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</si>
  <si>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</si>
  <si>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</si>
  <si>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</si>
  <si>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</si>
  <si>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</si>
  <si>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</si>
  <si>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</si>
  <si>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</si>
  <si>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</si>
  <si>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</si>
  <si>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</si>
  <si>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</si>
  <si>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</si>
  <si>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WHITE MOUNTAINS REGIONAL SCHOOL DIST</t>
  </si>
  <si>
    <t>it will be transferred to the trustees to be deposited into a CRF per voter approval.</t>
  </si>
  <si>
    <t>The difference between our numbers is the difference between last year's surcharge reimbursement</t>
  </si>
  <si>
    <t xml:space="preserve">tuition surcharge (state share) which we will receive in FY19. This was also set up as a payable, because </t>
  </si>
  <si>
    <t xml:space="preserve">The CTE tuition revenue will not match your figure, because it includes a receivable for the FY18 CTE </t>
  </si>
  <si>
    <t>received and this year's surcharge receivable.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</si>
</sst>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5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568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1122843.76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162.6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212580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128009.2</v>
      </c>
      <c r="G13" s="18">
        <v>15320.92</v>
      </c>
      <c r="H13" s="18">
        <v>322076.52</v>
      </c>
      <c r="I13" s="18"/>
      <c r="J13" s="67">
        <f>SUM(I442)</f>
        <v>1461585.17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9161.69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10429.9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1483187.15</v>
      </c>
      <c r="G19" s="41">
        <f>SUM(G9:G18)</f>
        <v>15320.92</v>
      </c>
      <c r="H19" s="41">
        <f>SUM(H9:H18)</f>
        <v>322076.52</v>
      </c>
      <c r="I19" s="41">
        <f>SUM(I9:I18)</f>
        <v>0</v>
      </c>
      <c r="J19" s="41">
        <f>SUM(J9:J18)</f>
        <v>1461585.17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-278543.52</v>
      </c>
      <c r="G22" s="18">
        <v>15320.92</v>
      </c>
      <c r="H22" s="18">
        <v>263222.59999999998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12323.47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1240650.1499999999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-773.05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1505</v>
      </c>
      <c r="G30" s="18"/>
      <c r="H30" s="18">
        <v>33100.370000000003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975162.04999999981</v>
      </c>
      <c r="G32" s="41">
        <f>SUM(G22:G31)</f>
        <v>15320.92</v>
      </c>
      <c r="H32" s="41">
        <f>SUM(H22:H31)</f>
        <v>296322.96999999997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341409.14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 t="s">
        <v>284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25753.55</v>
      </c>
      <c r="I48" s="18"/>
      <c r="J48" s="13">
        <f>SUM(I459)</f>
        <v>1461585.17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166615.96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508025.1</v>
      </c>
      <c r="G51" s="41">
        <f>SUM(G35:G50)</f>
        <v>0</v>
      </c>
      <c r="H51" s="41">
        <f>SUM(H35:H50)</f>
        <v>25753.55</v>
      </c>
      <c r="I51" s="41">
        <f>SUM(I35:I50)</f>
        <v>0</v>
      </c>
      <c r="J51" s="41">
        <f>SUM(J35:J50)</f>
        <v>1461585.17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1483187.15</v>
      </c>
      <c r="G52" s="41">
        <f>G51+G32</f>
        <v>15320.92</v>
      </c>
      <c r="H52" s="41">
        <f>H51+H32</f>
        <v>322076.51999999996</v>
      </c>
      <c r="I52" s="41">
        <f>I51+I32</f>
        <v>0</v>
      </c>
      <c r="J52" s="41">
        <f>J51+J32</f>
        <v>1461585.17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9997021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9997021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16717.830000000002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30263.09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47776.26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473463.85</v>
      </c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33172.06</v>
      </c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601393.09000000008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3485.04</v>
      </c>
      <c r="G96" s="18"/>
      <c r="H96" s="18"/>
      <c r="I96" s="18"/>
      <c r="J96" s="18">
        <v>8894.19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177618.09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2935</v>
      </c>
      <c r="G98" s="24" t="s">
        <v>286</v>
      </c>
      <c r="H98" s="18">
        <v>20854.38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21945.75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96943.4</v>
      </c>
      <c r="G110" s="18">
        <v>1629</v>
      </c>
      <c r="H110" s="18">
        <v>105124.98</v>
      </c>
      <c r="I110" s="18"/>
      <c r="J110" s="18">
        <v>42388.83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125309.19</v>
      </c>
      <c r="G111" s="41">
        <f>SUM(G96:G110)</f>
        <v>179247.09</v>
      </c>
      <c r="H111" s="41">
        <f>SUM(H96:H110)</f>
        <v>125979.36</v>
      </c>
      <c r="I111" s="41">
        <f>SUM(I96:I110)</f>
        <v>0</v>
      </c>
      <c r="J111" s="41">
        <f>SUM(J96:J110)</f>
        <v>51283.020000000004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10723723.279999999</v>
      </c>
      <c r="G112" s="41">
        <f>G60+G111</f>
        <v>179247.09</v>
      </c>
      <c r="H112" s="41">
        <f>H60+H79+H94+H111</f>
        <v>125979.36</v>
      </c>
      <c r="I112" s="41">
        <f>I60+I111</f>
        <v>0</v>
      </c>
      <c r="J112" s="41">
        <f>J60+J111</f>
        <v>51283.020000000004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6474718.5599999996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2098102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5399.71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8578220.2699999996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20777.8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96157.43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13619.2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>
        <v>6499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7152.95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13248.64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143803.07</v>
      </c>
      <c r="G136" s="41">
        <f>SUM(G123:G135)</f>
        <v>7152.95</v>
      </c>
      <c r="H136" s="41">
        <f>SUM(H123:H135)</f>
        <v>6499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8722023.3399999999</v>
      </c>
      <c r="G140" s="41">
        <f>G121+SUM(G136:G137)</f>
        <v>7152.95</v>
      </c>
      <c r="H140" s="41">
        <f>H121+SUM(H136:H139)</f>
        <v>6499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>
        <v>4852.53</v>
      </c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>
        <v>308637.37</v>
      </c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647898.6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67156.33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72631.490000000005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297273.82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275934.67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59965.05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33274.699999999997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59965.05</v>
      </c>
      <c r="G162" s="41">
        <f>SUM(G150:G161)</f>
        <v>297273.82</v>
      </c>
      <c r="H162" s="41">
        <f>SUM(H150:H161)</f>
        <v>1410385.69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11850.43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71815.48000000001</v>
      </c>
      <c r="G169" s="41">
        <f>G147+G162+SUM(G163:G168)</f>
        <v>297273.82</v>
      </c>
      <c r="H169" s="41">
        <f>H147+H162+SUM(H163:H168)</f>
        <v>1410385.69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78483.460000000006</v>
      </c>
      <c r="H179" s="18"/>
      <c r="I179" s="18"/>
      <c r="J179" s="18">
        <v>447323.47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67240.12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 t="s">
        <v>284</v>
      </c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67240.12</v>
      </c>
      <c r="G183" s="41">
        <f>SUM(G179:G182)</f>
        <v>78483.460000000006</v>
      </c>
      <c r="H183" s="41">
        <f>SUM(H179:H182)</f>
        <v>0</v>
      </c>
      <c r="I183" s="41">
        <f>SUM(I179:I182)</f>
        <v>0</v>
      </c>
      <c r="J183" s="41">
        <f>SUM(J179:J182)</f>
        <v>447323.47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67240.12</v>
      </c>
      <c r="G192" s="41">
        <f>G183+SUM(G188:G191)</f>
        <v>78483.460000000006</v>
      </c>
      <c r="H192" s="41">
        <f>+H183+SUM(H188:H191)</f>
        <v>0</v>
      </c>
      <c r="I192" s="41">
        <f>I177+I183+SUM(I188:I191)</f>
        <v>0</v>
      </c>
      <c r="J192" s="41">
        <f>J183</f>
        <v>447323.47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19584802.219999999</v>
      </c>
      <c r="G193" s="47">
        <f>G112+G140+G169+G192</f>
        <v>562157.31999999995</v>
      </c>
      <c r="H193" s="47">
        <f>H112+H140+H169+H192</f>
        <v>1542864.0499999998</v>
      </c>
      <c r="I193" s="47">
        <f>I112+I140+I169+I192</f>
        <v>0</v>
      </c>
      <c r="J193" s="47">
        <f>J112+J140+J192</f>
        <v>498606.49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3107890.74</v>
      </c>
      <c r="G197" s="18">
        <v>1722298.37</v>
      </c>
      <c r="H197" s="18">
        <v>173015.16</v>
      </c>
      <c r="I197" s="18">
        <v>173914.43</v>
      </c>
      <c r="J197" s="18">
        <v>63130.87</v>
      </c>
      <c r="K197" s="18">
        <v>46278.2</v>
      </c>
      <c r="L197" s="19">
        <f>SUM(F197:K197)</f>
        <v>5286527.7700000005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823228.99</v>
      </c>
      <c r="G198" s="18">
        <v>533208.23</v>
      </c>
      <c r="H198" s="18">
        <v>274727.21999999997</v>
      </c>
      <c r="I198" s="18">
        <v>2845.48</v>
      </c>
      <c r="J198" s="18">
        <v>371.88</v>
      </c>
      <c r="K198" s="18"/>
      <c r="L198" s="19">
        <f>SUM(F198:K198)</f>
        <v>1634381.7999999998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>
        <v>0</v>
      </c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68642.75</v>
      </c>
      <c r="G200" s="18">
        <v>13642.54</v>
      </c>
      <c r="H200" s="18">
        <v>11579.65</v>
      </c>
      <c r="I200" s="18">
        <v>4285.1099999999997</v>
      </c>
      <c r="J200" s="18">
        <v>1979.63</v>
      </c>
      <c r="K200" s="18">
        <v>3969.33</v>
      </c>
      <c r="L200" s="19">
        <f>SUM(F200:K200)</f>
        <v>104099.01000000001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638990.67000000004</v>
      </c>
      <c r="G202" s="18">
        <v>342102.85</v>
      </c>
      <c r="H202" s="18">
        <v>4321.1899999999996</v>
      </c>
      <c r="I202" s="18">
        <v>9428.4599999999991</v>
      </c>
      <c r="J202" s="18">
        <v>95</v>
      </c>
      <c r="K202" s="18">
        <v>5518</v>
      </c>
      <c r="L202" s="19">
        <f t="shared" ref="L202:L208" si="0">SUM(F202:K202)</f>
        <v>1000456.1699999999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130109.82</v>
      </c>
      <c r="G203" s="18">
        <v>111965.99</v>
      </c>
      <c r="H203" s="18">
        <v>38349.120000000003</v>
      </c>
      <c r="I203" s="18">
        <v>13751.03</v>
      </c>
      <c r="J203" s="18">
        <v>10685.95</v>
      </c>
      <c r="K203" s="18">
        <v>6033.77</v>
      </c>
      <c r="L203" s="19">
        <f t="shared" si="0"/>
        <v>310895.68000000005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379365.73</v>
      </c>
      <c r="G204" s="18">
        <v>176989.02</v>
      </c>
      <c r="H204" s="18">
        <v>132894.35</v>
      </c>
      <c r="I204" s="18">
        <v>8243.06</v>
      </c>
      <c r="J204" s="18">
        <v>2794.44</v>
      </c>
      <c r="K204" s="18">
        <v>31976.17</v>
      </c>
      <c r="L204" s="19">
        <f t="shared" si="0"/>
        <v>732262.77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573010.62</v>
      </c>
      <c r="G205" s="18">
        <v>269643.7</v>
      </c>
      <c r="H205" s="18">
        <v>53746.09</v>
      </c>
      <c r="I205" s="18">
        <v>3627.66</v>
      </c>
      <c r="J205" s="18">
        <v>25993.97</v>
      </c>
      <c r="K205" s="18">
        <v>22491.67</v>
      </c>
      <c r="L205" s="19">
        <f t="shared" si="0"/>
        <v>948513.71000000008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102650.12</v>
      </c>
      <c r="G206" s="18">
        <v>58124.85</v>
      </c>
      <c r="H206" s="18">
        <v>1892.37</v>
      </c>
      <c r="I206" s="18"/>
      <c r="J206" s="18"/>
      <c r="K206" s="18">
        <v>201</v>
      </c>
      <c r="L206" s="19">
        <f t="shared" si="0"/>
        <v>162868.34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430355.67</v>
      </c>
      <c r="G207" s="18">
        <v>238015.02</v>
      </c>
      <c r="H207" s="18">
        <v>403814.72</v>
      </c>
      <c r="I207" s="18">
        <v>228765.58</v>
      </c>
      <c r="J207" s="18">
        <v>50243.7</v>
      </c>
      <c r="K207" s="18">
        <v>14501.11</v>
      </c>
      <c r="L207" s="19">
        <f t="shared" si="0"/>
        <v>1365695.8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19291.57</v>
      </c>
      <c r="G208" s="18">
        <v>9166.1200000000008</v>
      </c>
      <c r="H208" s="18">
        <v>648906.23</v>
      </c>
      <c r="I208" s="18">
        <v>2585.2800000000002</v>
      </c>
      <c r="J208" s="18"/>
      <c r="K208" s="18"/>
      <c r="L208" s="19">
        <f t="shared" si="0"/>
        <v>679949.2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27409</v>
      </c>
      <c r="G209" s="18">
        <v>5033.88</v>
      </c>
      <c r="H209" s="18">
        <v>842.39</v>
      </c>
      <c r="I209" s="18"/>
      <c r="J209" s="18"/>
      <c r="K209" s="18">
        <v>11384.11</v>
      </c>
      <c r="L209" s="19">
        <f>SUM(F209:K209)</f>
        <v>44669.380000000005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6300945.6800000016</v>
      </c>
      <c r="G211" s="41">
        <f t="shared" si="1"/>
        <v>3480190.5700000008</v>
      </c>
      <c r="H211" s="41">
        <f t="shared" si="1"/>
        <v>1744088.49</v>
      </c>
      <c r="I211" s="41">
        <f t="shared" si="1"/>
        <v>447446.08999999997</v>
      </c>
      <c r="J211" s="41">
        <f t="shared" si="1"/>
        <v>155295.44</v>
      </c>
      <c r="K211" s="41">
        <f t="shared" si="1"/>
        <v>142353.35999999999</v>
      </c>
      <c r="L211" s="41">
        <f t="shared" si="1"/>
        <v>12270319.630000001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1310523.0900000001</v>
      </c>
      <c r="G233" s="18">
        <v>681207.05</v>
      </c>
      <c r="H233" s="18">
        <v>50057.68</v>
      </c>
      <c r="I233" s="18">
        <v>24722.3</v>
      </c>
      <c r="J233" s="18">
        <v>29895.8</v>
      </c>
      <c r="K233" s="18">
        <v>27159.48</v>
      </c>
      <c r="L233" s="19">
        <f>SUM(F233:K233)</f>
        <v>2123565.4000000004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289118.51</v>
      </c>
      <c r="G234" s="18">
        <v>186923.8</v>
      </c>
      <c r="H234" s="18">
        <v>55712.65</v>
      </c>
      <c r="I234" s="18">
        <v>3186.09</v>
      </c>
      <c r="J234" s="18">
        <v>367.37</v>
      </c>
      <c r="K234" s="18"/>
      <c r="L234" s="19">
        <f>SUM(F234:K234)</f>
        <v>535308.41999999993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277714.09000000003</v>
      </c>
      <c r="G235" s="18">
        <v>152150.34</v>
      </c>
      <c r="H235" s="18">
        <v>1581.99</v>
      </c>
      <c r="I235" s="18">
        <v>45008.800000000003</v>
      </c>
      <c r="J235" s="18">
        <v>1241.18</v>
      </c>
      <c r="K235" s="18">
        <v>1000</v>
      </c>
      <c r="L235" s="19">
        <f>SUM(F235:K235)</f>
        <v>478696.4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146608.72</v>
      </c>
      <c r="G236" s="18">
        <v>28040.65</v>
      </c>
      <c r="H236" s="18">
        <v>13689.27</v>
      </c>
      <c r="I236" s="18">
        <v>23171.98</v>
      </c>
      <c r="J236" s="18">
        <v>8562.61</v>
      </c>
      <c r="K236" s="18">
        <v>16642.95</v>
      </c>
      <c r="L236" s="19">
        <f>SUM(F236:K236)</f>
        <v>236716.18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305025.15000000002</v>
      </c>
      <c r="G238" s="18">
        <v>173362.55</v>
      </c>
      <c r="H238" s="18">
        <v>17922.560000000001</v>
      </c>
      <c r="I238" s="18">
        <v>1711.09</v>
      </c>
      <c r="J238" s="18"/>
      <c r="K238" s="18">
        <v>3066.35</v>
      </c>
      <c r="L238" s="19">
        <f t="shared" ref="L238:L244" si="4">SUM(F238:K238)</f>
        <v>501087.7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47221.81</v>
      </c>
      <c r="G239" s="18">
        <v>52878.239999999998</v>
      </c>
      <c r="H239" s="18">
        <v>29420.61</v>
      </c>
      <c r="I239" s="18">
        <v>8111.09</v>
      </c>
      <c r="J239" s="18"/>
      <c r="K239" s="18">
        <v>10032.31</v>
      </c>
      <c r="L239" s="19">
        <f t="shared" si="4"/>
        <v>147664.06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317353.57</v>
      </c>
      <c r="G240" s="18">
        <v>143395.42000000001</v>
      </c>
      <c r="H240" s="18">
        <v>139546.89000000001</v>
      </c>
      <c r="I240" s="18">
        <v>4063.95</v>
      </c>
      <c r="J240" s="18">
        <v>1376.36</v>
      </c>
      <c r="K240" s="18">
        <v>15851.11</v>
      </c>
      <c r="L240" s="19">
        <f t="shared" si="4"/>
        <v>621587.29999999993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305267.27</v>
      </c>
      <c r="G241" s="18">
        <v>175410.98</v>
      </c>
      <c r="H241" s="18">
        <v>38427.25</v>
      </c>
      <c r="I241" s="18">
        <v>11324.7</v>
      </c>
      <c r="J241" s="18">
        <v>25556.9</v>
      </c>
      <c r="K241" s="18">
        <v>47358.86</v>
      </c>
      <c r="L241" s="19">
        <f t="shared" si="4"/>
        <v>603345.96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50559.01</v>
      </c>
      <c r="G242" s="18">
        <v>28628.65</v>
      </c>
      <c r="H242" s="18">
        <v>932.07</v>
      </c>
      <c r="I242" s="18"/>
      <c r="J242" s="18"/>
      <c r="K242" s="18">
        <v>99</v>
      </c>
      <c r="L242" s="19">
        <f t="shared" si="4"/>
        <v>80218.73000000001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276902.28000000003</v>
      </c>
      <c r="G243" s="18">
        <v>112717.89</v>
      </c>
      <c r="H243" s="18">
        <v>419386.12</v>
      </c>
      <c r="I243" s="18">
        <v>242635.5</v>
      </c>
      <c r="J243" s="18">
        <v>28966.05</v>
      </c>
      <c r="K243" s="18">
        <v>8442.34</v>
      </c>
      <c r="L243" s="19">
        <f t="shared" si="4"/>
        <v>1089050.1800000002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11035.05</v>
      </c>
      <c r="G244" s="18">
        <v>4604.47</v>
      </c>
      <c r="H244" s="18">
        <v>410537.28</v>
      </c>
      <c r="I244" s="18">
        <v>1273.3499999999999</v>
      </c>
      <c r="J244" s="18"/>
      <c r="K244" s="18"/>
      <c r="L244" s="19">
        <f t="shared" si="4"/>
        <v>427450.15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11341</v>
      </c>
      <c r="G245" s="18">
        <v>1945.34</v>
      </c>
      <c r="H245" s="18">
        <v>414.91</v>
      </c>
      <c r="I245" s="18"/>
      <c r="J245" s="18"/>
      <c r="K245" s="18">
        <v>5607.1</v>
      </c>
      <c r="L245" s="19">
        <f>SUM(F245:K245)</f>
        <v>19308.349999999999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3348669.55</v>
      </c>
      <c r="G247" s="41">
        <f t="shared" si="5"/>
        <v>1741265.38</v>
      </c>
      <c r="H247" s="41">
        <f t="shared" si="5"/>
        <v>1177629.28</v>
      </c>
      <c r="I247" s="41">
        <f t="shared" si="5"/>
        <v>365208.85</v>
      </c>
      <c r="J247" s="41">
        <f t="shared" si="5"/>
        <v>95966.27</v>
      </c>
      <c r="K247" s="41">
        <f t="shared" si="5"/>
        <v>135259.5</v>
      </c>
      <c r="L247" s="41">
        <f t="shared" si="5"/>
        <v>6863998.8300000019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400</v>
      </c>
      <c r="I255" s="18"/>
      <c r="J255" s="18"/>
      <c r="K255" s="18"/>
      <c r="L255" s="19">
        <f t="shared" si="6"/>
        <v>400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400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9649615.2300000004</v>
      </c>
      <c r="G257" s="41">
        <f t="shared" si="8"/>
        <v>5221455.9500000011</v>
      </c>
      <c r="H257" s="41">
        <f t="shared" si="8"/>
        <v>2922117.77</v>
      </c>
      <c r="I257" s="41">
        <f t="shared" si="8"/>
        <v>812654.94</v>
      </c>
      <c r="J257" s="41">
        <f t="shared" si="8"/>
        <v>251261.71000000002</v>
      </c>
      <c r="K257" s="41">
        <f t="shared" si="8"/>
        <v>277612.86</v>
      </c>
      <c r="L257" s="41">
        <f t="shared" si="8"/>
        <v>19134718.460000001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78483.460000000006</v>
      </c>
      <c r="L263" s="19">
        <f>SUM(F263:K263)</f>
        <v>78483.460000000006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447323.47</v>
      </c>
      <c r="L266" s="19">
        <f t="shared" si="9"/>
        <v>447323.47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39362.99</v>
      </c>
      <c r="L268" s="19">
        <f t="shared" si="9"/>
        <v>39362.99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565169.91999999993</v>
      </c>
      <c r="L270" s="41">
        <f t="shared" si="9"/>
        <v>565169.91999999993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9649615.2300000004</v>
      </c>
      <c r="G271" s="42">
        <f t="shared" si="11"/>
        <v>5221455.9500000011</v>
      </c>
      <c r="H271" s="42">
        <f t="shared" si="11"/>
        <v>2922117.77</v>
      </c>
      <c r="I271" s="42">
        <f t="shared" si="11"/>
        <v>812654.94</v>
      </c>
      <c r="J271" s="42">
        <f t="shared" si="11"/>
        <v>251261.71000000002</v>
      </c>
      <c r="K271" s="42">
        <f t="shared" si="11"/>
        <v>842782.77999999991</v>
      </c>
      <c r="L271" s="42">
        <f t="shared" si="11"/>
        <v>19699888.380000003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370177.97</v>
      </c>
      <c r="G276" s="18">
        <v>194215.97</v>
      </c>
      <c r="H276" s="18"/>
      <c r="I276" s="18">
        <v>38203.53</v>
      </c>
      <c r="J276" s="18">
        <v>8774</v>
      </c>
      <c r="K276" s="18"/>
      <c r="L276" s="19">
        <f>SUM(F276:K276)</f>
        <v>611371.47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v>6047.89</v>
      </c>
      <c r="I277" s="18">
        <v>4738.8100000000004</v>
      </c>
      <c r="J277" s="18">
        <v>563.95000000000005</v>
      </c>
      <c r="K277" s="18"/>
      <c r="L277" s="19">
        <f>SUM(F277:K277)</f>
        <v>11350.650000000001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>
        <v>461.79</v>
      </c>
      <c r="J279" s="18"/>
      <c r="K279" s="18"/>
      <c r="L279" s="19">
        <f>SUM(F279:K279)</f>
        <v>461.79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96407.29</v>
      </c>
      <c r="G281" s="18">
        <v>54929.58</v>
      </c>
      <c r="H281" s="18">
        <v>109371.32</v>
      </c>
      <c r="I281" s="18">
        <v>9241.74</v>
      </c>
      <c r="J281" s="18">
        <v>2551.85</v>
      </c>
      <c r="K281" s="18">
        <v>751.98</v>
      </c>
      <c r="L281" s="19">
        <f t="shared" ref="L281:L287" si="12">SUM(F281:K281)</f>
        <v>273253.75999999995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41987.08</v>
      </c>
      <c r="I282" s="18"/>
      <c r="J282" s="18"/>
      <c r="K282" s="18"/>
      <c r="L282" s="19">
        <f t="shared" si="12"/>
        <v>41987.08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75547.100000000006</v>
      </c>
      <c r="G283" s="18">
        <v>32464.82</v>
      </c>
      <c r="H283" s="18">
        <v>3499.7</v>
      </c>
      <c r="I283" s="18">
        <v>678.34</v>
      </c>
      <c r="J283" s="18"/>
      <c r="K283" s="18"/>
      <c r="L283" s="19">
        <f t="shared" si="12"/>
        <v>112189.96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700</v>
      </c>
      <c r="G288" s="18">
        <v>206.56</v>
      </c>
      <c r="H288" s="18">
        <v>573.9</v>
      </c>
      <c r="I288" s="18"/>
      <c r="J288" s="18"/>
      <c r="K288" s="18">
        <v>2000</v>
      </c>
      <c r="L288" s="19">
        <f>SUM(F288:K288)</f>
        <v>3480.46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542832.36</v>
      </c>
      <c r="G290" s="42">
        <f t="shared" si="13"/>
        <v>281816.93</v>
      </c>
      <c r="H290" s="42">
        <f t="shared" si="13"/>
        <v>161479.89000000001</v>
      </c>
      <c r="I290" s="42">
        <f t="shared" si="13"/>
        <v>53324.209999999992</v>
      </c>
      <c r="J290" s="42">
        <f t="shared" si="13"/>
        <v>11889.800000000001</v>
      </c>
      <c r="K290" s="42">
        <f t="shared" si="13"/>
        <v>2751.98</v>
      </c>
      <c r="L290" s="41">
        <f t="shared" si="13"/>
        <v>1054095.17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3850</v>
      </c>
      <c r="G314" s="18">
        <v>936.41</v>
      </c>
      <c r="H314" s="18"/>
      <c r="I314" s="18">
        <v>379.69</v>
      </c>
      <c r="J314" s="18"/>
      <c r="K314" s="18"/>
      <c r="L314" s="19">
        <f>SUM(F314:K314)</f>
        <v>5166.0999999999995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>
        <v>2978.81</v>
      </c>
      <c r="I315" s="18">
        <v>3911.01</v>
      </c>
      <c r="J315" s="18"/>
      <c r="K315" s="18"/>
      <c r="L315" s="19">
        <f>SUM(F315:K315)</f>
        <v>6889.82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19810</v>
      </c>
      <c r="G316" s="18">
        <v>2280.5</v>
      </c>
      <c r="H316" s="18">
        <v>4279.8100000000004</v>
      </c>
      <c r="I316" s="18">
        <v>18146.43</v>
      </c>
      <c r="J316" s="18">
        <v>34314.620000000003</v>
      </c>
      <c r="K316" s="18">
        <v>858.94</v>
      </c>
      <c r="L316" s="19">
        <f>SUM(F316:K316)</f>
        <v>79690.300000000017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3200</v>
      </c>
      <c r="G317" s="18">
        <v>360.68</v>
      </c>
      <c r="H317" s="18">
        <v>4525</v>
      </c>
      <c r="I317" s="18">
        <v>2243.7600000000002</v>
      </c>
      <c r="J317" s="18">
        <v>4999</v>
      </c>
      <c r="K317" s="18">
        <v>195</v>
      </c>
      <c r="L317" s="19">
        <f>SUM(F317:K317)</f>
        <v>15523.44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50432.21</v>
      </c>
      <c r="G319" s="18">
        <v>28562.29</v>
      </c>
      <c r="H319" s="18">
        <v>25845.77</v>
      </c>
      <c r="I319" s="18">
        <v>5836</v>
      </c>
      <c r="J319" s="18">
        <v>1256.8800000000001</v>
      </c>
      <c r="K319" s="18">
        <v>3165.31</v>
      </c>
      <c r="L319" s="19">
        <f t="shared" ref="L319:L325" si="16">SUM(F319:K319)</f>
        <v>115098.46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v>52967.02</v>
      </c>
      <c r="I320" s="18"/>
      <c r="J320" s="18"/>
      <c r="K320" s="18"/>
      <c r="L320" s="19">
        <f t="shared" si="16"/>
        <v>52967.02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37209.760000000002</v>
      </c>
      <c r="G321" s="18">
        <v>15990.13</v>
      </c>
      <c r="H321" s="18">
        <v>1723.73</v>
      </c>
      <c r="I321" s="18">
        <v>334.11</v>
      </c>
      <c r="J321" s="18"/>
      <c r="K321" s="18"/>
      <c r="L321" s="19">
        <f t="shared" si="16"/>
        <v>55257.73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>
        <v>7000</v>
      </c>
      <c r="K323" s="18"/>
      <c r="L323" s="19">
        <f t="shared" si="16"/>
        <v>7000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114501.97</v>
      </c>
      <c r="G328" s="42">
        <f t="shared" si="17"/>
        <v>48130.01</v>
      </c>
      <c r="H328" s="42">
        <f t="shared" si="17"/>
        <v>92320.14</v>
      </c>
      <c r="I328" s="42">
        <f t="shared" si="17"/>
        <v>30851</v>
      </c>
      <c r="J328" s="42">
        <f t="shared" si="17"/>
        <v>47570.5</v>
      </c>
      <c r="K328" s="42">
        <f t="shared" si="17"/>
        <v>4219.25</v>
      </c>
      <c r="L328" s="41">
        <f t="shared" si="17"/>
        <v>337592.87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>
        <v>79364.28</v>
      </c>
      <c r="I336" s="18"/>
      <c r="J336" s="18"/>
      <c r="K336" s="18"/>
      <c r="L336" s="19">
        <f t="shared" si="18"/>
        <v>79364.28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79364.28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79364.28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657334.32999999996</v>
      </c>
      <c r="G338" s="41">
        <f t="shared" si="20"/>
        <v>329946.94</v>
      </c>
      <c r="H338" s="41">
        <f t="shared" si="20"/>
        <v>333164.31000000006</v>
      </c>
      <c r="I338" s="41">
        <f t="shared" si="20"/>
        <v>84175.209999999992</v>
      </c>
      <c r="J338" s="41">
        <f t="shared" si="20"/>
        <v>59460.3</v>
      </c>
      <c r="K338" s="41">
        <f t="shared" si="20"/>
        <v>6971.23</v>
      </c>
      <c r="L338" s="41">
        <f t="shared" si="20"/>
        <v>1471052.32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67240.12</v>
      </c>
      <c r="L344" s="19">
        <f t="shared" ref="L344:L350" si="21">SUM(F344:K344)</f>
        <v>67240.12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67240.12</v>
      </c>
      <c r="L351" s="41">
        <f>SUM(L341:L350)</f>
        <v>67240.12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657334.32999999996</v>
      </c>
      <c r="G352" s="41">
        <f>G338</f>
        <v>329946.94</v>
      </c>
      <c r="H352" s="41">
        <f>H338</f>
        <v>333164.31000000006</v>
      </c>
      <c r="I352" s="41">
        <f>I338</f>
        <v>84175.209999999992</v>
      </c>
      <c r="J352" s="41">
        <f>J338</f>
        <v>59460.3</v>
      </c>
      <c r="K352" s="47">
        <f>K338+K351</f>
        <v>74211.349999999991</v>
      </c>
      <c r="L352" s="41">
        <f>L338+L351</f>
        <v>1538292.44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149092.07</v>
      </c>
      <c r="G358" s="18">
        <v>86808.75</v>
      </c>
      <c r="H358" s="18">
        <v>1148.82</v>
      </c>
      <c r="I358" s="18">
        <v>142203.69</v>
      </c>
      <c r="J358" s="18">
        <v>1726.7</v>
      </c>
      <c r="K358" s="18">
        <v>5547.67</v>
      </c>
      <c r="L358" s="13">
        <f>SUM(F358:K358)</f>
        <v>386527.7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0</v>
      </c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62820.79</v>
      </c>
      <c r="G360" s="18">
        <v>36043.620000000003</v>
      </c>
      <c r="H360" s="18">
        <v>657.07</v>
      </c>
      <c r="I360" s="18">
        <v>73958.73</v>
      </c>
      <c r="J360" s="18">
        <v>118.34</v>
      </c>
      <c r="K360" s="18">
        <v>2031.07</v>
      </c>
      <c r="L360" s="19">
        <f>SUM(F360:K360)</f>
        <v>175629.62000000002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211912.86000000002</v>
      </c>
      <c r="G362" s="47">
        <f t="shared" si="22"/>
        <v>122852.37</v>
      </c>
      <c r="H362" s="47">
        <f t="shared" si="22"/>
        <v>1805.8899999999999</v>
      </c>
      <c r="I362" s="47">
        <f t="shared" si="22"/>
        <v>216162.41999999998</v>
      </c>
      <c r="J362" s="47">
        <f t="shared" si="22"/>
        <v>1845.04</v>
      </c>
      <c r="K362" s="47">
        <f t="shared" si="22"/>
        <v>7578.74</v>
      </c>
      <c r="L362" s="47">
        <f t="shared" si="22"/>
        <v>562157.32000000007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134140.17000000001</v>
      </c>
      <c r="G367" s="18"/>
      <c r="H367" s="18">
        <v>70170.929999999993</v>
      </c>
      <c r="I367" s="56">
        <f>SUM(F367:H367)</f>
        <v>204311.1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8063.52</v>
      </c>
      <c r="G368" s="63"/>
      <c r="H368" s="63">
        <v>3787.8</v>
      </c>
      <c r="I368" s="56">
        <f>SUM(F368:H368)</f>
        <v>11851.32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142203.69</v>
      </c>
      <c r="G369" s="47">
        <f>SUM(G367:G368)</f>
        <v>0</v>
      </c>
      <c r="H369" s="47">
        <f>SUM(H367:H368)</f>
        <v>73958.73</v>
      </c>
      <c r="I369" s="47">
        <f>SUM(I367:I368)</f>
        <v>216162.42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 t="s">
        <v>284</v>
      </c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 t="s">
        <v>284</v>
      </c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>
        <v>25000</v>
      </c>
      <c r="H391" s="18">
        <v>57.5</v>
      </c>
      <c r="I391" s="18"/>
      <c r="J391" s="24" t="s">
        <v>286</v>
      </c>
      <c r="K391" s="24" t="s">
        <v>286</v>
      </c>
      <c r="L391" s="56">
        <f t="shared" si="25"/>
        <v>25057.5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172323.47</v>
      </c>
      <c r="H392" s="18">
        <v>98.57</v>
      </c>
      <c r="I392" s="18"/>
      <c r="J392" s="24" t="s">
        <v>286</v>
      </c>
      <c r="K392" s="24" t="s">
        <v>286</v>
      </c>
      <c r="L392" s="56">
        <f t="shared" si="25"/>
        <v>172422.04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197323.47</v>
      </c>
      <c r="H393" s="139">
        <f>SUM(H387:H392)</f>
        <v>156.07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197479.54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250000</v>
      </c>
      <c r="H396" s="18">
        <v>826.99</v>
      </c>
      <c r="I396" s="18"/>
      <c r="J396" s="24" t="s">
        <v>286</v>
      </c>
      <c r="K396" s="24" t="s">
        <v>286</v>
      </c>
      <c r="L396" s="56">
        <f t="shared" si="26"/>
        <v>250826.99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7911.13</v>
      </c>
      <c r="I400" s="18">
        <v>42388.83</v>
      </c>
      <c r="J400" s="24" t="s">
        <v>286</v>
      </c>
      <c r="K400" s="24" t="s">
        <v>286</v>
      </c>
      <c r="L400" s="56">
        <f t="shared" si="26"/>
        <v>50299.96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250000</v>
      </c>
      <c r="H401" s="47">
        <f>SUM(H395:H400)</f>
        <v>8738.1200000000008</v>
      </c>
      <c r="I401" s="47">
        <f>SUM(I395:I400)</f>
        <v>42388.83</v>
      </c>
      <c r="J401" s="45" t="s">
        <v>286</v>
      </c>
      <c r="K401" s="45" t="s">
        <v>286</v>
      </c>
      <c r="L401" s="47">
        <f>SUM(L395:L400)</f>
        <v>301126.95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447323.47</v>
      </c>
      <c r="H408" s="47">
        <f>H393+H401+H407</f>
        <v>8894.19</v>
      </c>
      <c r="I408" s="47">
        <f>I393+I401+I407</f>
        <v>42388.83</v>
      </c>
      <c r="J408" s="24" t="s">
        <v>286</v>
      </c>
      <c r="K408" s="24" t="s">
        <v>286</v>
      </c>
      <c r="L408" s="47">
        <f>L393+L401+L407</f>
        <v>498606.49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>
        <v>575.4</v>
      </c>
      <c r="I418" s="18"/>
      <c r="J418" s="18">
        <v>71982.02</v>
      </c>
      <c r="K418" s="18"/>
      <c r="L418" s="56">
        <f t="shared" si="27"/>
        <v>72557.42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575.4</v>
      </c>
      <c r="I419" s="139">
        <f t="shared" si="28"/>
        <v>0</v>
      </c>
      <c r="J419" s="139">
        <f t="shared" si="28"/>
        <v>71982.02</v>
      </c>
      <c r="K419" s="139">
        <f t="shared" si="28"/>
        <v>0</v>
      </c>
      <c r="L419" s="47">
        <f t="shared" si="28"/>
        <v>72557.42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44943.16</v>
      </c>
      <c r="I422" s="18"/>
      <c r="J422" s="18"/>
      <c r="K422" s="18"/>
      <c r="L422" s="56">
        <f t="shared" si="29"/>
        <v>44943.16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v>19250</v>
      </c>
      <c r="I426" s="18"/>
      <c r="J426" s="18"/>
      <c r="K426" s="18"/>
      <c r="L426" s="56">
        <f t="shared" si="29"/>
        <v>19250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64193.16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64193.16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64768.560000000005</v>
      </c>
      <c r="I434" s="47">
        <f t="shared" si="32"/>
        <v>0</v>
      </c>
      <c r="J434" s="47">
        <f t="shared" si="32"/>
        <v>71982.02</v>
      </c>
      <c r="K434" s="47">
        <f t="shared" si="32"/>
        <v>0</v>
      </c>
      <c r="L434" s="47">
        <f t="shared" si="32"/>
        <v>136750.58000000002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379848.87</v>
      </c>
      <c r="G442" s="18">
        <v>1081736.3</v>
      </c>
      <c r="H442" s="18"/>
      <c r="I442" s="56">
        <f t="shared" si="33"/>
        <v>1461585.17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379848.87</v>
      </c>
      <c r="G446" s="13">
        <f>SUM(G439:G445)</f>
        <v>1081736.3</v>
      </c>
      <c r="H446" s="13">
        <f>SUM(H439:H445)</f>
        <v>0</v>
      </c>
      <c r="I446" s="13">
        <f>SUM(I439:I445)</f>
        <v>1461585.17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379848.87</v>
      </c>
      <c r="G459" s="18">
        <v>1081736.3</v>
      </c>
      <c r="H459" s="18"/>
      <c r="I459" s="56">
        <f t="shared" si="34"/>
        <v>1461585.17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379848.87</v>
      </c>
      <c r="G460" s="83">
        <f>SUM(G454:G459)</f>
        <v>1081736.3</v>
      </c>
      <c r="H460" s="83">
        <f>SUM(H454:H459)</f>
        <v>0</v>
      </c>
      <c r="I460" s="83">
        <f>SUM(I454:I459)</f>
        <v>1461585.17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379848.87</v>
      </c>
      <c r="G461" s="42">
        <f>G452+G460</f>
        <v>1081736.3</v>
      </c>
      <c r="H461" s="42">
        <f>H452+H460</f>
        <v>0</v>
      </c>
      <c r="I461" s="42">
        <f>I452+I460</f>
        <v>1461585.17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623111.26</v>
      </c>
      <c r="G465" s="18">
        <v>0</v>
      </c>
      <c r="H465" s="18">
        <v>21181.94</v>
      </c>
      <c r="I465" s="18">
        <v>0</v>
      </c>
      <c r="J465" s="18">
        <v>1099729.26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19584802.219999999</v>
      </c>
      <c r="G468" s="18">
        <v>562157.31999999995</v>
      </c>
      <c r="H468" s="18">
        <v>1542864.05</v>
      </c>
      <c r="I468" s="18">
        <v>0</v>
      </c>
      <c r="J468" s="18">
        <v>498606.49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19584802.219999999</v>
      </c>
      <c r="G470" s="53">
        <f>SUM(G468:G469)</f>
        <v>562157.31999999995</v>
      </c>
      <c r="H470" s="53">
        <f>SUM(H468:H469)</f>
        <v>1542864.05</v>
      </c>
      <c r="I470" s="53">
        <f>SUM(I468:I469)</f>
        <v>0</v>
      </c>
      <c r="J470" s="53">
        <f>SUM(J468:J469)</f>
        <v>498606.49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19699888.379999999</v>
      </c>
      <c r="G472" s="18">
        <v>562157.31999999995</v>
      </c>
      <c r="H472" s="18">
        <v>1538292.44</v>
      </c>
      <c r="I472" s="18">
        <v>0</v>
      </c>
      <c r="J472" s="18">
        <v>136750.57999999999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19699888.379999999</v>
      </c>
      <c r="G474" s="53">
        <f>SUM(G472:G473)</f>
        <v>562157.31999999995</v>
      </c>
      <c r="H474" s="53">
        <f>SUM(H472:H473)</f>
        <v>1538292.44</v>
      </c>
      <c r="I474" s="53">
        <f>SUM(I472:I473)</f>
        <v>0</v>
      </c>
      <c r="J474" s="53">
        <f>SUM(J472:J473)</f>
        <v>136750.57999999999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508025.10000000149</v>
      </c>
      <c r="G476" s="53">
        <f>(G465+G470)- G474</f>
        <v>0</v>
      </c>
      <c r="H476" s="53">
        <f>(H465+H470)- H474</f>
        <v>25753.550000000047</v>
      </c>
      <c r="I476" s="53">
        <f>(I465+I470)- I474</f>
        <v>0</v>
      </c>
      <c r="J476" s="53">
        <f>(J465+J470)- J474</f>
        <v>1461585.17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807347.15</v>
      </c>
      <c r="G521" s="18">
        <v>528210.62</v>
      </c>
      <c r="H521" s="18">
        <v>287640.55</v>
      </c>
      <c r="I521" s="18">
        <v>7584.29</v>
      </c>
      <c r="J521" s="18">
        <v>935.83</v>
      </c>
      <c r="K521" s="18">
        <v>0</v>
      </c>
      <c r="L521" s="88">
        <f>SUM(F521:K521)</f>
        <v>1631718.4400000002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284253.77</v>
      </c>
      <c r="G523" s="18">
        <v>184092.47</v>
      </c>
      <c r="H523" s="18">
        <v>61630.62</v>
      </c>
      <c r="I523" s="18">
        <v>7097.1</v>
      </c>
      <c r="J523" s="18">
        <v>367.37</v>
      </c>
      <c r="K523" s="18">
        <v>0</v>
      </c>
      <c r="L523" s="88">
        <f>SUM(F523:K523)</f>
        <v>537441.32999999996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1091600.92</v>
      </c>
      <c r="G524" s="108">
        <f t="shared" ref="G524:L524" si="36">SUM(G521:G523)</f>
        <v>712303.09</v>
      </c>
      <c r="H524" s="108">
        <f t="shared" si="36"/>
        <v>349271.17</v>
      </c>
      <c r="I524" s="108">
        <f t="shared" si="36"/>
        <v>14681.39</v>
      </c>
      <c r="J524" s="108">
        <f t="shared" si="36"/>
        <v>1303.2</v>
      </c>
      <c r="K524" s="108">
        <f t="shared" si="36"/>
        <v>0</v>
      </c>
      <c r="L524" s="89">
        <f t="shared" si="36"/>
        <v>2169159.77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272921.59000000003</v>
      </c>
      <c r="G526" s="18">
        <v>166954.99</v>
      </c>
      <c r="H526" s="18">
        <v>40446.129999999997</v>
      </c>
      <c r="I526" s="18">
        <v>0</v>
      </c>
      <c r="J526" s="18">
        <v>0</v>
      </c>
      <c r="K526" s="18">
        <v>0</v>
      </c>
      <c r="L526" s="88">
        <f>SUM(F526:K526)</f>
        <v>480322.71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61997.14</v>
      </c>
      <c r="G528" s="18">
        <v>33126.910000000003</v>
      </c>
      <c r="H528" s="18">
        <v>6497.3</v>
      </c>
      <c r="I528" s="18">
        <v>0</v>
      </c>
      <c r="J528" s="18">
        <v>0</v>
      </c>
      <c r="K528" s="18">
        <v>0</v>
      </c>
      <c r="L528" s="88">
        <f>SUM(F528:K528)</f>
        <v>101621.35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334918.73000000004</v>
      </c>
      <c r="G529" s="89">
        <f t="shared" ref="G529:L529" si="37">SUM(G526:G528)</f>
        <v>200081.9</v>
      </c>
      <c r="H529" s="89">
        <f t="shared" si="37"/>
        <v>46943.43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581944.06000000006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131164.45000000001</v>
      </c>
      <c r="G531" s="18">
        <v>63909.3</v>
      </c>
      <c r="H531" s="18">
        <v>598.49</v>
      </c>
      <c r="I531" s="18">
        <v>1441.57</v>
      </c>
      <c r="J531" s="18">
        <v>0</v>
      </c>
      <c r="K531" s="18">
        <v>6816.27</v>
      </c>
      <c r="L531" s="88">
        <f>SUM(F531:K531)</f>
        <v>203930.08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64248.5</v>
      </c>
      <c r="G533" s="18">
        <v>30750.36</v>
      </c>
      <c r="H533" s="18">
        <v>294.77999999999997</v>
      </c>
      <c r="I533" s="18">
        <v>710.03</v>
      </c>
      <c r="J533" s="18">
        <v>0</v>
      </c>
      <c r="K533" s="18">
        <v>3357.27</v>
      </c>
      <c r="L533" s="88">
        <f>SUM(F533:K533)</f>
        <v>99360.94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195412.95</v>
      </c>
      <c r="G534" s="89">
        <f t="shared" ref="G534:L534" si="38">SUM(G531:G533)</f>
        <v>94659.66</v>
      </c>
      <c r="H534" s="89">
        <f t="shared" si="38"/>
        <v>893.27</v>
      </c>
      <c r="I534" s="89">
        <f t="shared" si="38"/>
        <v>2151.6</v>
      </c>
      <c r="J534" s="89">
        <f t="shared" si="38"/>
        <v>0</v>
      </c>
      <c r="K534" s="89">
        <f t="shared" si="38"/>
        <v>10173.540000000001</v>
      </c>
      <c r="L534" s="89">
        <f t="shared" si="38"/>
        <v>303291.02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18644.11</v>
      </c>
      <c r="G541" s="18">
        <v>9060.81</v>
      </c>
      <c r="H541" s="18">
        <v>99747.62</v>
      </c>
      <c r="I541" s="18">
        <v>2585.2800000000002</v>
      </c>
      <c r="J541" s="18"/>
      <c r="K541" s="18"/>
      <c r="L541" s="88">
        <f>SUM(F541:K541)</f>
        <v>130037.81999999999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9182.92</v>
      </c>
      <c r="G543" s="18">
        <v>4462.78</v>
      </c>
      <c r="H543" s="18">
        <v>49129.43</v>
      </c>
      <c r="I543" s="18">
        <v>1273.3499999999999</v>
      </c>
      <c r="J543" s="18"/>
      <c r="K543" s="18"/>
      <c r="L543" s="88">
        <f>SUM(F543:K543)</f>
        <v>64048.480000000003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27827.03</v>
      </c>
      <c r="G544" s="193">
        <f t="shared" ref="G544:L544" si="40">SUM(G541:G543)</f>
        <v>13523.59</v>
      </c>
      <c r="H544" s="193">
        <f t="shared" si="40"/>
        <v>148877.04999999999</v>
      </c>
      <c r="I544" s="193">
        <f t="shared" si="40"/>
        <v>3858.63</v>
      </c>
      <c r="J544" s="193">
        <f t="shared" si="40"/>
        <v>0</v>
      </c>
      <c r="K544" s="193">
        <f t="shared" si="40"/>
        <v>0</v>
      </c>
      <c r="L544" s="193">
        <f t="shared" si="40"/>
        <v>194086.3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1649759.63</v>
      </c>
      <c r="G545" s="89">
        <f t="shared" ref="G545:L545" si="41">G524+G529+G534+G539+G544</f>
        <v>1020568.24</v>
      </c>
      <c r="H545" s="89">
        <f t="shared" si="41"/>
        <v>545984.91999999993</v>
      </c>
      <c r="I545" s="89">
        <f t="shared" si="41"/>
        <v>20691.62</v>
      </c>
      <c r="J545" s="89">
        <f t="shared" si="41"/>
        <v>1303.2</v>
      </c>
      <c r="K545" s="89">
        <f t="shared" si="41"/>
        <v>10173.540000000001</v>
      </c>
      <c r="L545" s="89">
        <f t="shared" si="41"/>
        <v>3248481.15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1631718.4400000002</v>
      </c>
      <c r="G549" s="87">
        <f>L526</f>
        <v>480322.71</v>
      </c>
      <c r="H549" s="87">
        <f>L531</f>
        <v>203930.08</v>
      </c>
      <c r="I549" s="87">
        <f>L536</f>
        <v>0</v>
      </c>
      <c r="J549" s="87">
        <f>L541</f>
        <v>130037.81999999999</v>
      </c>
      <c r="K549" s="87">
        <f>SUM(F549:J549)</f>
        <v>2446009.0500000003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537441.32999999996</v>
      </c>
      <c r="G551" s="87">
        <f>L528</f>
        <v>101621.35</v>
      </c>
      <c r="H551" s="87">
        <f>L533</f>
        <v>99360.94</v>
      </c>
      <c r="I551" s="87">
        <f>L538</f>
        <v>0</v>
      </c>
      <c r="J551" s="87">
        <f>L543</f>
        <v>64048.480000000003</v>
      </c>
      <c r="K551" s="87">
        <f>SUM(F551:J551)</f>
        <v>802472.09999999986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2169159.77</v>
      </c>
      <c r="G552" s="89">
        <f t="shared" si="42"/>
        <v>581944.06000000006</v>
      </c>
      <c r="H552" s="89">
        <f t="shared" si="42"/>
        <v>303291.02</v>
      </c>
      <c r="I552" s="89">
        <f t="shared" si="42"/>
        <v>0</v>
      </c>
      <c r="J552" s="89">
        <f t="shared" si="42"/>
        <v>194086.3</v>
      </c>
      <c r="K552" s="89">
        <f t="shared" si="42"/>
        <v>3248481.1500000004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2027.01</v>
      </c>
      <c r="G562" s="18">
        <v>2211.77</v>
      </c>
      <c r="H562" s="18"/>
      <c r="I562" s="18"/>
      <c r="J562" s="18"/>
      <c r="K562" s="18"/>
      <c r="L562" s="88">
        <f>SUM(F562:K562)</f>
        <v>4238.78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2027.01</v>
      </c>
      <c r="G564" s="18">
        <v>2260.73</v>
      </c>
      <c r="H564" s="18"/>
      <c r="I564" s="18"/>
      <c r="J564" s="18"/>
      <c r="K564" s="18"/>
      <c r="L564" s="88">
        <f>SUM(F564:K564)</f>
        <v>4287.74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4054.02</v>
      </c>
      <c r="G565" s="89">
        <f t="shared" si="44"/>
        <v>4472.5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8526.52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4054.02</v>
      </c>
      <c r="G571" s="89">
        <f t="shared" ref="G571:L571" si="46">G560+G565+G570</f>
        <v>4472.5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8526.52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1591.16</v>
      </c>
      <c r="I575" s="87">
        <f>SUM(F575:H575)</f>
        <v>1591.16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4"/>
      <c r="G578" s="18"/>
      <c r="H578" s="4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180362.22</v>
      </c>
      <c r="G582" s="18"/>
      <c r="H582" s="18">
        <v>47346.93</v>
      </c>
      <c r="I582" s="87">
        <f>SUM(F582:H582)</f>
        <v>227709.15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94365</v>
      </c>
      <c r="G583" s="18"/>
      <c r="H583" s="18">
        <v>6774.56</v>
      </c>
      <c r="I583" s="87">
        <f t="shared" si="47"/>
        <v>101139.56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67955.55</v>
      </c>
      <c r="I584" s="87">
        <f t="shared" si="47"/>
        <v>67955.55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497450.56</v>
      </c>
      <c r="I591" s="18"/>
      <c r="J591" s="18">
        <v>245359.26</v>
      </c>
      <c r="K591" s="104">
        <f t="shared" ref="K591:K597" si="48">SUM(H591:J591)</f>
        <v>742809.82000000007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124729.16</v>
      </c>
      <c r="I592" s="18"/>
      <c r="J592" s="18">
        <v>61433.760000000002</v>
      </c>
      <c r="K592" s="104">
        <f t="shared" si="48"/>
        <v>186162.92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20429.8</v>
      </c>
      <c r="K593" s="104">
        <f t="shared" si="48"/>
        <v>20429.8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29965.24</v>
      </c>
      <c r="I594" s="18"/>
      <c r="J594" s="18">
        <v>85617.24</v>
      </c>
      <c r="K594" s="104">
        <f t="shared" si="48"/>
        <v>115582.48000000001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22495.58</v>
      </c>
      <c r="I595" s="18"/>
      <c r="J595" s="18">
        <v>11995.37</v>
      </c>
      <c r="K595" s="104">
        <f t="shared" si="48"/>
        <v>34490.950000000004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5308.66</v>
      </c>
      <c r="I597" s="18"/>
      <c r="J597" s="18">
        <v>2614.7199999999998</v>
      </c>
      <c r="K597" s="104">
        <f t="shared" si="48"/>
        <v>7923.3799999999992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679949.2</v>
      </c>
      <c r="I598" s="108">
        <f>SUM(I591:I597)</f>
        <v>0</v>
      </c>
      <c r="J598" s="108">
        <f>SUM(J591:J597)</f>
        <v>427450.14999999997</v>
      </c>
      <c r="K598" s="108">
        <f>SUM(K591:K597)</f>
        <v>1107399.3500000001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167185.24</v>
      </c>
      <c r="I604" s="18"/>
      <c r="J604" s="18">
        <v>143536.76999999999</v>
      </c>
      <c r="K604" s="104">
        <f>SUM(H604:J604)</f>
        <v>310722.01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167185.24</v>
      </c>
      <c r="I605" s="108">
        <f>SUM(I602:I604)</f>
        <v>0</v>
      </c>
      <c r="J605" s="108">
        <f>SUM(J602:J604)</f>
        <v>143536.76999999999</v>
      </c>
      <c r="K605" s="108">
        <f>SUM(K602:K604)</f>
        <v>310722.01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1483187.15</v>
      </c>
      <c r="H617" s="109">
        <f>SUM(F52)</f>
        <v>1483187.15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15320.92</v>
      </c>
      <c r="H618" s="109">
        <f>SUM(G52)</f>
        <v>15320.92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322076.52</v>
      </c>
      <c r="H619" s="109">
        <f>SUM(H52)</f>
        <v>322076.51999999996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1461585.17</v>
      </c>
      <c r="H621" s="109">
        <f>SUM(J52)</f>
        <v>1461585.17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508025.1</v>
      </c>
      <c r="H622" s="109">
        <f>F476</f>
        <v>508025.10000000149</v>
      </c>
      <c r="I622" s="121" t="s">
        <v>101</v>
      </c>
      <c r="J622" s="109">
        <f t="shared" ref="J622:J655" si="50">G622-H622</f>
        <v>-1.5133991837501526E-9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25753.55</v>
      </c>
      <c r="H624" s="109">
        <f>H476</f>
        <v>25753.550000000047</v>
      </c>
      <c r="I624" s="121" t="s">
        <v>103</v>
      </c>
      <c r="J624" s="109">
        <f t="shared" si="50"/>
        <v>-4.7293724492192268E-11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1461585.17</v>
      </c>
      <c r="H626" s="109">
        <f>J476</f>
        <v>1461585.17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19584802.219999999</v>
      </c>
      <c r="H627" s="104">
        <f>SUM(F468)</f>
        <v>19584802.219999999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562157.31999999995</v>
      </c>
      <c r="H628" s="104">
        <f>SUM(G468)</f>
        <v>562157.31999999995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1542864.0499999998</v>
      </c>
      <c r="H629" s="104">
        <f>SUM(H468)</f>
        <v>1542864.05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498606.49</v>
      </c>
      <c r="H631" s="104">
        <f>SUM(J468)</f>
        <v>498606.49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19699888.380000003</v>
      </c>
      <c r="H632" s="104">
        <f>SUM(F472)</f>
        <v>19699888.379999999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1538292.44</v>
      </c>
      <c r="H633" s="104">
        <f>SUM(H472)</f>
        <v>1538292.44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216162.41999999998</v>
      </c>
      <c r="H634" s="104">
        <f>I369</f>
        <v>216162.42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562157.32000000007</v>
      </c>
      <c r="H635" s="104">
        <f>SUM(G472)</f>
        <v>562157.31999999995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498606.49</v>
      </c>
      <c r="H637" s="164">
        <f>SUM(J468)</f>
        <v>498606.49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136750.58000000002</v>
      </c>
      <c r="H638" s="164">
        <f>SUM(J472)</f>
        <v>136750.57999999999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379848.87</v>
      </c>
      <c r="H639" s="104">
        <f>SUM(F461)</f>
        <v>379848.87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1081736.3</v>
      </c>
      <c r="H640" s="104">
        <f>SUM(G461)</f>
        <v>1081736.3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1461585.17</v>
      </c>
      <c r="H642" s="104">
        <f>SUM(I461)</f>
        <v>1461585.17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8894.19</v>
      </c>
      <c r="H644" s="104">
        <f>H408</f>
        <v>8894.19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447323.47</v>
      </c>
      <c r="H645" s="104">
        <f>G408</f>
        <v>447323.47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498606.49</v>
      </c>
      <c r="H646" s="104">
        <f>L408</f>
        <v>498606.49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1107399.3500000001</v>
      </c>
      <c r="H647" s="104">
        <f>L208+L226+L244</f>
        <v>1107399.3500000001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310722.01</v>
      </c>
      <c r="H648" s="104">
        <f>(J257+J338)-(J255+J336)</f>
        <v>310722.01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679949.2</v>
      </c>
      <c r="H649" s="104">
        <f>H598</f>
        <v>679949.2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427450.15</v>
      </c>
      <c r="H651" s="104">
        <f>J598</f>
        <v>427450.14999999997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78483.460000000006</v>
      </c>
      <c r="H652" s="104">
        <f>K263+K345</f>
        <v>78483.460000000006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447323.47</v>
      </c>
      <c r="H655" s="104">
        <f>K266+K347</f>
        <v>447323.47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13710942.5</v>
      </c>
      <c r="G660" s="19">
        <f>(L229+L309+L359)</f>
        <v>0</v>
      </c>
      <c r="H660" s="19">
        <f>(L247+L328+L360)</f>
        <v>7377221.3200000022</v>
      </c>
      <c r="I660" s="19">
        <f>SUM(F660:H660)</f>
        <v>21088163.82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123246.57700693639</v>
      </c>
      <c r="G661" s="19">
        <f>(L359/IF(SUM(L358:L360)=0,1,SUM(L358:L360))*(SUM(G97:G110)))</f>
        <v>0</v>
      </c>
      <c r="H661" s="19">
        <f>(L360/IF(SUM(L358:L360)=0,1,SUM(L358:L360))*(SUM(G97:G110)))</f>
        <v>56000.512993063574</v>
      </c>
      <c r="I661" s="19">
        <f>SUM(F661:H661)</f>
        <v>179247.08999999997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679949.2</v>
      </c>
      <c r="G662" s="19">
        <f>(L226+L306)-(J226+J306)</f>
        <v>0</v>
      </c>
      <c r="H662" s="19">
        <f>(L244+L325)-(J244+J325)</f>
        <v>427450.15</v>
      </c>
      <c r="I662" s="19">
        <f>SUM(F662:H662)</f>
        <v>1107399.3500000001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441912.45999999996</v>
      </c>
      <c r="G663" s="199">
        <f>SUM(G575:G587)+SUM(I602:I604)+L612</f>
        <v>0</v>
      </c>
      <c r="H663" s="199">
        <f>SUM(H575:H587)+SUM(J602:J604)+L613</f>
        <v>267204.96999999997</v>
      </c>
      <c r="I663" s="19">
        <f>SUM(F663:H663)</f>
        <v>709117.42999999993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12465834.262993064</v>
      </c>
      <c r="G664" s="19">
        <f>G660-SUM(G661:G663)</f>
        <v>0</v>
      </c>
      <c r="H664" s="19">
        <f>H660-SUM(H661:H663)</f>
        <v>6626565.6870069383</v>
      </c>
      <c r="I664" s="19">
        <f>I660-SUM(I661:I663)</f>
        <v>19092399.949999999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716.05</v>
      </c>
      <c r="G665" s="248"/>
      <c r="H665" s="248">
        <v>358.18</v>
      </c>
      <c r="I665" s="19">
        <f>SUM(F665:H665)</f>
        <v>1074.23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17409.169999999998</v>
      </c>
      <c r="G667" s="19" t="e">
        <f>ROUND(G664/G665,2)</f>
        <v>#DIV/0!</v>
      </c>
      <c r="H667" s="19">
        <f>ROUND(H664/H665,2)</f>
        <v>18500.66</v>
      </c>
      <c r="I667" s="19">
        <f>ROUND(I664/I665,2)</f>
        <v>17773.099999999999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-6.78</v>
      </c>
      <c r="I670" s="19">
        <f>SUM(F670:H670)</f>
        <v>-6.78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17409.169999999998</v>
      </c>
      <c r="G672" s="19" t="e">
        <f>ROUND((G664+G669)/(G665+G670),2)</f>
        <v>#DIV/0!</v>
      </c>
      <c r="H672" s="19">
        <f>ROUND((H664+H669)/(H665+H670),2)</f>
        <v>18857.61</v>
      </c>
      <c r="I672" s="19">
        <f>ROUND((I664+I669)/(I665+I670),2)</f>
        <v>17885.990000000002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WHITE MOUNTAINS REGIONAL SCHOOL DIST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4792441.8</v>
      </c>
      <c r="C9" s="229">
        <f>'DOE25'!G197+'DOE25'!G215+'DOE25'!G233+'DOE25'!G276+'DOE25'!G295+'DOE25'!G314</f>
        <v>2598657.8000000003</v>
      </c>
    </row>
    <row r="10" spans="1:3" x14ac:dyDescent="0.2">
      <c r="A10" t="s">
        <v>773</v>
      </c>
      <c r="B10" s="240">
        <v>4306288.9000000004</v>
      </c>
      <c r="C10" s="240">
        <v>2416220.62</v>
      </c>
    </row>
    <row r="11" spans="1:3" x14ac:dyDescent="0.2">
      <c r="A11" t="s">
        <v>774</v>
      </c>
      <c r="B11" s="240">
        <v>167318.34</v>
      </c>
      <c r="C11" s="240">
        <v>117146.56</v>
      </c>
    </row>
    <row r="12" spans="1:3" x14ac:dyDescent="0.2">
      <c r="A12" t="s">
        <v>775</v>
      </c>
      <c r="B12" s="240">
        <v>318834.56</v>
      </c>
      <c r="C12" s="240">
        <v>65290.62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4792441.8</v>
      </c>
      <c r="C13" s="231">
        <f>SUM(C10:C12)</f>
        <v>2598657.8000000003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1112347.5</v>
      </c>
      <c r="C18" s="229">
        <f>'DOE25'!G198+'DOE25'!G216+'DOE25'!G234+'DOE25'!G277+'DOE25'!G296+'DOE25'!G315</f>
        <v>720132.03</v>
      </c>
    </row>
    <row r="19" spans="1:3" x14ac:dyDescent="0.2">
      <c r="A19" t="s">
        <v>773</v>
      </c>
      <c r="B19" s="240">
        <v>663098.98</v>
      </c>
      <c r="C19" s="240">
        <v>412945.13</v>
      </c>
    </row>
    <row r="20" spans="1:3" x14ac:dyDescent="0.2">
      <c r="A20" t="s">
        <v>774</v>
      </c>
      <c r="B20" s="240">
        <v>443829.91</v>
      </c>
      <c r="C20" s="240">
        <v>302991.49</v>
      </c>
    </row>
    <row r="21" spans="1:3" x14ac:dyDescent="0.2">
      <c r="A21" t="s">
        <v>775</v>
      </c>
      <c r="B21" s="240">
        <v>5418.61</v>
      </c>
      <c r="C21" s="240">
        <v>4195.41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1112347.5</v>
      </c>
      <c r="C22" s="231">
        <f>SUM(C19:C21)</f>
        <v>720132.03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297524.09000000003</v>
      </c>
      <c r="C27" s="234">
        <f>'DOE25'!G199+'DOE25'!G217+'DOE25'!G235+'DOE25'!G278+'DOE25'!G297+'DOE25'!G316</f>
        <v>154430.84</v>
      </c>
    </row>
    <row r="28" spans="1:3" x14ac:dyDescent="0.2">
      <c r="A28" t="s">
        <v>773</v>
      </c>
      <c r="B28" s="240">
        <v>282264.09000000003</v>
      </c>
      <c r="C28" s="240">
        <v>152512.92000000001</v>
      </c>
    </row>
    <row r="29" spans="1:3" x14ac:dyDescent="0.2">
      <c r="A29" t="s">
        <v>774</v>
      </c>
      <c r="B29" s="240">
        <v>0</v>
      </c>
      <c r="C29" s="240"/>
    </row>
    <row r="30" spans="1:3" x14ac:dyDescent="0.2">
      <c r="A30" t="s">
        <v>775</v>
      </c>
      <c r="B30" s="240">
        <v>15260</v>
      </c>
      <c r="C30" s="240">
        <v>1917.92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297524.09000000003</v>
      </c>
      <c r="C31" s="231">
        <f>SUM(C28:C30)</f>
        <v>154430.84000000003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218451.47</v>
      </c>
      <c r="C36" s="235">
        <f>'DOE25'!G200+'DOE25'!G218+'DOE25'!G236+'DOE25'!G279+'DOE25'!G298+'DOE25'!G317</f>
        <v>42043.87</v>
      </c>
    </row>
    <row r="37" spans="1:3" x14ac:dyDescent="0.2">
      <c r="A37" t="s">
        <v>773</v>
      </c>
      <c r="B37" s="240">
        <v>2287.5</v>
      </c>
      <c r="C37" s="240">
        <v>282.74</v>
      </c>
    </row>
    <row r="38" spans="1:3" x14ac:dyDescent="0.2">
      <c r="A38" t="s">
        <v>774</v>
      </c>
      <c r="B38" s="240">
        <v>0</v>
      </c>
      <c r="C38" s="240"/>
    </row>
    <row r="39" spans="1:3" x14ac:dyDescent="0.2">
      <c r="A39" t="s">
        <v>775</v>
      </c>
      <c r="B39" s="240">
        <v>216163.97</v>
      </c>
      <c r="C39" s="240">
        <v>41761.129999999997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218451.47</v>
      </c>
      <c r="C40" s="231">
        <f>SUM(C37:C39)</f>
        <v>42043.869999999995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53" sqref="B5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WHITE MOUNTAINS REGIONAL SCHOOL DIST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10399294.98</v>
      </c>
      <c r="D5" s="20">
        <f>SUM('DOE25'!L197:L200)+SUM('DOE25'!L215:L218)+SUM('DOE25'!L233:L236)-F5-G5</f>
        <v>10198695.68</v>
      </c>
      <c r="E5" s="243"/>
      <c r="F5" s="255">
        <f>SUM('DOE25'!J197:J200)+SUM('DOE25'!J215:J218)+SUM('DOE25'!J233:J236)</f>
        <v>105549.34</v>
      </c>
      <c r="G5" s="53">
        <f>SUM('DOE25'!K197:K200)+SUM('DOE25'!K215:K218)+SUM('DOE25'!K233:K236)</f>
        <v>95049.959999999992</v>
      </c>
      <c r="H5" s="259"/>
    </row>
    <row r="6" spans="1:9" x14ac:dyDescent="0.2">
      <c r="A6" s="32">
        <v>2100</v>
      </c>
      <c r="B6" t="s">
        <v>795</v>
      </c>
      <c r="C6" s="245">
        <f t="shared" si="0"/>
        <v>1501543.8699999999</v>
      </c>
      <c r="D6" s="20">
        <f>'DOE25'!L202+'DOE25'!L220+'DOE25'!L238-F6-G6</f>
        <v>1492864.5199999998</v>
      </c>
      <c r="E6" s="243"/>
      <c r="F6" s="255">
        <f>'DOE25'!J202+'DOE25'!J220+'DOE25'!J238</f>
        <v>95</v>
      </c>
      <c r="G6" s="53">
        <f>'DOE25'!K202+'DOE25'!K220+'DOE25'!K238</f>
        <v>8584.35</v>
      </c>
      <c r="H6" s="259"/>
    </row>
    <row r="7" spans="1:9" x14ac:dyDescent="0.2">
      <c r="A7" s="32">
        <v>2200</v>
      </c>
      <c r="B7" t="s">
        <v>828</v>
      </c>
      <c r="C7" s="245">
        <f t="shared" si="0"/>
        <v>458559.74000000005</v>
      </c>
      <c r="D7" s="20">
        <f>'DOE25'!L203+'DOE25'!L221+'DOE25'!L239-F7-G7</f>
        <v>431807.71</v>
      </c>
      <c r="E7" s="243"/>
      <c r="F7" s="255">
        <f>'DOE25'!J203+'DOE25'!J221+'DOE25'!J239</f>
        <v>10685.95</v>
      </c>
      <c r="G7" s="53">
        <f>'DOE25'!K203+'DOE25'!K221+'DOE25'!K239</f>
        <v>16066.08</v>
      </c>
      <c r="H7" s="259"/>
    </row>
    <row r="8" spans="1:9" x14ac:dyDescent="0.2">
      <c r="A8" s="32">
        <v>2300</v>
      </c>
      <c r="B8" t="s">
        <v>796</v>
      </c>
      <c r="C8" s="245">
        <f t="shared" si="0"/>
        <v>877185.11999999988</v>
      </c>
      <c r="D8" s="243"/>
      <c r="E8" s="20">
        <f>'DOE25'!L204+'DOE25'!L222+'DOE25'!L240-F8-G8-D9-D11</f>
        <v>825187.0399999998</v>
      </c>
      <c r="F8" s="255">
        <f>'DOE25'!J204+'DOE25'!J222+'DOE25'!J240</f>
        <v>4170.8</v>
      </c>
      <c r="G8" s="53">
        <f>'DOE25'!K204+'DOE25'!K222+'DOE25'!K240</f>
        <v>47827.28</v>
      </c>
      <c r="H8" s="259"/>
    </row>
    <row r="9" spans="1:9" x14ac:dyDescent="0.2">
      <c r="A9" s="32">
        <v>2310</v>
      </c>
      <c r="B9" t="s">
        <v>812</v>
      </c>
      <c r="C9" s="245">
        <f t="shared" si="0"/>
        <v>179349.29</v>
      </c>
      <c r="D9" s="244">
        <v>179349.29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15600</v>
      </c>
      <c r="D10" s="243"/>
      <c r="E10" s="244">
        <v>15600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297315.65999999997</v>
      </c>
      <c r="D11" s="244">
        <v>297315.65999999997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1551859.67</v>
      </c>
      <c r="D12" s="20">
        <f>'DOE25'!L205+'DOE25'!L223+'DOE25'!L241-F12-G12</f>
        <v>1430458.2699999998</v>
      </c>
      <c r="E12" s="243"/>
      <c r="F12" s="255">
        <f>'DOE25'!J205+'DOE25'!J223+'DOE25'!J241</f>
        <v>51550.87</v>
      </c>
      <c r="G12" s="53">
        <f>'DOE25'!K205+'DOE25'!K223+'DOE25'!K241</f>
        <v>69850.53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243087.07</v>
      </c>
      <c r="D13" s="243"/>
      <c r="E13" s="20">
        <f>'DOE25'!L206+'DOE25'!L224+'DOE25'!L242-F13-G13</f>
        <v>242787.07</v>
      </c>
      <c r="F13" s="255">
        <f>'DOE25'!J206+'DOE25'!J224+'DOE25'!J242</f>
        <v>0</v>
      </c>
      <c r="G13" s="53">
        <f>'DOE25'!K206+'DOE25'!K224+'DOE25'!K242</f>
        <v>300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2454745.9800000004</v>
      </c>
      <c r="D14" s="20">
        <f>'DOE25'!L207+'DOE25'!L225+'DOE25'!L243-F14-G14</f>
        <v>2352592.7800000003</v>
      </c>
      <c r="E14" s="243"/>
      <c r="F14" s="255">
        <f>'DOE25'!J207+'DOE25'!J225+'DOE25'!J243</f>
        <v>79209.75</v>
      </c>
      <c r="G14" s="53">
        <f>'DOE25'!K207+'DOE25'!K225+'DOE25'!K243</f>
        <v>22943.45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1107399.3500000001</v>
      </c>
      <c r="D15" s="20">
        <f>'DOE25'!L208+'DOE25'!L226+'DOE25'!L244-F15-G15</f>
        <v>1107399.3500000001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63977.73</v>
      </c>
      <c r="D16" s="243"/>
      <c r="E16" s="20">
        <f>'DOE25'!L209+'DOE25'!L227+'DOE25'!L245-F16-G16</f>
        <v>46986.520000000004</v>
      </c>
      <c r="F16" s="255">
        <f>'DOE25'!J209+'DOE25'!J227+'DOE25'!J245</f>
        <v>0</v>
      </c>
      <c r="G16" s="53">
        <f>'DOE25'!K209+'DOE25'!K227+'DOE25'!K245</f>
        <v>16991.21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79764.28</v>
      </c>
      <c r="D22" s="243"/>
      <c r="E22" s="243"/>
      <c r="F22" s="255">
        <f>'DOE25'!L255+'DOE25'!L336</f>
        <v>79764.28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357846.22000000009</v>
      </c>
      <c r="D29" s="20">
        <f>'DOE25'!L358+'DOE25'!L359+'DOE25'!L360-'DOE25'!I367-F29-G29</f>
        <v>348422.44000000012</v>
      </c>
      <c r="E29" s="243"/>
      <c r="F29" s="255">
        <f>'DOE25'!J358+'DOE25'!J359+'DOE25'!J360</f>
        <v>1845.04</v>
      </c>
      <c r="G29" s="53">
        <f>'DOE25'!K358+'DOE25'!K359+'DOE25'!K360</f>
        <v>7578.74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1391688.04</v>
      </c>
      <c r="D31" s="20">
        <f>'DOE25'!L290+'DOE25'!L309+'DOE25'!L328+'DOE25'!L333+'DOE25'!L334+'DOE25'!L335-F31-G31</f>
        <v>1325256.51</v>
      </c>
      <c r="E31" s="243"/>
      <c r="F31" s="255">
        <f>'DOE25'!J290+'DOE25'!J309+'DOE25'!J328+'DOE25'!J333+'DOE25'!J334+'DOE25'!J335</f>
        <v>59460.3</v>
      </c>
      <c r="G31" s="53">
        <f>'DOE25'!K290+'DOE25'!K309+'DOE25'!K328+'DOE25'!K333+'DOE25'!K334+'DOE25'!K335</f>
        <v>6971.23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19164162.210000005</v>
      </c>
      <c r="E33" s="246">
        <f>SUM(E5:E31)</f>
        <v>1130560.6299999999</v>
      </c>
      <c r="F33" s="246">
        <f>SUM(F5:F31)</f>
        <v>392331.32999999996</v>
      </c>
      <c r="G33" s="246">
        <f>SUM(G5:G31)</f>
        <v>292162.82999999996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1130560.6299999999</v>
      </c>
      <c r="E35" s="249"/>
    </row>
    <row r="36" spans="2:8" ht="12" thickTop="1" x14ac:dyDescent="0.2">
      <c r="B36" t="s">
        <v>809</v>
      </c>
      <c r="D36" s="20">
        <f>D33</f>
        <v>19164162.210000005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WHITE MOUNTAINS REGIONAL SCHOOL DIST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1122843.76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162.6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212580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128009.2</v>
      </c>
      <c r="D12" s="95">
        <f>'DOE25'!G13</f>
        <v>15320.92</v>
      </c>
      <c r="E12" s="95">
        <f>'DOE25'!H13</f>
        <v>322076.52</v>
      </c>
      <c r="F12" s="95">
        <f>'DOE25'!I13</f>
        <v>0</v>
      </c>
      <c r="G12" s="95">
        <f>'DOE25'!J13</f>
        <v>1461585.17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9161.69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10429.9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1483187.15</v>
      </c>
      <c r="D18" s="41">
        <f>SUM(D8:D17)</f>
        <v>15320.92</v>
      </c>
      <c r="E18" s="41">
        <f>SUM(E8:E17)</f>
        <v>322076.52</v>
      </c>
      <c r="F18" s="41">
        <f>SUM(F8:F17)</f>
        <v>0</v>
      </c>
      <c r="G18" s="41">
        <f>SUM(G8:G17)</f>
        <v>1461585.17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-278543.52</v>
      </c>
      <c r="D21" s="95">
        <f>'DOE25'!G22</f>
        <v>15320.92</v>
      </c>
      <c r="E21" s="95">
        <f>'DOE25'!H22</f>
        <v>263222.59999999998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12323.47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1240650.1499999999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-773.05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1505</v>
      </c>
      <c r="D29" s="95">
        <f>'DOE25'!G30</f>
        <v>0</v>
      </c>
      <c r="E29" s="95">
        <f>'DOE25'!H30</f>
        <v>33100.370000000003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975162.04999999981</v>
      </c>
      <c r="D31" s="41">
        <f>SUM(D21:D30)</f>
        <v>15320.92</v>
      </c>
      <c r="E31" s="41">
        <f>SUM(E21:E30)</f>
        <v>296322.96999999997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341409.14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 t="str">
        <f>'DOE25'!F45</f>
        <v xml:space="preserve"> 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25753.55</v>
      </c>
      <c r="F47" s="95">
        <f>'DOE25'!I48</f>
        <v>0</v>
      </c>
      <c r="G47" s="95">
        <f>'DOE25'!J48</f>
        <v>1461585.17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166615.96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508025.1</v>
      </c>
      <c r="D50" s="41">
        <f>SUM(D34:D49)</f>
        <v>0</v>
      </c>
      <c r="E50" s="41">
        <f>SUM(E34:E49)</f>
        <v>25753.55</v>
      </c>
      <c r="F50" s="41">
        <f>SUM(F34:F49)</f>
        <v>0</v>
      </c>
      <c r="G50" s="41">
        <f>SUM(G34:G49)</f>
        <v>1461585.17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1483187.15</v>
      </c>
      <c r="D51" s="41">
        <f>D50+D31</f>
        <v>15320.92</v>
      </c>
      <c r="E51" s="41">
        <f>E50+E31</f>
        <v>322076.51999999996</v>
      </c>
      <c r="F51" s="41">
        <f>F50+F31</f>
        <v>0</v>
      </c>
      <c r="G51" s="41">
        <f>G50+G31</f>
        <v>1461585.17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9997021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601393.09000000008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3485.04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8894.19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177618.09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121824.15</v>
      </c>
      <c r="D61" s="95">
        <f>SUM('DOE25'!G98:G110)</f>
        <v>1629</v>
      </c>
      <c r="E61" s="95">
        <f>SUM('DOE25'!H98:H110)</f>
        <v>125979.36</v>
      </c>
      <c r="F61" s="95">
        <f>SUM('DOE25'!I98:I110)</f>
        <v>0</v>
      </c>
      <c r="G61" s="95">
        <f>SUM('DOE25'!J98:J110)</f>
        <v>42388.83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726702.28000000014</v>
      </c>
      <c r="D62" s="130">
        <f>SUM(D57:D61)</f>
        <v>179247.09</v>
      </c>
      <c r="E62" s="130">
        <f>SUM(E57:E61)</f>
        <v>125979.36</v>
      </c>
      <c r="F62" s="130">
        <f>SUM(F57:F61)</f>
        <v>0</v>
      </c>
      <c r="G62" s="130">
        <f>SUM(G57:G61)</f>
        <v>51283.020000000004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10723723.279999999</v>
      </c>
      <c r="D63" s="22">
        <f>D56+D62</f>
        <v>179247.09</v>
      </c>
      <c r="E63" s="22">
        <f>E56+E62</f>
        <v>125979.36</v>
      </c>
      <c r="F63" s="22">
        <f>F56+F62</f>
        <v>0</v>
      </c>
      <c r="G63" s="22">
        <f>G56+G62</f>
        <v>51283.020000000004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6474718.5599999996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2098102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5399.71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8578220.2699999996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20777.8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109776.62999999999</v>
      </c>
      <c r="D76" s="24" t="s">
        <v>286</v>
      </c>
      <c r="E76" s="95">
        <f>SUM('DOE25'!H127:H130)</f>
        <v>6499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13248.64</v>
      </c>
      <c r="D77" s="95">
        <f>SUM('DOE25'!G131:G135)</f>
        <v>7152.95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143803.07</v>
      </c>
      <c r="D78" s="130">
        <f>SUM(D72:D77)</f>
        <v>7152.95</v>
      </c>
      <c r="E78" s="130">
        <f>SUM(E72:E77)</f>
        <v>6499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8722023.3399999999</v>
      </c>
      <c r="D81" s="130">
        <f>SUM(D79:D80)+D78+D70</f>
        <v>7152.95</v>
      </c>
      <c r="E81" s="130">
        <f>SUM(E79:E80)+E78+E70</f>
        <v>6499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313489.90000000002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59965.05</v>
      </c>
      <c r="D88" s="95">
        <f>SUM('DOE25'!G153:G161)</f>
        <v>297273.82</v>
      </c>
      <c r="E88" s="95">
        <f>SUM('DOE25'!H153:H161)</f>
        <v>1096895.7899999998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11850.43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71815.48000000001</v>
      </c>
      <c r="D91" s="131">
        <f>SUM(D85:D90)</f>
        <v>297273.82</v>
      </c>
      <c r="E91" s="131">
        <f>SUM(E85:E90)</f>
        <v>1410385.69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78483.460000000006</v>
      </c>
      <c r="E96" s="95">
        <f>'DOE25'!H179</f>
        <v>0</v>
      </c>
      <c r="F96" s="95">
        <f>'DOE25'!I179</f>
        <v>0</v>
      </c>
      <c r="G96" s="95">
        <f>'DOE25'!J179</f>
        <v>447323.47</v>
      </c>
    </row>
    <row r="97" spans="1:7" x14ac:dyDescent="0.2">
      <c r="A97" t="s">
        <v>752</v>
      </c>
      <c r="B97" s="32" t="s">
        <v>188</v>
      </c>
      <c r="C97" s="95">
        <f>SUM('DOE25'!F180:F181)</f>
        <v>67240.12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 t="str">
        <f>'DOE25'!F182</f>
        <v xml:space="preserve"> 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67240.12</v>
      </c>
      <c r="D103" s="86">
        <f>SUM(D93:D102)</f>
        <v>78483.460000000006</v>
      </c>
      <c r="E103" s="86">
        <f>SUM(E93:E102)</f>
        <v>0</v>
      </c>
      <c r="F103" s="86">
        <f>SUM(F93:F102)</f>
        <v>0</v>
      </c>
      <c r="G103" s="86">
        <f>SUM(G93:G102)</f>
        <v>447323.47</v>
      </c>
    </row>
    <row r="104" spans="1:7" ht="12.75" thickTop="1" thickBot="1" x14ac:dyDescent="0.25">
      <c r="A104" s="33" t="s">
        <v>759</v>
      </c>
      <c r="C104" s="86">
        <f>C63+C81+C91+C103</f>
        <v>19584802.219999999</v>
      </c>
      <c r="D104" s="86">
        <f>D63+D81+D91+D103</f>
        <v>562157.31999999995</v>
      </c>
      <c r="E104" s="86">
        <f>E63+E81+E91+E103</f>
        <v>1542864.0499999998</v>
      </c>
      <c r="F104" s="86">
        <f>F63+F81+F91+F103</f>
        <v>0</v>
      </c>
      <c r="G104" s="86">
        <f>G63+G81+G103</f>
        <v>498606.49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7410093.1700000009</v>
      </c>
      <c r="D109" s="24" t="s">
        <v>286</v>
      </c>
      <c r="E109" s="95">
        <f>('DOE25'!L276)+('DOE25'!L295)+('DOE25'!L314)</f>
        <v>616537.56999999995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2169690.2199999997</v>
      </c>
      <c r="D110" s="24" t="s">
        <v>286</v>
      </c>
      <c r="E110" s="95">
        <f>('DOE25'!L277)+('DOE25'!L296)+('DOE25'!L315)</f>
        <v>18240.47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478696.4</v>
      </c>
      <c r="D111" s="24" t="s">
        <v>286</v>
      </c>
      <c r="E111" s="95">
        <f>('DOE25'!L278)+('DOE25'!L297)+('DOE25'!L316)</f>
        <v>79690.300000000017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340815.19</v>
      </c>
      <c r="D112" s="24" t="s">
        <v>286</v>
      </c>
      <c r="E112" s="95">
        <f>+('DOE25'!L279)+('DOE25'!L298)+('DOE25'!L317)</f>
        <v>15985.230000000001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10399294.98</v>
      </c>
      <c r="D115" s="86">
        <f>SUM(D109:D114)</f>
        <v>0</v>
      </c>
      <c r="E115" s="86">
        <f>SUM(E109:E114)</f>
        <v>730453.57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1501543.8699999999</v>
      </c>
      <c r="D118" s="24" t="s">
        <v>286</v>
      </c>
      <c r="E118" s="95">
        <f>+('DOE25'!L281)+('DOE25'!L300)+('DOE25'!L319)</f>
        <v>388352.22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458559.74000000005</v>
      </c>
      <c r="D119" s="24" t="s">
        <v>286</v>
      </c>
      <c r="E119" s="95">
        <f>+('DOE25'!L282)+('DOE25'!L301)+('DOE25'!L320)</f>
        <v>94954.1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1353850.0699999998</v>
      </c>
      <c r="D120" s="24" t="s">
        <v>286</v>
      </c>
      <c r="E120" s="95">
        <f>+('DOE25'!L283)+('DOE25'!L302)+('DOE25'!L321)</f>
        <v>167447.69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1551859.67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243087.07</v>
      </c>
      <c r="D122" s="24" t="s">
        <v>286</v>
      </c>
      <c r="E122" s="95">
        <f>+('DOE25'!L285)+('DOE25'!L304)+('DOE25'!L323)</f>
        <v>7000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2454745.9800000004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1107399.3500000001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63977.73</v>
      </c>
      <c r="D125" s="24" t="s">
        <v>286</v>
      </c>
      <c r="E125" s="95">
        <f>+('DOE25'!L288)+('DOE25'!L307)+('DOE25'!L326)</f>
        <v>3480.46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562157.32000000007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8735023.4800000004</v>
      </c>
      <c r="D128" s="86">
        <f>SUM(D118:D127)</f>
        <v>562157.32000000007</v>
      </c>
      <c r="E128" s="86">
        <f>SUM(E118:E127)</f>
        <v>661234.47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400</v>
      </c>
      <c r="D130" s="24" t="s">
        <v>286</v>
      </c>
      <c r="E130" s="129">
        <f>'DOE25'!L336</f>
        <v>79364.28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67240.12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78483.460000000006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197479.54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301126.95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-51283.020000000019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39362.99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565569.91999999993</v>
      </c>
      <c r="D144" s="141">
        <f>SUM(D130:D143)</f>
        <v>0</v>
      </c>
      <c r="E144" s="141">
        <f>SUM(E130:E143)</f>
        <v>146604.4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19699888.380000003</v>
      </c>
      <c r="D145" s="86">
        <f>(D115+D128+D144)</f>
        <v>562157.32000000007</v>
      </c>
      <c r="E145" s="86">
        <f>(E115+E128+E144)</f>
        <v>1538292.44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WHITE MOUNTAINS REGIONAL SCHOOL DIST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17409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18858</v>
      </c>
    </row>
    <row r="7" spans="1:4" x14ac:dyDescent="0.2">
      <c r="B7" t="s">
        <v>699</v>
      </c>
      <c r="C7" s="179">
        <f>IF('DOE25'!I665+'DOE25'!I670=0,0,ROUND('DOE25'!I672,0))</f>
        <v>17886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8026631</v>
      </c>
      <c r="D10" s="182">
        <f>ROUND((C10/$C$28)*100,1)</f>
        <v>38.299999999999997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2187931</v>
      </c>
      <c r="D11" s="182">
        <f>ROUND((C11/$C$28)*100,1)</f>
        <v>10.4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558387</v>
      </c>
      <c r="D12" s="182">
        <f>ROUND((C12/$C$28)*100,1)</f>
        <v>2.7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356800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1889896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553514</v>
      </c>
      <c r="D16" s="182">
        <f t="shared" si="0"/>
        <v>2.6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1588756</v>
      </c>
      <c r="D17" s="182">
        <f t="shared" si="0"/>
        <v>7.6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1551860</v>
      </c>
      <c r="D18" s="182">
        <f t="shared" si="0"/>
        <v>7.4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250087</v>
      </c>
      <c r="D19" s="182">
        <f t="shared" si="0"/>
        <v>1.2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2454746</v>
      </c>
      <c r="D20" s="182">
        <f t="shared" si="0"/>
        <v>11.7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1107399</v>
      </c>
      <c r="D21" s="182">
        <f t="shared" si="0"/>
        <v>5.3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39362.99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382909.91000000003</v>
      </c>
      <c r="D27" s="182">
        <f t="shared" si="0"/>
        <v>1.8</v>
      </c>
    </row>
    <row r="28" spans="1:4" x14ac:dyDescent="0.2">
      <c r="B28" s="187" t="s">
        <v>717</v>
      </c>
      <c r="C28" s="180">
        <f>SUM(C10:C27)</f>
        <v>20948279.899999999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79764</v>
      </c>
    </row>
    <row r="30" spans="1:4" x14ac:dyDescent="0.2">
      <c r="B30" s="187" t="s">
        <v>723</v>
      </c>
      <c r="C30" s="180">
        <f>SUM(C28:C29)</f>
        <v>21028043.899999999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9997021</v>
      </c>
      <c r="D35" s="182">
        <f t="shared" ref="D35:D40" si="1">ROUND((C35/$C$41)*100,1)</f>
        <v>46.7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903964.65999999829</v>
      </c>
      <c r="D36" s="182">
        <f t="shared" si="1"/>
        <v>4.2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8572821</v>
      </c>
      <c r="D37" s="182">
        <f t="shared" si="1"/>
        <v>40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162855</v>
      </c>
      <c r="D38" s="182">
        <f t="shared" si="1"/>
        <v>0.8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1779475</v>
      </c>
      <c r="D39" s="182">
        <f t="shared" si="1"/>
        <v>8.3000000000000007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21416136.659999996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4" sqref="C14:M1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WHITE MOUNTAINS REGIONAL SCHOOL DIST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4</v>
      </c>
      <c r="B4" s="219">
        <v>10</v>
      </c>
      <c r="C4" s="285" t="s">
        <v>916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915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1" t="s">
        <v>913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 t="s">
        <v>914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 t="s">
        <v>917</v>
      </c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1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2018-10-17T12:47:51Z</cp:lastPrinted>
  <dcterms:created xsi:type="dcterms:W3CDTF">1997-12-04T19:04:30Z</dcterms:created>
  <dcterms:modified xsi:type="dcterms:W3CDTF">2018-12-03T19:58:08Z</dcterms:modified>
</cp:coreProperties>
</file>