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C39" i="12"/>
  <c r="C38" i="12"/>
  <c r="C20" i="12"/>
  <c r="C10" i="12"/>
  <c r="C19" i="12"/>
  <c r="C12" i="12"/>
  <c r="C11" i="12"/>
  <c r="B37" i="12"/>
  <c r="B39" i="12"/>
  <c r="B10" i="12"/>
  <c r="B11" i="12"/>
  <c r="B20" i="12"/>
  <c r="B19" i="12"/>
  <c r="H528" i="1" l="1"/>
  <c r="H527" i="1"/>
  <c r="H526" i="1"/>
  <c r="J533" i="1"/>
  <c r="J532" i="1"/>
  <c r="J531" i="1"/>
  <c r="J528" i="1"/>
  <c r="J527" i="1"/>
  <c r="J526" i="1"/>
  <c r="J521" i="1"/>
  <c r="J523" i="1"/>
  <c r="J522" i="1"/>
  <c r="I521" i="1"/>
  <c r="I523" i="1"/>
  <c r="I522" i="1"/>
  <c r="H533" i="1" l="1"/>
  <c r="H532" i="1"/>
  <c r="H531" i="1"/>
  <c r="H538" i="1"/>
  <c r="H537" i="1"/>
  <c r="H536" i="1"/>
  <c r="H541" i="1"/>
  <c r="K533" i="1"/>
  <c r="K532" i="1"/>
  <c r="K531" i="1"/>
  <c r="I533" i="1"/>
  <c r="I532" i="1"/>
  <c r="I531" i="1"/>
  <c r="G533" i="1"/>
  <c r="G532" i="1"/>
  <c r="G531" i="1"/>
  <c r="F533" i="1"/>
  <c r="F532" i="1"/>
  <c r="F531" i="1"/>
  <c r="I526" i="1"/>
  <c r="I527" i="1"/>
  <c r="G526" i="1"/>
  <c r="G527" i="1"/>
  <c r="G528" i="1"/>
  <c r="F526" i="1"/>
  <c r="F527" i="1"/>
  <c r="F528" i="1"/>
  <c r="K523" i="1"/>
  <c r="K522" i="1"/>
  <c r="K521" i="1"/>
  <c r="H521" i="1"/>
  <c r="H523" i="1"/>
  <c r="H522" i="1"/>
  <c r="G521" i="1"/>
  <c r="G523" i="1"/>
  <c r="G522" i="1"/>
  <c r="F523" i="1"/>
  <c r="F522" i="1"/>
  <c r="F521" i="1"/>
  <c r="F49" i="1"/>
  <c r="G611" i="1" l="1"/>
  <c r="F611" i="1"/>
  <c r="G612" i="1"/>
  <c r="F612" i="1"/>
  <c r="J604" i="1"/>
  <c r="I604" i="1"/>
  <c r="H604" i="1"/>
  <c r="J594" i="1"/>
  <c r="J593" i="1"/>
  <c r="I594" i="1"/>
  <c r="H244" i="1"/>
  <c r="H226" i="1"/>
  <c r="H591" i="1"/>
  <c r="H592" i="1"/>
  <c r="H595" i="1"/>
  <c r="J595" i="1"/>
  <c r="J592" i="1"/>
  <c r="I595" i="1"/>
  <c r="I592" i="1"/>
  <c r="G502" i="1" l="1"/>
  <c r="F502" i="1"/>
  <c r="F499" i="1"/>
  <c r="G498" i="1" l="1"/>
  <c r="F498" i="1"/>
  <c r="J468" i="1"/>
  <c r="J96" i="1"/>
  <c r="K241" i="1" l="1"/>
  <c r="K239" i="1"/>
  <c r="K238" i="1"/>
  <c r="K236" i="1"/>
  <c r="K242" i="1"/>
  <c r="K224" i="1"/>
  <c r="K206" i="1"/>
  <c r="K223" i="1"/>
  <c r="K240" i="1"/>
  <c r="K222" i="1"/>
  <c r="K204" i="1"/>
  <c r="K221" i="1"/>
  <c r="K220" i="1"/>
  <c r="K218" i="1"/>
  <c r="K234" i="1"/>
  <c r="K216" i="1"/>
  <c r="K198" i="1"/>
  <c r="K205" i="1"/>
  <c r="K202" i="1"/>
  <c r="K197" i="1"/>
  <c r="J236" i="1"/>
  <c r="J245" i="1"/>
  <c r="J227" i="1"/>
  <c r="J209" i="1"/>
  <c r="J243" i="1"/>
  <c r="J242" i="1"/>
  <c r="J224" i="1"/>
  <c r="J206" i="1"/>
  <c r="J239" i="1"/>
  <c r="J221" i="1"/>
  <c r="J203" i="1"/>
  <c r="J238" i="1"/>
  <c r="J234" i="1"/>
  <c r="J233" i="1"/>
  <c r="J225" i="1"/>
  <c r="J218" i="1"/>
  <c r="J216" i="1"/>
  <c r="J215" i="1"/>
  <c r="J207" i="1"/>
  <c r="J205" i="1"/>
  <c r="J202" i="1"/>
  <c r="J198" i="1"/>
  <c r="J197" i="1"/>
  <c r="I245" i="1"/>
  <c r="I227" i="1"/>
  <c r="I209" i="1"/>
  <c r="I243" i="1"/>
  <c r="I225" i="1"/>
  <c r="I207" i="1"/>
  <c r="I242" i="1"/>
  <c r="I224" i="1"/>
  <c r="I206" i="1"/>
  <c r="I241" i="1"/>
  <c r="I240" i="1"/>
  <c r="I222" i="1"/>
  <c r="I204" i="1"/>
  <c r="I239" i="1"/>
  <c r="I221" i="1"/>
  <c r="I203" i="1"/>
  <c r="I238" i="1"/>
  <c r="I220" i="1"/>
  <c r="I236" i="1"/>
  <c r="I234" i="1"/>
  <c r="I233" i="1"/>
  <c r="I223" i="1"/>
  <c r="I218" i="1"/>
  <c r="I216" i="1"/>
  <c r="I215" i="1"/>
  <c r="I205" i="1"/>
  <c r="I202" i="1"/>
  <c r="I198" i="1"/>
  <c r="I197" i="1"/>
  <c r="H220" i="1"/>
  <c r="H223" i="1"/>
  <c r="H245" i="1"/>
  <c r="H227" i="1"/>
  <c r="H209" i="1"/>
  <c r="H243" i="1"/>
  <c r="H225" i="1"/>
  <c r="H207" i="1"/>
  <c r="H242" i="1"/>
  <c r="H224" i="1"/>
  <c r="H206" i="1"/>
  <c r="H241" i="1"/>
  <c r="H240" i="1"/>
  <c r="H222" i="1"/>
  <c r="H204" i="1"/>
  <c r="H239" i="1"/>
  <c r="H203" i="1"/>
  <c r="H221" i="1"/>
  <c r="H238" i="1"/>
  <c r="H234" i="1"/>
  <c r="H236" i="1"/>
  <c r="H235" i="1"/>
  <c r="H233" i="1"/>
  <c r="H218" i="1"/>
  <c r="H216" i="1"/>
  <c r="H215" i="1"/>
  <c r="H208" i="1"/>
  <c r="H205" i="1"/>
  <c r="H202" i="1"/>
  <c r="H198" i="1"/>
  <c r="F198" i="1"/>
  <c r="H197" i="1"/>
  <c r="G239" i="1"/>
  <c r="G203" i="1"/>
  <c r="G238" i="1"/>
  <c r="G220" i="1"/>
  <c r="G202" i="1"/>
  <c r="G245" i="1"/>
  <c r="G243" i="1"/>
  <c r="G242" i="1"/>
  <c r="G241" i="1"/>
  <c r="G240" i="1"/>
  <c r="G236" i="1"/>
  <c r="G234" i="1"/>
  <c r="G233" i="1"/>
  <c r="G227" i="1"/>
  <c r="G225" i="1"/>
  <c r="G224" i="1"/>
  <c r="G223" i="1"/>
  <c r="G222" i="1"/>
  <c r="G221" i="1"/>
  <c r="G218" i="1"/>
  <c r="G216" i="1"/>
  <c r="G215" i="1"/>
  <c r="G209" i="1"/>
  <c r="G207" i="1"/>
  <c r="G206" i="1"/>
  <c r="G205" i="1"/>
  <c r="G204" i="1"/>
  <c r="G200" i="1"/>
  <c r="G198" i="1"/>
  <c r="G197" i="1"/>
  <c r="F241" i="1"/>
  <c r="F202" i="1"/>
  <c r="F220" i="1"/>
  <c r="F238" i="1"/>
  <c r="F239" i="1"/>
  <c r="F245" i="1"/>
  <c r="F243" i="1"/>
  <c r="F242" i="1"/>
  <c r="F240" i="1"/>
  <c r="F236" i="1"/>
  <c r="F234" i="1"/>
  <c r="F233" i="1"/>
  <c r="F227" i="1"/>
  <c r="F225" i="1"/>
  <c r="F224" i="1"/>
  <c r="F223" i="1"/>
  <c r="F222" i="1"/>
  <c r="F221" i="1"/>
  <c r="F203" i="1"/>
  <c r="F218" i="1"/>
  <c r="F216" i="1"/>
  <c r="F215" i="1"/>
  <c r="F209" i="1"/>
  <c r="F207" i="1"/>
  <c r="F206" i="1"/>
  <c r="F204" i="1"/>
  <c r="F205" i="1"/>
  <c r="F200" i="1"/>
  <c r="F197" i="1"/>
  <c r="F472" i="1"/>
  <c r="I288" i="1" l="1"/>
  <c r="I307" i="1"/>
  <c r="I326" i="1"/>
  <c r="G282" i="1"/>
  <c r="H282" i="1"/>
  <c r="H319" i="1"/>
  <c r="H300" i="1"/>
  <c r="H281" i="1"/>
  <c r="J315" i="1"/>
  <c r="J296" i="1"/>
  <c r="J277" i="1"/>
  <c r="J319" i="1"/>
  <c r="J300" i="1"/>
  <c r="J281" i="1"/>
  <c r="I282" i="1"/>
  <c r="I315" i="1"/>
  <c r="I296" i="1"/>
  <c r="I277" i="1"/>
  <c r="H283" i="1"/>
  <c r="H320" i="1"/>
  <c r="H301" i="1"/>
  <c r="G320" i="1"/>
  <c r="F320" i="1"/>
  <c r="I301" i="1"/>
  <c r="G301" i="1"/>
  <c r="F301" i="1"/>
  <c r="I281" i="1"/>
  <c r="I279" i="1"/>
  <c r="I276" i="1"/>
  <c r="G276" i="1"/>
  <c r="F282" i="1"/>
  <c r="F276" i="1"/>
  <c r="H159" i="1"/>
  <c r="H155" i="1"/>
  <c r="H110" i="1"/>
  <c r="H367" i="1" l="1"/>
  <c r="G367" i="1"/>
  <c r="F367" i="1"/>
  <c r="K358" i="1"/>
  <c r="K360" i="1"/>
  <c r="K359" i="1"/>
  <c r="J360" i="1"/>
  <c r="J359" i="1"/>
  <c r="J358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G158" i="1"/>
  <c r="G132" i="1"/>
  <c r="G97" i="1"/>
  <c r="G468" i="1"/>
  <c r="G14" i="1"/>
  <c r="G9" i="1"/>
  <c r="F6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H25" i="13" s="1"/>
  <c r="C25" i="13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C11" i="10"/>
  <c r="C12" i="10"/>
  <c r="L250" i="1"/>
  <c r="L332" i="1"/>
  <c r="E113" i="2" s="1"/>
  <c r="L254" i="1"/>
  <c r="C25" i="10"/>
  <c r="L268" i="1"/>
  <c r="L269" i="1"/>
  <c r="C26" i="10" s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C114" i="2"/>
  <c r="D115" i="2"/>
  <c r="F115" i="2"/>
  <c r="G115" i="2"/>
  <c r="E121" i="2"/>
  <c r="E123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H408" i="1"/>
  <c r="H644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G642" i="1" s="1"/>
  <c r="F452" i="1"/>
  <c r="G452" i="1"/>
  <c r="H452" i="1"/>
  <c r="H461" i="1" s="1"/>
  <c r="H641" i="1" s="1"/>
  <c r="J641" i="1" s="1"/>
  <c r="F460" i="1"/>
  <c r="G460" i="1"/>
  <c r="H460" i="1"/>
  <c r="G461" i="1"/>
  <c r="F470" i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40" i="1"/>
  <c r="G641" i="1"/>
  <c r="G643" i="1"/>
  <c r="G644" i="1"/>
  <c r="G652" i="1"/>
  <c r="H652" i="1"/>
  <c r="G653" i="1"/>
  <c r="H653" i="1"/>
  <c r="G654" i="1"/>
  <c r="H654" i="1"/>
  <c r="H655" i="1"/>
  <c r="L256" i="1"/>
  <c r="L351" i="1"/>
  <c r="E31" i="2"/>
  <c r="H112" i="1"/>
  <c r="J571" i="1"/>
  <c r="L433" i="1"/>
  <c r="I169" i="1"/>
  <c r="H476" i="1"/>
  <c r="H624" i="1" s="1"/>
  <c r="J624" i="1" s="1"/>
  <c r="F169" i="1"/>
  <c r="F571" i="1"/>
  <c r="G22" i="2"/>
  <c r="C29" i="10"/>
  <c r="L401" i="1"/>
  <c r="C139" i="2" s="1"/>
  <c r="F22" i="13"/>
  <c r="C22" i="13" s="1"/>
  <c r="H571" i="1"/>
  <c r="I571" i="1"/>
  <c r="J636" i="1"/>
  <c r="L565" i="1"/>
  <c r="I408" i="1" l="1"/>
  <c r="A40" i="12"/>
  <c r="A13" i="12"/>
  <c r="J545" i="1"/>
  <c r="I552" i="1"/>
  <c r="L539" i="1"/>
  <c r="H545" i="1"/>
  <c r="K549" i="1"/>
  <c r="K545" i="1"/>
  <c r="I545" i="1"/>
  <c r="K551" i="1"/>
  <c r="H552" i="1"/>
  <c r="G545" i="1"/>
  <c r="L529" i="1"/>
  <c r="G552" i="1"/>
  <c r="K550" i="1"/>
  <c r="F552" i="1"/>
  <c r="F476" i="1"/>
  <c r="H622" i="1" s="1"/>
  <c r="J622" i="1" s="1"/>
  <c r="L270" i="1"/>
  <c r="L534" i="1"/>
  <c r="I460" i="1"/>
  <c r="F408" i="1"/>
  <c r="H643" i="1" s="1"/>
  <c r="J643" i="1" s="1"/>
  <c r="H52" i="1"/>
  <c r="H619" i="1" s="1"/>
  <c r="D17" i="13"/>
  <c r="C17" i="13" s="1"/>
  <c r="J655" i="1"/>
  <c r="K605" i="1"/>
  <c r="G648" i="1" s="1"/>
  <c r="L427" i="1"/>
  <c r="L434" i="1" s="1"/>
  <c r="G638" i="1" s="1"/>
  <c r="J638" i="1" s="1"/>
  <c r="G164" i="2"/>
  <c r="G157" i="2"/>
  <c r="E62" i="2"/>
  <c r="E63" i="2" s="1"/>
  <c r="D31" i="2"/>
  <c r="D51" i="2" s="1"/>
  <c r="H662" i="1"/>
  <c r="L544" i="1"/>
  <c r="L524" i="1"/>
  <c r="F461" i="1"/>
  <c r="H639" i="1" s="1"/>
  <c r="J639" i="1" s="1"/>
  <c r="K338" i="1"/>
  <c r="K352" i="1" s="1"/>
  <c r="I369" i="1"/>
  <c r="H634" i="1" s="1"/>
  <c r="G662" i="1"/>
  <c r="C91" i="2"/>
  <c r="C70" i="2"/>
  <c r="G161" i="2"/>
  <c r="E103" i="2"/>
  <c r="F78" i="2"/>
  <c r="F81" i="2" s="1"/>
  <c r="D81" i="2"/>
  <c r="D62" i="2"/>
  <c r="D63" i="2" s="1"/>
  <c r="F18" i="2"/>
  <c r="L614" i="1"/>
  <c r="G650" i="1"/>
  <c r="J650" i="1" s="1"/>
  <c r="J649" i="1"/>
  <c r="K598" i="1"/>
  <c r="G647" i="1" s="1"/>
  <c r="C18" i="2"/>
  <c r="I452" i="1"/>
  <c r="I461" i="1" s="1"/>
  <c r="H642" i="1" s="1"/>
  <c r="J642" i="1" s="1"/>
  <c r="K503" i="1"/>
  <c r="K500" i="1"/>
  <c r="G156" i="2"/>
  <c r="C35" i="10"/>
  <c r="G645" i="1"/>
  <c r="J645" i="1" s="1"/>
  <c r="J476" i="1"/>
  <c r="H626" i="1" s="1"/>
  <c r="J644" i="1"/>
  <c r="K257" i="1"/>
  <c r="K271" i="1" s="1"/>
  <c r="C132" i="2"/>
  <c r="H33" i="13"/>
  <c r="J257" i="1"/>
  <c r="J271" i="1" s="1"/>
  <c r="I257" i="1"/>
  <c r="I271" i="1" s="1"/>
  <c r="C125" i="2"/>
  <c r="G651" i="1"/>
  <c r="J651" i="1" s="1"/>
  <c r="H257" i="1"/>
  <c r="H271" i="1" s="1"/>
  <c r="D15" i="13"/>
  <c r="C15" i="13" s="1"/>
  <c r="E81" i="2"/>
  <c r="D91" i="2"/>
  <c r="G81" i="2"/>
  <c r="D7" i="13"/>
  <c r="C7" i="13" s="1"/>
  <c r="C21" i="10"/>
  <c r="C122" i="2"/>
  <c r="G257" i="1"/>
  <c r="G271" i="1" s="1"/>
  <c r="C110" i="2"/>
  <c r="E16" i="13"/>
  <c r="C16" i="13" s="1"/>
  <c r="H647" i="1"/>
  <c r="F662" i="1"/>
  <c r="I662" i="1" s="1"/>
  <c r="C124" i="2"/>
  <c r="C120" i="2"/>
  <c r="C119" i="2"/>
  <c r="C118" i="2"/>
  <c r="C19" i="10"/>
  <c r="C112" i="2"/>
  <c r="L247" i="1"/>
  <c r="E8" i="13"/>
  <c r="C8" i="13" s="1"/>
  <c r="C17" i="10"/>
  <c r="C20" i="10"/>
  <c r="C18" i="10"/>
  <c r="D6" i="13"/>
  <c r="C6" i="13" s="1"/>
  <c r="L229" i="1"/>
  <c r="F257" i="1"/>
  <c r="F271" i="1" s="1"/>
  <c r="D14" i="13"/>
  <c r="C14" i="13" s="1"/>
  <c r="C123" i="2"/>
  <c r="E13" i="13"/>
  <c r="C13" i="13" s="1"/>
  <c r="C121" i="2"/>
  <c r="D12" i="13"/>
  <c r="C12" i="13" s="1"/>
  <c r="C13" i="10"/>
  <c r="D5" i="13"/>
  <c r="C5" i="13" s="1"/>
  <c r="L211" i="1"/>
  <c r="C109" i="2"/>
  <c r="J617" i="1"/>
  <c r="L309" i="1"/>
  <c r="E125" i="2"/>
  <c r="J338" i="1"/>
  <c r="J352" i="1" s="1"/>
  <c r="C15" i="10"/>
  <c r="E119" i="2"/>
  <c r="H338" i="1"/>
  <c r="H352" i="1" s="1"/>
  <c r="G338" i="1"/>
  <c r="G352" i="1" s="1"/>
  <c r="C16" i="10"/>
  <c r="E118" i="2"/>
  <c r="E115" i="2"/>
  <c r="L290" i="1"/>
  <c r="F338" i="1"/>
  <c r="F352" i="1" s="1"/>
  <c r="L328" i="1"/>
  <c r="C10" i="10"/>
  <c r="D18" i="2"/>
  <c r="J634" i="1"/>
  <c r="H661" i="1"/>
  <c r="D127" i="2"/>
  <c r="D128" i="2" s="1"/>
  <c r="D145" i="2" s="1"/>
  <c r="F661" i="1"/>
  <c r="G661" i="1"/>
  <c r="D29" i="13"/>
  <c r="C29" i="13" s="1"/>
  <c r="L362" i="1"/>
  <c r="C27" i="10" s="1"/>
  <c r="G476" i="1"/>
  <c r="H623" i="1" s="1"/>
  <c r="J623" i="1" s="1"/>
  <c r="C78" i="2"/>
  <c r="C81" i="2" s="1"/>
  <c r="C62" i="2"/>
  <c r="F112" i="1"/>
  <c r="C36" i="10" s="1"/>
  <c r="C56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K552" i="1" l="1"/>
  <c r="G104" i="2"/>
  <c r="D104" i="2"/>
  <c r="E104" i="2"/>
  <c r="F104" i="2"/>
  <c r="L545" i="1"/>
  <c r="J647" i="1"/>
  <c r="G51" i="2"/>
  <c r="H646" i="1"/>
  <c r="J646" i="1" s="1"/>
  <c r="C144" i="2"/>
  <c r="C63" i="2"/>
  <c r="C104" i="2" s="1"/>
  <c r="C115" i="2"/>
  <c r="C128" i="2"/>
  <c r="E33" i="13"/>
  <c r="D35" i="13" s="1"/>
  <c r="L257" i="1"/>
  <c r="L271" i="1" s="1"/>
  <c r="G632" i="1" s="1"/>
  <c r="J632" i="1" s="1"/>
  <c r="G660" i="1"/>
  <c r="G664" i="1" s="1"/>
  <c r="G672" i="1" s="1"/>
  <c r="C5" i="10" s="1"/>
  <c r="F660" i="1"/>
  <c r="F664" i="1" s="1"/>
  <c r="F672" i="1" s="1"/>
  <c r="C4" i="10" s="1"/>
  <c r="H648" i="1"/>
  <c r="J648" i="1" s="1"/>
  <c r="E128" i="2"/>
  <c r="E145" i="2" s="1"/>
  <c r="L338" i="1"/>
  <c r="L352" i="1" s="1"/>
  <c r="G633" i="1" s="1"/>
  <c r="J633" i="1" s="1"/>
  <c r="C28" i="10"/>
  <c r="D19" i="10" s="1"/>
  <c r="H660" i="1"/>
  <c r="H664" i="1" s="1"/>
  <c r="H672" i="1" s="1"/>
  <c r="C6" i="10" s="1"/>
  <c r="D31" i="13"/>
  <c r="C31" i="13" s="1"/>
  <c r="I661" i="1"/>
  <c r="G635" i="1"/>
  <c r="J635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D11" i="10"/>
  <c r="D33" i="13"/>
  <c r="D36" i="13" s="1"/>
  <c r="D21" i="10"/>
  <c r="D22" i="10"/>
  <c r="D13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F667" i="1"/>
  <c r="H667" i="1"/>
  <c r="G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<sst xmlns="http://schemas.openxmlformats.org/spreadsheetml/2006/main" count="3962" uniqueCount="918">
  <si>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</si>
  <si>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</si>
  <si>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</si>
  <si>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</si>
  <si>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</si>
  <si>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</si>
  <si>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</si>
  <si>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</si>
  <si>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</si>
  <si>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</si>
  <si>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</si>
  <si>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</si>
  <si>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</si>
  <si>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</si>
  <si>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</si>
  <si>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</si>
  <si>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</si>
  <si>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</si>
  <si>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</si>
  <si>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</si>
  <si>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</si>
  <si>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</si>
  <si>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</si>
  <si>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</si>
  <si>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</si>
  <si>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</si>
  <si>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</si>
  <si>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</si>
  <si>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</si>
  <si>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</si>
  <si>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</si>
  <si>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</si>
  <si>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</si>
  <si>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</si>
  <si>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</si>
  <si>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</si>
  <si>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</si>
  <si>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</si>
  <si>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</si>
  <si>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</si>
  <si>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</si>
  <si>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</si>
  <si>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</si>
  <si>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</si>
  <si>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</si>
  <si>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</si>
  <si>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</si>
  <si>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</si>
  <si>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</si>
  <si>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</si>
  <si>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</si>
  <si>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</si>
  <si>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</si>
  <si>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</si>
  <si>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</si>
  <si>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</si>
  <si>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</si>
  <si>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</si>
  <si>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</si>
  <si>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</si>
  <si>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</si>
  <si>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</si>
  <si>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</si>
  <si>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</si>
  <si>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</si>
  <si>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</si>
  <si>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</si>
  <si>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</si>
  <si>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</si>
  <si>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</si>
  <si>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</si>
  <si>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</si>
  <si>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</si>
  <si>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</si>
  <si>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</si>
  <si>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</si>
  <si>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</si>
  <si>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</si>
  <si>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</si>
  <si>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</si>
  <si>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</si>
  <si>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</si>
  <si>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</si>
  <si>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</si>
  <si>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</si>
  <si>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</si>
  <si>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</si>
  <si>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</si>
  <si>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</si>
  <si>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</si>
  <si>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</si>
  <si>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</si>
  <si>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</si>
  <si>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</si>
  <si>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</si>
  <si>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</si>
  <si>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</si>
  <si>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</si>
  <si>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</si>
  <si>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</si>
  <si>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</si>
  <si>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</si>
  <si>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</si>
  <si>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</si>
  <si>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</si>
  <si>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</si>
  <si>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</si>
  <si>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</si>
  <si>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</si>
  <si>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</si>
  <si>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</si>
  <si>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</si>
  <si>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</si>
  <si>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</si>
  <si>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</si>
  <si>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</si>
  <si>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</si>
  <si>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</si>
  <si>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</si>
  <si>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</si>
  <si>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</si>
  <si>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</si>
  <si>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</si>
  <si>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</si>
  <si>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</si>
  <si>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</si>
  <si>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</si>
  <si>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</si>
  <si>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</si>
  <si>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</si>
  <si>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</si>
  <si>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</si>
  <si>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</si>
  <si>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</si>
  <si>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</si>
  <si>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</si>
  <si>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</si>
  <si>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</si>
  <si>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</si>
  <si>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</si>
  <si>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</si>
  <si>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</si>
  <si>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</si>
  <si>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</si>
  <si>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</si>
  <si>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</si>
  <si>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</si>
  <si>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</si>
  <si>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</si>
  <si>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</si>
  <si>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</si>
  <si>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</si>
  <si>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</si>
  <si>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</si>
  <si>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</si>
  <si>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</si>
  <si>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</si>
  <si>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</si>
  <si>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</si>
  <si>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</si>
  <si>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</si>
  <si>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</si>
  <si>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</si>
  <si>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</si>
  <si>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</si>
  <si>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</si>
  <si>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</si>
  <si>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</si>
  <si>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</si>
  <si>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</si>
  <si>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</si>
  <si>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</si>
  <si>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</si>
  <si>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</si>
  <si>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</si>
  <si>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</si>
  <si>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</si>
  <si>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</si>
  <si>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</si>
  <si>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</si>
  <si>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</si>
  <si>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</si>
  <si>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</si>
  <si>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</si>
  <si>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</si>
  <si>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</si>
  <si>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</si>
  <si>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</si>
  <si>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</si>
  <si>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</si>
  <si>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</si>
  <si>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</si>
  <si>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</si>
  <si>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</si>
  <si>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</si>
  <si>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</si>
  <si>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</si>
  <si>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</si>
  <si>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</si>
  <si>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</si>
  <si>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</si>
  <si>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</si>
  <si>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</si>
  <si>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</si>
  <si>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</si>
  <si>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</si>
  <si>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</si>
  <si>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</si>
  <si>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</si>
  <si>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</si>
  <si>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</si>
  <si>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</si>
  <si>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</si>
  <si>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</si>
  <si>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</si>
  <si>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</si>
  <si>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</si>
  <si>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</si>
  <si>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</si>
  <si>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</si>
  <si>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</si>
  <si>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</si>
  <si>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</si>
  <si>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</si>
  <si>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</si>
  <si>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</si>
  <si>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</si>
  <si>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</si>
  <si>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</si>
  <si>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</si>
  <si>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</si>
  <si>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</si>
  <si>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</si>
  <si>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</si>
  <si>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</si>
  <si>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</si>
  <si>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</si>
  <si>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</si>
  <si>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</si>
  <si>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</si>
  <si>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</si>
  <si>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</si>
  <si>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</si>
  <si>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</si>
  <si>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</si>
  <si>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</si>
  <si>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</si>
  <si>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</si>
  <si>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</si>
  <si>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</si>
  <si>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</si>
  <si>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</si>
  <si>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</si>
  <si>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</si>
  <si>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</si>
  <si>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</si>
  <si>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</si>
  <si>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</si>
  <si>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</si>
  <si>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</si>
  <si>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</si>
  <si>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</si>
  <si>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</si>
  <si>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</si>
  <si>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</si>
  <si>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</si>
  <si>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</si>
  <si>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</si>
  <si>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</si>
  <si>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</si>
  <si>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</si>
  <si>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</si>
  <si>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</si>
  <si>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</si>
  <si>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</si>
  <si>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</si>
  <si>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</si>
  <si>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</si>
  <si>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</si>
  <si>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</si>
  <si>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</si>
  <si>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</si>
  <si>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</si>
  <si>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</si>
  <si>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</si>
  <si>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</si>
  <si>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</si>
  <si>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</si>
  <si>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</si>
  <si>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</si>
  <si>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</si>
  <si>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</si>
  <si>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</si>
  <si>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</si>
  <si>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</si>
  <si>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</si>
  <si>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</si>
  <si>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</si>
  <si>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</si>
  <si>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</si>
  <si>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</si>
  <si>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</si>
  <si>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</si>
  <si>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</si>
  <si>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</si>
  <si>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</si>
  <si>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</si>
  <si>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</si>
  <si>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</si>
  <si>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</si>
  <si>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</si>
  <si>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</si>
  <si>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</si>
  <si>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</si>
  <si>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</si>
  <si>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</si>
  <si>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</si>
  <si>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</si>
  <si>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</si>
  <si>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</si>
  <si>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</si>
  <si>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</si>
  <si>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</si>
  <si>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</si>
  <si>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</si>
  <si>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</si>
  <si>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</si>
  <si>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</si>
  <si>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</si>
  <si>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</si>
  <si>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</si>
  <si>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</si>
  <si>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</si>
  <si>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</si>
  <si>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</si>
  <si>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</si>
  <si>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</si>
  <si>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</si>
  <si>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</si>
  <si>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</si>
  <si>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</si>
  <si>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</si>
  <si>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</si>
  <si>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</si>
  <si>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</si>
  <si>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</si>
  <si>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</si>
  <si>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</si>
  <si>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</si>
  <si>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</si>
  <si>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</si>
  <si>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</si>
  <si>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</si>
  <si>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</si>
  <si>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</si>
  <si>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</si>
  <si>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</si>
  <si>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</si>
  <si>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</si>
  <si>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</si>
  <si>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</si>
  <si>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</si>
  <si>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</si>
  <si>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</si>
  <si>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</si>
  <si>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</si>
  <si>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</si>
  <si>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</si>
  <si>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</si>
  <si>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</si>
  <si>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</si>
  <si>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</si>
  <si>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</si>
  <si>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</si>
  <si>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</si>
  <si>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</si>
  <si>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</si>
  <si>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</si>
  <si>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</si>
  <si>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</si>
  <si>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</si>
  <si>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</si>
  <si>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</si>
  <si>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</si>
  <si>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</si>
  <si>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</si>
  <si>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</si>
  <si>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</si>
  <si>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</si>
  <si>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</si>
  <si>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</si>
  <si>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</si>
  <si>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</si>
  <si>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</si>
  <si>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</si>
  <si>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</si>
  <si>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</si>
  <si>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</si>
  <si>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</si>
  <si>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</si>
  <si>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</si>
  <si>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</si>
  <si>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</si>
  <si>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</si>
  <si>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</si>
  <si>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</si>
  <si>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</si>
  <si>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</si>
  <si>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</si>
  <si>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</si>
  <si>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</si>
  <si>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</si>
  <si>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</si>
  <si>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</si>
  <si>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</si>
  <si>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</si>
  <si>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</si>
  <si>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</si>
  <si>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</si>
  <si>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</si>
  <si>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</si>
  <si>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</si>
  <si>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</si>
  <si>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</si>
  <si>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</si>
  <si>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</si>
  <si>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</si>
  <si>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</si>
  <si>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</si>
  <si>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</si>
  <si>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</si>
  <si>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</si>
  <si>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</si>
  <si>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</si>
  <si>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</si>
  <si>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</si>
  <si>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</si>
  <si>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</si>
  <si>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</si>
  <si>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</si>
  <si>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</si>
  <si>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</si>
  <si>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</si>
  <si>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</si>
  <si>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</si>
  <si>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</si>
  <si>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</si>
  <si>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</si>
  <si>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</si>
  <si>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</si>
  <si>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</si>
  <si>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</si>
  <si>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</si>
  <si>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</si>
  <si>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</si>
  <si>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</si>
  <si>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</si>
  <si>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</si>
  <si>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</si>
  <si>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</si>
  <si>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</si>
  <si>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</si>
  <si>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</si>
  <si>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</si>
  <si>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</si>
  <si>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</si>
  <si>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</si>
  <si>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</si>
  <si>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</si>
  <si>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</si>
  <si>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</si>
  <si>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</si>
  <si>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</si>
  <si>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</si>
  <si>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</si>
  <si>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</si>
  <si>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</si>
  <si>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</si>
  <si>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</si>
  <si>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</si>
  <si>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</si>
  <si>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</si>
  <si>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</si>
  <si>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</si>
  <si>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</si>
  <si>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</si>
  <si>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</si>
  <si>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</si>
  <si>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</si>
  <si>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</si>
  <si>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</si>
  <si>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</si>
  <si>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</si>
  <si>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</si>
  <si>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</si>
  <si>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</si>
  <si>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</si>
  <si>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</si>
  <si>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</si>
  <si>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</si>
  <si>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</si>
  <si>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</si>
  <si>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</si>
  <si>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</si>
  <si>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</si>
  <si>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</si>
  <si>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</si>
  <si>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</si>
  <si>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</si>
  <si>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</si>
  <si>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</si>
  <si>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</si>
  <si>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</si>
  <si>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</si>
  <si>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</si>
  <si>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</si>
  <si>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</si>
  <si>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</si>
  <si>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</si>
  <si>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</si>
  <si>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</si>
  <si>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</si>
  <si>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</si>
  <si>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</si>
  <si>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</si>
  <si>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</si>
  <si>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</si>
  <si>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</si>
  <si>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</si>
  <si>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</si>
  <si>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</si>
  <si>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</si>
  <si>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</si>
  <si>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</si>
  <si>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</si>
  <si>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</si>
  <si>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</si>
  <si>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</si>
  <si>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</si>
  <si>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</si>
  <si>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</si>
  <si>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</si>
  <si>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</si>
  <si>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</si>
  <si>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</si>
  <si>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</si>
  <si>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</si>
  <si>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</si>
  <si>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</si>
  <si>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</si>
  <si>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</si>
  <si>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</si>
  <si>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</si>
  <si>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</si>
  <si>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</si>
  <si>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</si>
  <si>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</si>
  <si>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</si>
  <si>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</si>
  <si>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</si>
  <si>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</si>
  <si>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</si>
  <si>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</si>
  <si>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</si>
  <si>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</si>
  <si>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</si>
  <si>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</si>
  <si>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</si>
  <si>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</si>
  <si>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</si>
  <si>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</si>
  <si>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</si>
  <si>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</si>
  <si>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</si>
  <si>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</si>
  <si>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</si>
  <si>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</si>
  <si>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</si>
  <si>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</si>
  <si>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</si>
  <si>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</si>
  <si>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</si>
  <si>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</si>
  <si>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</si>
  <si>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</si>
  <si>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</si>
  <si>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</si>
  <si>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</si>
  <si>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</si>
  <si>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</si>
  <si>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</si>
  <si>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</si>
  <si>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</si>
  <si>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</si>
  <si>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</si>
  <si>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</si>
  <si>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</si>
  <si>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</si>
  <si>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</si>
  <si>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</si>
  <si>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</si>
  <si>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</si>
  <si>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</si>
  <si>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</si>
  <si>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</si>
  <si>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</si>
  <si>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</si>
  <si>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</si>
  <si>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</si>
  <si>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</si>
  <si>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</si>
  <si>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</si>
  <si>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</si>
  <si>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</si>
  <si>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</si>
  <si>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</si>
  <si>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</si>
  <si>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</si>
  <si>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</si>
  <si>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</si>
  <si>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</si>
  <si>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</si>
  <si>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</si>
  <si>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</si>
  <si>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</si>
  <si>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</si>
  <si>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</si>
  <si>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</si>
  <si>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</si>
  <si>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</si>
  <si>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</si>
  <si>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</si>
  <si>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</si>
  <si>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</si>
  <si>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</si>
  <si>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</si>
  <si>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</si>
  <si>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</si>
  <si>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</si>
  <si>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</si>
  <si>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</si>
  <si>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</si>
  <si>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</si>
  <si>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</si>
  <si>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</si>
  <si>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</si>
  <si>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</si>
  <si>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</si>
  <si>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</si>
  <si>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</si>
  <si>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</si>
  <si>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</si>
  <si>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</si>
  <si>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</si>
  <si>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</si>
  <si>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</si>
  <si>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</si>
  <si>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</si>
  <si>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</si>
  <si>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</si>
  <si>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</si>
  <si>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</si>
  <si>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</si>
  <si>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</si>
  <si>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</si>
  <si>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</si>
  <si>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</si>
  <si>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</si>
  <si>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</si>
  <si>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</si>
  <si>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</si>
  <si>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</si>
  <si>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</si>
  <si>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</si>
  <si>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</si>
  <si>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</si>
  <si>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</si>
  <si>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</si>
  <si>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</si>
  <si>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</si>
  <si>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</si>
  <si>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</si>
  <si>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</si>
  <si>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</si>
  <si>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</si>
  <si>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</si>
  <si>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</si>
  <si>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</si>
  <si>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</si>
  <si>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</si>
  <si>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</si>
  <si>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</si>
  <si>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</si>
  <si>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</si>
  <si>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</si>
  <si>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</si>
  <si>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</si>
  <si>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</si>
  <si>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</si>
  <si>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</si>
  <si>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</si>
  <si>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</si>
  <si>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</si>
  <si>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</si>
  <si>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</si>
  <si>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</si>
  <si>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</si>
  <si>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</si>
  <si>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</si>
  <si>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</si>
  <si>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</si>
  <si>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</si>
  <si>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</si>
  <si>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</si>
  <si>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</si>
  <si>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</si>
  <si>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</si>
  <si>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</si>
  <si>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</si>
  <si>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</si>
  <si>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</si>
  <si>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</si>
  <si>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</si>
  <si>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</si>
  <si>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</si>
  <si>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</si>
  <si>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</si>
  <si>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</si>
  <si>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</si>
  <si>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</si>
  <si>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</si>
  <si>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</si>
  <si>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</si>
  <si>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</si>
  <si>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</si>
  <si>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</si>
  <si>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</si>
  <si>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</si>
  <si>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</si>
  <si>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</si>
  <si>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</si>
  <si>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</si>
  <si>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</si>
  <si>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</si>
  <si>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</si>
  <si>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</si>
  <si>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</si>
  <si>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</si>
  <si>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</si>
  <si>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</si>
  <si>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</si>
  <si>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</si>
  <si>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</si>
  <si>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</si>
  <si>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</si>
  <si>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</si>
  <si>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</si>
  <si>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</si>
  <si>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</si>
  <si>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</si>
  <si>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</si>
  <si>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</si>
  <si>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</si>
  <si>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</si>
  <si>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</si>
  <si>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</si>
  <si>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</si>
  <si>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</si>
  <si>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</si>
  <si>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</si>
  <si>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</si>
  <si>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</si>
  <si>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</si>
  <si>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</si>
  <si>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</si>
  <si>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</si>
  <si>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</si>
  <si>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</si>
  <si>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</si>
  <si>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</si>
  <si>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</si>
  <si>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</si>
  <si>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</si>
  <si>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</si>
  <si>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</si>
  <si>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</si>
  <si>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</si>
  <si>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</si>
  <si>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</si>
  <si>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</si>
  <si>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</si>
  <si>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</si>
  <si>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</si>
  <si>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</si>
  <si>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</si>
  <si>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</si>
  <si>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</si>
  <si>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</si>
  <si>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</si>
  <si>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</si>
  <si>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</si>
  <si>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</si>
  <si>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</si>
  <si>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</si>
  <si>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</si>
  <si>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</si>
  <si>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</si>
  <si>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</si>
  <si>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</si>
  <si>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</si>
  <si>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</si>
  <si>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</si>
  <si>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</si>
  <si>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</si>
  <si>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</si>
  <si>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</si>
  <si>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</si>
  <si>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</si>
  <si>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</si>
  <si>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</si>
  <si>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</si>
  <si>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</si>
  <si>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</si>
  <si>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</si>
  <si>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</si>
  <si>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</si>
  <si>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</si>
  <si>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</si>
  <si>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</si>
  <si>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</si>
  <si>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</si>
  <si>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</si>
  <si>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</si>
  <si>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</si>
  <si>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</si>
  <si>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</si>
  <si>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</si>
  <si>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</si>
  <si>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</si>
  <si>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</si>
  <si>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</si>
  <si>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</si>
  <si>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</si>
  <si>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</si>
  <si>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</si>
  <si>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</si>
  <si>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</si>
  <si>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</si>
  <si>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</si>
  <si>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</si>
  <si>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</si>
  <si>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</si>
  <si>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</si>
  <si>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</si>
  <si>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</si>
  <si>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</si>
  <si>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</si>
  <si>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</si>
  <si>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</si>
  <si>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</si>
  <si>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</si>
  <si>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</si>
  <si>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</si>
  <si>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</si>
  <si>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</si>
  <si>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</si>
  <si>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</si>
  <si>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</si>
  <si>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</si>
  <si>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</si>
  <si>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</si>
  <si>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</si>
  <si>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</si>
  <si>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</si>
  <si>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</si>
  <si>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</si>
  <si>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</si>
  <si>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</si>
  <si>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</si>
  <si>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</si>
  <si>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</si>
  <si>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</si>
  <si>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</si>
  <si>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</si>
  <si>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</si>
  <si>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</si>
  <si>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</si>
  <si>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</si>
  <si>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</si>
  <si>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</si>
  <si>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</si>
  <si>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</si>
  <si>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</si>
  <si>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</si>
  <si>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</si>
  <si>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</si>
  <si>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</si>
  <si>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</si>
  <si>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</si>
  <si>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</si>
  <si>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</si>
  <si>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</si>
  <si>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</si>
  <si>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</si>
  <si>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</si>
  <si>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</si>
  <si>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</si>
  <si>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</si>
  <si>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</si>
  <si>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</si>
  <si>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</si>
  <si>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</si>
  <si>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Wilton-Lyndeborough Cooperative School District</t>
  </si>
  <si>
    <t>7/99</t>
  </si>
  <si>
    <t>8/19</t>
  </si>
  <si>
    <t>7/14</t>
  </si>
  <si>
    <t>8/34</t>
  </si>
  <si>
    <t>prior year encumbrances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</si>
</sst>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572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465982.32</v>
      </c>
      <c r="G9" s="18">
        <f>15140.14+164</f>
        <v>15304.14</v>
      </c>
      <c r="H9" s="18"/>
      <c r="I9" s="18"/>
      <c r="J9" s="67">
        <f>SUM(I439)</f>
        <v>430915.01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57983.05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39047.11</v>
      </c>
      <c r="G13" s="18">
        <v>5167.05</v>
      </c>
      <c r="H13" s="18">
        <v>22604.58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f>12145.07-3632.11</f>
        <v>8512.9599999999991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7608.72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16538.38</v>
      </c>
      <c r="G17" s="18">
        <v>2836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579550.86</v>
      </c>
      <c r="G19" s="41">
        <f>SUM(G9:G18)</f>
        <v>39428.869999999995</v>
      </c>
      <c r="H19" s="41">
        <f>SUM(H9:H18)</f>
        <v>22604.58</v>
      </c>
      <c r="I19" s="41">
        <f>SUM(I9:I18)</f>
        <v>0</v>
      </c>
      <c r="J19" s="41">
        <f>SUM(J9:J18)</f>
        <v>430915.01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36764.71</v>
      </c>
      <c r="H22" s="18">
        <v>21218.34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297568.46999999997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66014.179999999993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11430.02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2664.16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375012.67</v>
      </c>
      <c r="G32" s="41">
        <f>SUM(G22:G31)</f>
        <v>39428.869999999995</v>
      </c>
      <c r="H32" s="41">
        <f>SUM(H22:H31)</f>
        <v>21218.34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7608.72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430915.01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-7608.72</v>
      </c>
      <c r="H48" s="18">
        <v>1386.24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236153.48-176448.57</f>
        <v>59704.91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144833.28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204538.19</v>
      </c>
      <c r="G51" s="41">
        <f>SUM(G35:G50)</f>
        <v>0</v>
      </c>
      <c r="H51" s="41">
        <f>SUM(H35:H50)</f>
        <v>1386.24</v>
      </c>
      <c r="I51" s="41">
        <f>SUM(I35:I50)</f>
        <v>0</v>
      </c>
      <c r="J51" s="41">
        <f>SUM(J35:J50)</f>
        <v>430915.01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579550.86</v>
      </c>
      <c r="G52" s="41">
        <f>G51+G32</f>
        <v>39428.869999999995</v>
      </c>
      <c r="H52" s="41">
        <f>H51+H32</f>
        <v>22604.58</v>
      </c>
      <c r="I52" s="41">
        <f>I51+I32</f>
        <v>0</v>
      </c>
      <c r="J52" s="41">
        <f>J51+J32</f>
        <v>430915.01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8674081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8674081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8700+32873.56</f>
        <v>41573.56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41573.56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f>4205.61</f>
        <v>4205.6099999999997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83426.2+9052.5+444.4+1562.25+762.13+8900</f>
        <v>104147.48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985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>
        <v>10145.5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15714.55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10581.19</v>
      </c>
      <c r="G110" s="18"/>
      <c r="H110" s="18">
        <f>995.75+129+421.5+875</f>
        <v>2421.25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27280.739999999998</v>
      </c>
      <c r="G111" s="41">
        <f>SUM(G96:G110)</f>
        <v>104147.48</v>
      </c>
      <c r="H111" s="41">
        <f>SUM(H96:H110)</f>
        <v>2421.25</v>
      </c>
      <c r="I111" s="41">
        <f>SUM(I96:I110)</f>
        <v>0</v>
      </c>
      <c r="J111" s="41">
        <f>SUM(J96:J110)</f>
        <v>14351.11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8742935.3000000007</v>
      </c>
      <c r="G112" s="41">
        <f>G60+G111</f>
        <v>104147.48</v>
      </c>
      <c r="H112" s="41">
        <f>H60+H79+H94+H111</f>
        <v>2421.25</v>
      </c>
      <c r="I112" s="41">
        <f>I60+I111</f>
        <v>0</v>
      </c>
      <c r="J112" s="41">
        <f>J60+J111</f>
        <v>14351.11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1346178.19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1219640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7664.47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2573482.66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128000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141067.29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2327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2442.6+363.57</f>
        <v>2806.17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271394.29000000004</v>
      </c>
      <c r="G136" s="41">
        <f>SUM(G123:G135)</f>
        <v>2806.17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2844876.95</v>
      </c>
      <c r="G140" s="41">
        <f>G121+SUM(G136:G137)</f>
        <v>2806.17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8361.8799999999992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98946.75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10364.59+13822.11+570.15</f>
        <v>24756.850000000002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53766.88+16492.02+754.89</f>
        <v>71013.789999999994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23978.65+142495.89+2422.5</f>
        <v>168897.04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62091.41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12500.75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62091.41</v>
      </c>
      <c r="G162" s="41">
        <f>SUM(G150:G161)</f>
        <v>83514.539999999994</v>
      </c>
      <c r="H162" s="41">
        <f>SUM(H150:H161)</f>
        <v>300962.52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62091.41</v>
      </c>
      <c r="G169" s="41">
        <f>G147+G162+SUM(G163:G168)</f>
        <v>83514.539999999994</v>
      </c>
      <c r="H169" s="41">
        <f>H147+H162+SUM(H163:H168)</f>
        <v>300962.52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36818.730000000003</v>
      </c>
      <c r="H179" s="18"/>
      <c r="I179" s="18"/>
      <c r="J179" s="18">
        <v>55000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36818.730000000003</v>
      </c>
      <c r="H183" s="41">
        <f>SUM(H179:H182)</f>
        <v>0</v>
      </c>
      <c r="I183" s="41">
        <f>SUM(I179:I182)</f>
        <v>0</v>
      </c>
      <c r="J183" s="41">
        <f>SUM(J179:J182)</f>
        <v>55000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36818.730000000003</v>
      </c>
      <c r="H192" s="41">
        <f>+H183+SUM(H188:H191)</f>
        <v>0</v>
      </c>
      <c r="I192" s="41">
        <f>I177+I183+SUM(I188:I191)</f>
        <v>0</v>
      </c>
      <c r="J192" s="41">
        <f>J183</f>
        <v>55000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11649903.66</v>
      </c>
      <c r="G193" s="47">
        <f>G112+G140+G169+G192</f>
        <v>227286.92</v>
      </c>
      <c r="H193" s="47">
        <f>H112+H140+H169+H192</f>
        <v>303383.77</v>
      </c>
      <c r="I193" s="47">
        <f>I112+I140+I169+I192</f>
        <v>0</v>
      </c>
      <c r="J193" s="47">
        <f>J112+J140+J192</f>
        <v>69351.11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93529.96+990427.32+30187+57211.38+23309.94+6890</f>
        <v>1201555.5999999999</v>
      </c>
      <c r="G197" s="18">
        <f>419026.51+54910.23+11466.27+25530.05+1884.52+571.79</f>
        <v>513389.37</v>
      </c>
      <c r="H197" s="18">
        <f>130</f>
        <v>130</v>
      </c>
      <c r="I197" s="18">
        <f>59826.25+4280.15+4514.88+1950.19</f>
        <v>70571.47</v>
      </c>
      <c r="J197" s="18">
        <f>11078.24+23541.32+10696.63</f>
        <v>45316.189999999995</v>
      </c>
      <c r="K197" s="18">
        <f>226</f>
        <v>226</v>
      </c>
      <c r="L197" s="19">
        <f>SUM(F197:K197)</f>
        <v>1831188.6299999997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138225.3+59117.9+122075.15+36158.11+8566.23+4515.34</f>
        <v>368658.02999999997</v>
      </c>
      <c r="G198" s="18">
        <f>65731.99+22700.85+12969.29+33484.97+1816.84+902.86</f>
        <v>137606.79999999999</v>
      </c>
      <c r="H198" s="18">
        <f>6068.5+341.14+44682.2</f>
        <v>51091.839999999997</v>
      </c>
      <c r="I198" s="18">
        <f>5151.37+1557.32+328.13</f>
        <v>7036.82</v>
      </c>
      <c r="J198" s="18">
        <f>1471.2+200.4+952.3</f>
        <v>2623.9</v>
      </c>
      <c r="K198" s="18">
        <f>5708.55*0.487</f>
        <v>2780.06385</v>
      </c>
      <c r="L198" s="19">
        <f>SUM(F198:K198)</f>
        <v>569797.45384999993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3475</f>
        <v>3475</v>
      </c>
      <c r="G200" s="18">
        <f>890.09</f>
        <v>890.09</v>
      </c>
      <c r="H200" s="18"/>
      <c r="I200" s="18"/>
      <c r="J200" s="18"/>
      <c r="K200" s="18"/>
      <c r="L200" s="19">
        <f>SUM(F200:K200)</f>
        <v>4365.09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65049.82+54200+46861.61+128985.91+87125.56+71400*0.487</f>
        <v>416994.69999999995</v>
      </c>
      <c r="G202" s="18">
        <f>34987.97+38541.28+19713.52+90367.4+66482.98+40417.69*0.487</f>
        <v>269776.56502999994</v>
      </c>
      <c r="H202" s="18">
        <f>6637.8+2080+120+65+673.8+560+3395+975+1850+566.22+210.25+49193.5+15139+6148+1537+33146.55+13569.84+13660+84.01</f>
        <v>149610.97000000003</v>
      </c>
      <c r="I202" s="18">
        <f>1261.77+1385.15+302.25+222.26+302.25+209.37+284.25+734.39+305.08+243.1+211.01</f>
        <v>5460.880000000001</v>
      </c>
      <c r="J202" s="18">
        <f>3133.8+561.33</f>
        <v>3695.13</v>
      </c>
      <c r="K202" s="18">
        <f>179+150+150</f>
        <v>479</v>
      </c>
      <c r="L202" s="19">
        <f t="shared" ref="L202:L208" si="0">SUM(F202:K202)</f>
        <v>846017.24502999987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9463.91+3547.44+41031.42+68000*0.487</f>
        <v>87158.76999999999</v>
      </c>
      <c r="G203" s="18">
        <f>19747.96+2564.38+2372.08+897.85+17360.95+8473.13*0.487</f>
        <v>47069.634310000001</v>
      </c>
      <c r="H203" s="18">
        <f>-332.29+2446.68*0.487</f>
        <v>859.24315999999999</v>
      </c>
      <c r="I203" s="18">
        <f>1977.59+700+756.97*0.487</f>
        <v>3046.2343900000001</v>
      </c>
      <c r="J203" s="18">
        <f>475.98*0.487</f>
        <v>231.80225999999999</v>
      </c>
      <c r="K203" s="18"/>
      <c r="L203" s="19">
        <f t="shared" si="0"/>
        <v>138365.68411999999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(400+1000+2394+300+160411.44+121683.47)*0.487</f>
        <v>139373.99917000002</v>
      </c>
      <c r="G204" s="18">
        <f>(33.42+193.35+183.14+56958.79+71157.92)*0.487</f>
        <v>62592.463939999994</v>
      </c>
      <c r="H204" s="18">
        <f>(175+617.5+1753.74+16237.45+10369.51)*0.487</f>
        <v>14197.608400000001</v>
      </c>
      <c r="I204" s="18">
        <f>(8507.72+544.87)*0.487</f>
        <v>4408.6113299999997</v>
      </c>
      <c r="J204" s="18"/>
      <c r="K204" s="18">
        <f>(35+4372.96+4115.42+125)*0.487</f>
        <v>4211.7610600000007</v>
      </c>
      <c r="L204" s="19">
        <f t="shared" si="0"/>
        <v>224784.44390000001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66877.08+27804.46+54214.53+27037.98</f>
        <v>175934.05000000002</v>
      </c>
      <c r="G205" s="18">
        <f>34256.23+14464.46+13012.63+15969.82</f>
        <v>77703.14</v>
      </c>
      <c r="H205" s="18">
        <f>9071.3+6360.14+33332.32+7581.07+10854.86+4008.75</f>
        <v>71208.44</v>
      </c>
      <c r="I205" s="18">
        <f>6051.71+3965.72+1464.12+2056.57</f>
        <v>13538.119999999999</v>
      </c>
      <c r="J205" s="18">
        <f>303.26</f>
        <v>303.26</v>
      </c>
      <c r="K205" s="18">
        <f>869+3702.62+906.77</f>
        <v>5478.3899999999994</v>
      </c>
      <c r="L205" s="19">
        <f t="shared" si="0"/>
        <v>344165.4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165329.94*0.487</f>
        <v>80515.680779999995</v>
      </c>
      <c r="G206" s="18">
        <f>79415.38*0.487</f>
        <v>38675.290059999999</v>
      </c>
      <c r="H206" s="18">
        <f>27135.31*0.487</f>
        <v>13214.89597</v>
      </c>
      <c r="I206" s="18">
        <f>20715.99*0.487</f>
        <v>10088.68713</v>
      </c>
      <c r="J206" s="18">
        <f>2869.48*0.487</f>
        <v>1397.43676</v>
      </c>
      <c r="K206" s="18">
        <f>19602.2*0.487</f>
        <v>9546.2713999999996</v>
      </c>
      <c r="L206" s="19">
        <f t="shared" si="0"/>
        <v>153438.26210000002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59700*0.487+98433.38+35538.34</f>
        <v>163045.62</v>
      </c>
      <c r="G207" s="18">
        <f>39664.2*0.487+45771.4+17343.03</f>
        <v>82430.895399999994</v>
      </c>
      <c r="H207" s="18">
        <f>54032.82+24017.3+11975.76+2395.15+(3078+444.86+3151.95)*0.487</f>
        <v>95671.662469999981</v>
      </c>
      <c r="I207" s="18">
        <f>71801.29+19736.81+(4200.66+2325.5)*0.487</f>
        <v>94716.339919999999</v>
      </c>
      <c r="J207" s="18">
        <f>6418.8+387.97</f>
        <v>6806.77</v>
      </c>
      <c r="K207" s="18"/>
      <c r="L207" s="19">
        <f t="shared" si="0"/>
        <v>442671.28778999997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173600+43400+29760.9+9348.75+4934.4+925.8</f>
        <v>261969.84999999998</v>
      </c>
      <c r="I208" s="18"/>
      <c r="J208" s="18"/>
      <c r="K208" s="18"/>
      <c r="L208" s="19">
        <f t="shared" si="0"/>
        <v>261969.84999999998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16100.1*0.487+46280+11570</f>
        <v>65690.748699999996</v>
      </c>
      <c r="G209" s="18">
        <f>3371.24*0.487+24065.27+6016.82</f>
        <v>31723.883880000001</v>
      </c>
      <c r="H209" s="18">
        <f>341.86+345.2+(9096+15425.39)*0.487</f>
        <v>12628.976929999999</v>
      </c>
      <c r="I209" s="18">
        <f>2054.49+431.64+3692.02*0.487</f>
        <v>4284.1437399999995</v>
      </c>
      <c r="J209" s="18">
        <f>4350.5+3198+4643*0.487</f>
        <v>9809.6409999999996</v>
      </c>
      <c r="K209" s="18"/>
      <c r="L209" s="19">
        <f>SUM(F209:K209)</f>
        <v>124137.39425000001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2702402.1986499997</v>
      </c>
      <c r="G211" s="41">
        <f t="shared" si="1"/>
        <v>1261858.13262</v>
      </c>
      <c r="H211" s="41">
        <f t="shared" si="1"/>
        <v>670583.48693000001</v>
      </c>
      <c r="I211" s="41">
        <f t="shared" si="1"/>
        <v>213151.30650999999</v>
      </c>
      <c r="J211" s="41">
        <f t="shared" si="1"/>
        <v>70184.130019999997</v>
      </c>
      <c r="K211" s="41">
        <f t="shared" si="1"/>
        <v>22721.48631</v>
      </c>
      <c r="L211" s="41">
        <f t="shared" si="1"/>
        <v>4940900.7410399988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575740.2+7212.71+75135.68</f>
        <v>658088.58999999985</v>
      </c>
      <c r="G215" s="18">
        <f>244654.39+5985.65+12611.57</f>
        <v>263251.61</v>
      </c>
      <c r="H215" s="18">
        <f>1619.47+2104.8</f>
        <v>3724.2700000000004</v>
      </c>
      <c r="I215" s="18">
        <f>26934.04+1888.48</f>
        <v>28822.52</v>
      </c>
      <c r="J215" s="18">
        <f>11226.38+310.51</f>
        <v>11536.89</v>
      </c>
      <c r="K215" s="18"/>
      <c r="L215" s="19">
        <f>SUM(F215:K215)</f>
        <v>965423.87999999989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55642.7+102812.32+3853.08</f>
        <v>162308.1</v>
      </c>
      <c r="G216" s="18">
        <f>25699.2+54566.8+743.72+91.31</f>
        <v>81101.03</v>
      </c>
      <c r="H216" s="18">
        <f>3676+87429.34</f>
        <v>91105.34</v>
      </c>
      <c r="I216" s="18">
        <f>1694.27+15.75</f>
        <v>1710.02</v>
      </c>
      <c r="J216" s="18">
        <f>5026.86</f>
        <v>5026.8599999999997</v>
      </c>
      <c r="K216" s="18">
        <f>5708.55*0.222</f>
        <v>1267.2981</v>
      </c>
      <c r="L216" s="19">
        <f>SUM(F216:K216)</f>
        <v>342518.64809999999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9603.08+13668.08</f>
        <v>23271.16</v>
      </c>
      <c r="G218" s="18">
        <f>3322.41+2303.22</f>
        <v>5625.6299999999992</v>
      </c>
      <c r="H218" s="18">
        <f>6102+5092.69+7583.66</f>
        <v>18778.349999999999</v>
      </c>
      <c r="I218" s="18">
        <f>973.64+2630.41</f>
        <v>3604.0499999999997</v>
      </c>
      <c r="J218" s="18">
        <f>3930.28+74.92</f>
        <v>4005.2000000000003</v>
      </c>
      <c r="K218" s="18">
        <f>1022.12+1819.5+6500</f>
        <v>9341.619999999999</v>
      </c>
      <c r="L218" s="19">
        <f>SUM(F218:K218)</f>
        <v>64626.009999999995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24170.13+15138.28+22016.82+84212.71+71400*0.222</f>
        <v>161388.74</v>
      </c>
      <c r="G220" s="18">
        <f>6408.78+15234.54+7013.77+28743.5+40417.69*0.222</f>
        <v>66373.317179999998</v>
      </c>
      <c r="H220" s="18">
        <f>2502.2+1000+48+280+1995+10552.8+120.25+16248.62+10825.65+15490</f>
        <v>59062.520000000004</v>
      </c>
      <c r="I220" s="18">
        <f>1307.04+369.73+120.9+472.79</f>
        <v>2270.46</v>
      </c>
      <c r="J220" s="18"/>
      <c r="K220" s="18">
        <f>69+60</f>
        <v>129</v>
      </c>
      <c r="L220" s="19">
        <f t="shared" ref="L220:L226" si="2">SUM(F220:K220)</f>
        <v>289224.03718000004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68000*0.222+5206.66+23869.17</f>
        <v>44171.83</v>
      </c>
      <c r="G221" s="18">
        <f>4815.78+2161.41+8473.13*0.222+15880.23</f>
        <v>24738.454859999998</v>
      </c>
      <c r="H221" s="18">
        <f>100+30.52+2446.68*0.222</f>
        <v>673.68295999999998</v>
      </c>
      <c r="I221" s="18">
        <f>4561.63+280+756.97*0.222</f>
        <v>5009.6773400000002</v>
      </c>
      <c r="J221" s="18">
        <f>799.96+475.98*0.222</f>
        <v>905.62756000000002</v>
      </c>
      <c r="K221" s="18">
        <f>10</f>
        <v>10</v>
      </c>
      <c r="L221" s="19">
        <f t="shared" si="2"/>
        <v>75509.272719999994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(400+1000+2394+300+160411.44+121683.47)*0.222</f>
        <v>63533.938020000009</v>
      </c>
      <c r="G222" s="18">
        <f>(33.42+193.35+183.14+56958.79+71157.92)*0.222</f>
        <v>28532.909639999998</v>
      </c>
      <c r="H222" s="18">
        <f>(175+617.5+1753.74+16237.45+10369.51)*0.222</f>
        <v>6472.010400000001</v>
      </c>
      <c r="I222" s="18">
        <f>(8507.72+544.87)*0.222</f>
        <v>2009.67498</v>
      </c>
      <c r="J222" s="18"/>
      <c r="K222" s="18">
        <f>(35+4372.96+4115.42+125)*0.222</f>
        <v>1919.9403600000003</v>
      </c>
      <c r="L222" s="19">
        <f t="shared" si="2"/>
        <v>102468.47339999999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74680.05+26061.61</f>
        <v>100741.66</v>
      </c>
      <c r="G223" s="18">
        <f>21680.01+20025.5</f>
        <v>41705.509999999995</v>
      </c>
      <c r="H223" s="18">
        <f>409.07+10051.85+22220.03+3010.85+7584.65</f>
        <v>43276.45</v>
      </c>
      <c r="I223" s="18">
        <f>2110.22+2521.78</f>
        <v>4632</v>
      </c>
      <c r="J223" s="18"/>
      <c r="K223" s="18">
        <f>1893.2+590.41</f>
        <v>2483.61</v>
      </c>
      <c r="L223" s="19">
        <f t="shared" si="2"/>
        <v>192839.22999999998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f>165329.94*0.222</f>
        <v>36703.246680000004</v>
      </c>
      <c r="G224" s="18">
        <f>79415.38*0.222</f>
        <v>17630.214360000002</v>
      </c>
      <c r="H224" s="18">
        <f>27135.31*0.222</f>
        <v>6024.0388200000007</v>
      </c>
      <c r="I224" s="18">
        <f>20715.99*0.222</f>
        <v>4598.9497800000008</v>
      </c>
      <c r="J224" s="18">
        <f>2869.48*0.222</f>
        <v>637.02456000000006</v>
      </c>
      <c r="K224" s="18">
        <f>19602.2*0.222</f>
        <v>4351.6884</v>
      </c>
      <c r="L224" s="19">
        <f t="shared" si="2"/>
        <v>69945.162600000011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59700*0.222+52741.72</f>
        <v>65995.12</v>
      </c>
      <c r="G225" s="18">
        <f>39664.2*0.222+34030.63</f>
        <v>42836.082399999999</v>
      </c>
      <c r="H225" s="18">
        <f>(3078+444.86+3151.95)*0.222+38365.03</f>
        <v>39846.837820000001</v>
      </c>
      <c r="I225" s="18">
        <f>48005.33+(4200.66+2325.5)*0.222</f>
        <v>49454.137520000004</v>
      </c>
      <c r="J225" s="18">
        <f>4219.66+1200</f>
        <v>5419.66</v>
      </c>
      <c r="K225" s="18"/>
      <c r="L225" s="19">
        <f t="shared" si="2"/>
        <v>203551.83774000002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24858.07+3446.07+10125.68+16.21</f>
        <v>38446.03</v>
      </c>
      <c r="I226" s="18"/>
      <c r="J226" s="18"/>
      <c r="K226" s="18"/>
      <c r="L226" s="19">
        <f t="shared" si="2"/>
        <v>38446.03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16100.1*0.222+33107.15</f>
        <v>36681.372199999998</v>
      </c>
      <c r="G227" s="18">
        <f>3371.24*0.222+6812.26</f>
        <v>7560.6752800000004</v>
      </c>
      <c r="H227" s="18">
        <f>(9096+15425.39)*0.222</f>
        <v>5443.7485799999995</v>
      </c>
      <c r="I227" s="18">
        <f>541.24+3692.02*0.222</f>
        <v>1360.86844</v>
      </c>
      <c r="J227" s="18">
        <f>2119.38+4643*0.222</f>
        <v>3150.1260000000002</v>
      </c>
      <c r="K227" s="18"/>
      <c r="L227" s="19">
        <f>SUM(F227:K227)</f>
        <v>54196.790500000003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1352883.7568999999</v>
      </c>
      <c r="G229" s="41">
        <f>SUM(G215:G228)</f>
        <v>579355.43371999997</v>
      </c>
      <c r="H229" s="41">
        <f>SUM(H215:H228)</f>
        <v>312853.27857999993</v>
      </c>
      <c r="I229" s="41">
        <f>SUM(I215:I228)</f>
        <v>103472.35806000001</v>
      </c>
      <c r="J229" s="41">
        <f>SUM(J215:J228)</f>
        <v>30681.388120000003</v>
      </c>
      <c r="K229" s="41">
        <f t="shared" si="3"/>
        <v>19503.156859999999</v>
      </c>
      <c r="L229" s="41">
        <f t="shared" si="3"/>
        <v>2398749.3722399995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964183.44+10819.08+21494.38</f>
        <v>996496.89999999991</v>
      </c>
      <c r="G233" s="18">
        <f>432435.77+6298.17+2084.56</f>
        <v>440818.5</v>
      </c>
      <c r="H233" s="18">
        <f>2588.21+3157.21</f>
        <v>5745.42</v>
      </c>
      <c r="I233" s="18">
        <f>42464.61+5825.66</f>
        <v>48290.270000000004</v>
      </c>
      <c r="J233" s="18">
        <f>19327.16+52835.89</f>
        <v>72163.05</v>
      </c>
      <c r="K233" s="18"/>
      <c r="L233" s="19">
        <f>SUM(F233:K233)</f>
        <v>1563514.14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72955.79+54168.91</f>
        <v>127124.7</v>
      </c>
      <c r="G234" s="18">
        <f>29840.17+6858.61+136.86</f>
        <v>36835.64</v>
      </c>
      <c r="H234" s="18">
        <f>1698.56+354171.76</f>
        <v>355870.32</v>
      </c>
      <c r="I234" s="18">
        <f>864.96+95.95</f>
        <v>960.91000000000008</v>
      </c>
      <c r="J234" s="18">
        <f>436.22</f>
        <v>436.22</v>
      </c>
      <c r="K234" s="18">
        <f>5708.55*0.291</f>
        <v>1661.18805</v>
      </c>
      <c r="L234" s="19">
        <f>SUM(F234:K234)</f>
        <v>522888.97804999998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2353.85</f>
        <v>2353.85</v>
      </c>
      <c r="I235" s="18"/>
      <c r="J235" s="18"/>
      <c r="K235" s="18"/>
      <c r="L235" s="19">
        <f>SUM(F235:K235)</f>
        <v>2353.85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20379.62+29679.42</f>
        <v>50059.039999999994</v>
      </c>
      <c r="G236" s="18">
        <f>6752.71+4872.77</f>
        <v>11625.48</v>
      </c>
      <c r="H236" s="18">
        <f>9153+5418.01+11375.49</f>
        <v>25946.5</v>
      </c>
      <c r="I236" s="18">
        <f>896.75+3751.95</f>
        <v>4648.7</v>
      </c>
      <c r="J236" s="18">
        <f>3540.67</f>
        <v>3540.67</v>
      </c>
      <c r="K236" s="18">
        <f>1785.55+2822.31</f>
        <v>4607.8599999999997</v>
      </c>
      <c r="L236" s="19">
        <f>SUM(F236:K236)</f>
        <v>100428.24999999999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71120.28+15704.47+33025.33+71400*0.291</f>
        <v>140627.48000000001</v>
      </c>
      <c r="G238" s="18">
        <f>24135.64+16103.58+10520.45+40417.69*0.291</f>
        <v>62521.217789999995</v>
      </c>
      <c r="H238" s="18">
        <f>4461.3+1500+72+300+1995+14321.8+108.75+15377+13132.1</f>
        <v>51267.95</v>
      </c>
      <c r="I238" s="18">
        <f>1960.55+553.13+181.35</f>
        <v>2695.0299999999997</v>
      </c>
      <c r="J238" s="18">
        <f>112.39</f>
        <v>112.39</v>
      </c>
      <c r="K238" s="18">
        <f>384+90</f>
        <v>474</v>
      </c>
      <c r="L238" s="19">
        <f t="shared" ref="L238:L244" si="4">SUM(F238:K238)</f>
        <v>257698.06779000003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7067.27+35723.75+68000*0.291</f>
        <v>62579.020000000004</v>
      </c>
      <c r="G239" s="18">
        <f>8743.66+7439.31+23801.73+8473.13*0.291</f>
        <v>42450.380829999995</v>
      </c>
      <c r="H239" s="18">
        <f>2446.68*0.291+45.78</f>
        <v>757.76387999999986</v>
      </c>
      <c r="I239" s="18">
        <f>756.97*0.291+6842.51+420</f>
        <v>7482.78827</v>
      </c>
      <c r="J239" s="18">
        <f>475.98*0.291+1199.94</f>
        <v>1338.45018</v>
      </c>
      <c r="K239" s="18">
        <f>1123+15</f>
        <v>1138</v>
      </c>
      <c r="L239" s="19">
        <f t="shared" si="4"/>
        <v>115746.40316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(400+1000+2394+300+160411.44+121683.47)*0.291</f>
        <v>83280.972810000007</v>
      </c>
      <c r="G240" s="18">
        <f>(33.42+193.35+183.14+56958.79+71157.92)*0.291</f>
        <v>37401.246419999996</v>
      </c>
      <c r="H240" s="18">
        <f>(175+617.5+1753.74+16237.45+10369.51)*0.291</f>
        <v>8483.5812000000005</v>
      </c>
      <c r="I240" s="18">
        <f>(8507.72+544.87)*0.291</f>
        <v>2634.3036899999997</v>
      </c>
      <c r="J240" s="18"/>
      <c r="K240" s="18">
        <f>(35+4372.96+4115.42+125)*0.291</f>
        <v>2516.6785800000002</v>
      </c>
      <c r="L240" s="19">
        <f t="shared" si="4"/>
        <v>134316.78270000001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112019.95+38645.58</f>
        <v>150665.53</v>
      </c>
      <c r="G241" s="18">
        <f>37112.41+29667.03</f>
        <v>66779.44</v>
      </c>
      <c r="H241" s="18">
        <f>613.61+11145.25+32582.22+4506.78</f>
        <v>48847.86</v>
      </c>
      <c r="I241" s="18">
        <f>3150.58+3567.78</f>
        <v>6718.3600000000006</v>
      </c>
      <c r="J241" s="18"/>
      <c r="K241" s="18">
        <f>2839.8+2897.43</f>
        <v>5737.23</v>
      </c>
      <c r="L241" s="19">
        <f t="shared" si="4"/>
        <v>278748.42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f>165329.94*0.291</f>
        <v>48111.012539999996</v>
      </c>
      <c r="G242" s="18">
        <f>79415.38*0.291</f>
        <v>23109.87558</v>
      </c>
      <c r="H242" s="18">
        <f>27135.31*0.291</f>
        <v>7896.3752100000002</v>
      </c>
      <c r="I242" s="18">
        <f>20715.99*0.291</f>
        <v>6028.3530900000005</v>
      </c>
      <c r="J242" s="18">
        <f>2869.48*0.291</f>
        <v>835.0186799999999</v>
      </c>
      <c r="K242" s="18">
        <f>19602.2*0.291</f>
        <v>5704.2402000000002</v>
      </c>
      <c r="L242" s="19">
        <f t="shared" si="4"/>
        <v>91684.875299999985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59700*0.291+54275.24</f>
        <v>71647.94</v>
      </c>
      <c r="G243" s="18">
        <f>39664.2*0.291+34947.2</f>
        <v>46489.482199999999</v>
      </c>
      <c r="H243" s="18">
        <f>(3078+444.86+3151.95)*0.291+45886.33+11310.44</f>
        <v>59139.139710000003</v>
      </c>
      <c r="I243" s="18">
        <f>(4200.66+2325.5)*0.291+71955.1</f>
        <v>73854.21256</v>
      </c>
      <c r="J243" s="18">
        <f>6329.48+1800</f>
        <v>8129.48</v>
      </c>
      <c r="K243" s="18"/>
      <c r="L243" s="19">
        <f t="shared" si="4"/>
        <v>259260.25447000001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25071.77+1914.12+24877.63+22193.2+988.03</f>
        <v>75044.75</v>
      </c>
      <c r="I244" s="18"/>
      <c r="J244" s="18"/>
      <c r="K244" s="18"/>
      <c r="L244" s="19">
        <f t="shared" si="4"/>
        <v>75044.75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16100.1*0.291+33560.75</f>
        <v>38245.879099999998</v>
      </c>
      <c r="G245" s="18">
        <f>3371.24*0.291+6836.04</f>
        <v>7817.0708400000003</v>
      </c>
      <c r="H245" s="18">
        <f>(9096+15425.39)*0.291</f>
        <v>7135.7244899999996</v>
      </c>
      <c r="I245" s="18">
        <f>3692.02*0.291+1055.2</f>
        <v>2129.57782</v>
      </c>
      <c r="J245" s="18">
        <f>4643*0.291+854</f>
        <v>2205.1129999999998</v>
      </c>
      <c r="K245" s="18"/>
      <c r="L245" s="19">
        <f>SUM(F245:K245)</f>
        <v>57533.365249999995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1768838.4744499999</v>
      </c>
      <c r="G247" s="41">
        <f t="shared" si="5"/>
        <v>775848.33366</v>
      </c>
      <c r="H247" s="41">
        <f t="shared" si="5"/>
        <v>648489.23449000006</v>
      </c>
      <c r="I247" s="41">
        <f t="shared" si="5"/>
        <v>155442.50543000002</v>
      </c>
      <c r="J247" s="41">
        <f t="shared" si="5"/>
        <v>88760.391859999989</v>
      </c>
      <c r="K247" s="41">
        <f t="shared" si="5"/>
        <v>21839.196830000001</v>
      </c>
      <c r="L247" s="41">
        <f t="shared" si="5"/>
        <v>3459218.1367199998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5824124.4299999997</v>
      </c>
      <c r="G257" s="41">
        <f t="shared" si="8"/>
        <v>2617061.9</v>
      </c>
      <c r="H257" s="41">
        <f t="shared" si="8"/>
        <v>1631926</v>
      </c>
      <c r="I257" s="41">
        <f t="shared" si="8"/>
        <v>472066.17000000004</v>
      </c>
      <c r="J257" s="41">
        <f t="shared" si="8"/>
        <v>189625.90999999997</v>
      </c>
      <c r="K257" s="41">
        <f t="shared" si="8"/>
        <v>64063.839999999997</v>
      </c>
      <c r="L257" s="41">
        <f t="shared" si="8"/>
        <v>10798868.249999998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600000</v>
      </c>
      <c r="L260" s="19">
        <f>SUM(F260:K260)</f>
        <v>600000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366550</v>
      </c>
      <c r="L261" s="19">
        <f>SUM(F261:K261)</f>
        <v>366550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36818.730000000003</v>
      </c>
      <c r="L263" s="19">
        <f>SUM(F263:K263)</f>
        <v>36818.730000000003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55000</v>
      </c>
      <c r="L266" s="19">
        <f t="shared" si="9"/>
        <v>55000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1058368.73</v>
      </c>
      <c r="L270" s="41">
        <f t="shared" si="9"/>
        <v>1058368.73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5824124.4299999997</v>
      </c>
      <c r="G271" s="42">
        <f t="shared" si="11"/>
        <v>2617061.9</v>
      </c>
      <c r="H271" s="42">
        <f t="shared" si="11"/>
        <v>1631926</v>
      </c>
      <c r="I271" s="42">
        <f t="shared" si="11"/>
        <v>472066.17000000004</v>
      </c>
      <c r="J271" s="42">
        <f t="shared" si="11"/>
        <v>189625.90999999997</v>
      </c>
      <c r="K271" s="42">
        <f t="shared" si="11"/>
        <v>1122432.57</v>
      </c>
      <c r="L271" s="42">
        <f t="shared" si="11"/>
        <v>11857236.979999999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67807.52</f>
        <v>67807.520000000004</v>
      </c>
      <c r="G276" s="18">
        <f>30201</f>
        <v>30201</v>
      </c>
      <c r="H276" s="18"/>
      <c r="I276" s="18">
        <f>688.13</f>
        <v>688.13</v>
      </c>
      <c r="J276" s="18"/>
      <c r="K276" s="18"/>
      <c r="L276" s="19">
        <f>SUM(F276:K276)</f>
        <v>98696.650000000009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f>3500+6112.2*0.487</f>
        <v>6476.6414000000004</v>
      </c>
      <c r="J277" s="18">
        <f>552.93</f>
        <v>552.92999999999995</v>
      </c>
      <c r="K277" s="18"/>
      <c r="L277" s="19">
        <f>SUM(F277:K277)</f>
        <v>7029.5714000000007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f>73.76</f>
        <v>73.760000000000005</v>
      </c>
      <c r="J279" s="18"/>
      <c r="K279" s="18"/>
      <c r="L279" s="19">
        <f>SUM(F279:K279)</f>
        <v>73.760000000000005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250+(57259.4*0.241)+1725*0.649+35190+2422.5+23595+2350*0.487+1998.1*0.487</f>
        <v>78494.065099999993</v>
      </c>
      <c r="I281" s="18">
        <f>589.08</f>
        <v>589.08000000000004</v>
      </c>
      <c r="J281" s="18">
        <f>3184.46*0.487</f>
        <v>1550.8320200000001</v>
      </c>
      <c r="K281" s="18"/>
      <c r="L281" s="19">
        <f t="shared" ref="L281:L287" si="12">SUM(F281:K281)</f>
        <v>80633.977119999996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2110+170</f>
        <v>2280</v>
      </c>
      <c r="G282" s="18">
        <f>469.44+41.14+0.1</f>
        <v>510.68</v>
      </c>
      <c r="H282" s="18">
        <f>1650+7188.33+545.58+9842+8361.88+6633.78-0.1</f>
        <v>34221.47</v>
      </c>
      <c r="I282" s="18">
        <f>19+570.15</f>
        <v>589.15</v>
      </c>
      <c r="J282" s="18"/>
      <c r="K282" s="18"/>
      <c r="L282" s="19">
        <f t="shared" si="12"/>
        <v>37601.300000000003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f>650.75</f>
        <v>650.75</v>
      </c>
      <c r="I283" s="18"/>
      <c r="J283" s="18"/>
      <c r="K283" s="18"/>
      <c r="L283" s="19">
        <f t="shared" si="12"/>
        <v>650.75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>
        <f>2369.54*0.487</f>
        <v>1153.9659799999999</v>
      </c>
      <c r="J288" s="18"/>
      <c r="K288" s="18"/>
      <c r="L288" s="19">
        <f>SUM(F288:K288)</f>
        <v>1153.9659799999999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70087.520000000004</v>
      </c>
      <c r="G290" s="42">
        <f t="shared" si="13"/>
        <v>30711.68</v>
      </c>
      <c r="H290" s="42">
        <f t="shared" si="13"/>
        <v>113366.28509999999</v>
      </c>
      <c r="I290" s="42">
        <f t="shared" si="13"/>
        <v>9570.7273800000003</v>
      </c>
      <c r="J290" s="42">
        <f t="shared" si="13"/>
        <v>2103.7620200000001</v>
      </c>
      <c r="K290" s="42">
        <f t="shared" si="13"/>
        <v>0</v>
      </c>
      <c r="L290" s="41">
        <f t="shared" si="13"/>
        <v>225839.97449999998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>
        <f>6112.2*0.222</f>
        <v>1356.9084</v>
      </c>
      <c r="J296" s="18">
        <f>5746.91/2</f>
        <v>2873.4549999999999</v>
      </c>
      <c r="K296" s="18"/>
      <c r="L296" s="19">
        <f>SUM(F296:K296)</f>
        <v>4230.3634000000002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>
        <v>1200</v>
      </c>
      <c r="I297" s="18"/>
      <c r="J297" s="18"/>
      <c r="K297" s="18"/>
      <c r="L297" s="19">
        <f>SUM(F297:K297)</f>
        <v>1200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f>57259.4*0.332+(1725*0.351)+1900+2350*0.222+900/2+1998.1*0.222</f>
        <v>22930.874</v>
      </c>
      <c r="I300" s="18"/>
      <c r="J300" s="18">
        <f>3184.46*0.222</f>
        <v>706.95011999999997</v>
      </c>
      <c r="K300" s="18"/>
      <c r="L300" s="19">
        <f t="shared" ref="L300:L306" si="14">SUM(F300:K300)</f>
        <v>23637.824120000001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2125</f>
        <v>2125</v>
      </c>
      <c r="G301" s="18">
        <f>488.06</f>
        <v>488.06</v>
      </c>
      <c r="H301" s="18">
        <f>580+6407.1/2</f>
        <v>3783.55</v>
      </c>
      <c r="I301" s="18">
        <f>25</f>
        <v>25</v>
      </c>
      <c r="J301" s="18"/>
      <c r="K301" s="18"/>
      <c r="L301" s="19">
        <f t="shared" si="14"/>
        <v>6421.6100000000006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>
        <f>2369.54*0.222</f>
        <v>526.03787999999997</v>
      </c>
      <c r="J307" s="18"/>
      <c r="K307" s="18"/>
      <c r="L307" s="19">
        <f>SUM(F307:K307)</f>
        <v>526.03787999999997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2125</v>
      </c>
      <c r="G309" s="42">
        <f t="shared" si="15"/>
        <v>488.06</v>
      </c>
      <c r="H309" s="42">
        <f t="shared" si="15"/>
        <v>27914.423999999999</v>
      </c>
      <c r="I309" s="42">
        <f t="shared" si="15"/>
        <v>1907.9462800000001</v>
      </c>
      <c r="J309" s="42">
        <f t="shared" si="15"/>
        <v>3580.4051199999999</v>
      </c>
      <c r="K309" s="42">
        <f t="shared" si="15"/>
        <v>0</v>
      </c>
      <c r="L309" s="41">
        <f t="shared" si="15"/>
        <v>36015.835400000004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v>2</v>
      </c>
      <c r="I314" s="18"/>
      <c r="J314" s="18"/>
      <c r="K314" s="18"/>
      <c r="L314" s="19">
        <f>SUM(F314:K314)</f>
        <v>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>
        <f>6112.2*0.291</f>
        <v>1778.6501999999998</v>
      </c>
      <c r="J315" s="18">
        <f>5746.91/2</f>
        <v>2873.4549999999999</v>
      </c>
      <c r="K315" s="18"/>
      <c r="L315" s="19">
        <f>SUM(F315:K315)</f>
        <v>4652.1052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f>57259.4*0.427+2340+1200+2350*0.291+900/2+1998.1*0.291</f>
        <v>29705.0609</v>
      </c>
      <c r="I319" s="18"/>
      <c r="J319" s="18">
        <f>3184.46*0.291</f>
        <v>926.6778599999999</v>
      </c>
      <c r="K319" s="18"/>
      <c r="L319" s="19">
        <f t="shared" ref="L319:L325" si="16">SUM(F319:K319)</f>
        <v>30631.73876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1125</f>
        <v>1125</v>
      </c>
      <c r="G320" s="18">
        <f>281.37</f>
        <v>281.37</v>
      </c>
      <c r="H320" s="18">
        <f>710+6407.1/2</f>
        <v>3913.55</v>
      </c>
      <c r="I320" s="18">
        <v>25</v>
      </c>
      <c r="J320" s="18"/>
      <c r="K320" s="18"/>
      <c r="L320" s="19">
        <f t="shared" si="16"/>
        <v>5344.92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>
        <f>2369.54*0.291</f>
        <v>689.53613999999993</v>
      </c>
      <c r="J326" s="18"/>
      <c r="K326" s="18"/>
      <c r="L326" s="19">
        <f>SUM(F326:K326)</f>
        <v>689.53613999999993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1125</v>
      </c>
      <c r="G328" s="42">
        <f t="shared" si="17"/>
        <v>281.37</v>
      </c>
      <c r="H328" s="42">
        <f t="shared" si="17"/>
        <v>33620.6109</v>
      </c>
      <c r="I328" s="42">
        <f t="shared" si="17"/>
        <v>2493.1863399999997</v>
      </c>
      <c r="J328" s="42">
        <f t="shared" si="17"/>
        <v>3800.1328599999997</v>
      </c>
      <c r="K328" s="42">
        <f t="shared" si="17"/>
        <v>0</v>
      </c>
      <c r="L328" s="41">
        <f t="shared" si="17"/>
        <v>41320.300099999993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73337.52</v>
      </c>
      <c r="G338" s="41">
        <f t="shared" si="20"/>
        <v>31481.11</v>
      </c>
      <c r="H338" s="41">
        <f t="shared" si="20"/>
        <v>174901.31999999998</v>
      </c>
      <c r="I338" s="41">
        <f t="shared" si="20"/>
        <v>13971.86</v>
      </c>
      <c r="J338" s="41">
        <f t="shared" si="20"/>
        <v>9484.2999999999993</v>
      </c>
      <c r="K338" s="41">
        <f t="shared" si="20"/>
        <v>0</v>
      </c>
      <c r="L338" s="41">
        <f t="shared" si="20"/>
        <v>303176.11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73337.52</v>
      </c>
      <c r="G352" s="41">
        <f>G338</f>
        <v>31481.11</v>
      </c>
      <c r="H352" s="41">
        <f>H338</f>
        <v>174901.31999999998</v>
      </c>
      <c r="I352" s="41">
        <f>I338</f>
        <v>13971.86</v>
      </c>
      <c r="J352" s="41">
        <f>J338</f>
        <v>9484.2999999999993</v>
      </c>
      <c r="K352" s="47">
        <f>K338+K351</f>
        <v>0</v>
      </c>
      <c r="L352" s="41">
        <f>L338+L351</f>
        <v>303176.11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4319.62+26726.34</f>
        <v>31045.96</v>
      </c>
      <c r="G358" s="18">
        <f>150+120.3+6.53+7.26+341.94+26.87+116.87+2000+38.75+32.15+2197.65+112.49+516.43</f>
        <v>5667.24</v>
      </c>
      <c r="H358" s="18">
        <f>4735.4+355.7+420.83</f>
        <v>5511.9299999999994</v>
      </c>
      <c r="I358" s="18">
        <f>249.51+3163.01+131.85+57.99+18303.18+737.5+5820.76+1180.7+6018+559</f>
        <v>36221.5</v>
      </c>
      <c r="J358" s="18">
        <f>1095+5795.36</f>
        <v>6890.36</v>
      </c>
      <c r="K358" s="18">
        <f>214.5-12.38</f>
        <v>202.12</v>
      </c>
      <c r="L358" s="13">
        <f>SUM(F358:K358)</f>
        <v>85539.11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18260.32+11288.39</f>
        <v>29548.71</v>
      </c>
      <c r="G359" s="18">
        <f>925+741.84+32.72+35.49+1467.97+99.29+479.78+2801.63+30.32+18.8+817.88+66.28+282.27</f>
        <v>7799.27</v>
      </c>
      <c r="H359" s="18">
        <f>1710.97+144.03</f>
        <v>1855</v>
      </c>
      <c r="I359" s="18">
        <f>1677.87+84.42+65.49+14697.24+2228.19+1673.13+3128.45+838.5</f>
        <v>24393.29</v>
      </c>
      <c r="J359" s="18">
        <f>2994.29</f>
        <v>2994.29</v>
      </c>
      <c r="K359" s="18">
        <f>168.75+171/2-6.18</f>
        <v>248.07</v>
      </c>
      <c r="L359" s="19">
        <f>SUM(F359:K359)</f>
        <v>66838.63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f>18260.06+16444.64</f>
        <v>34704.699999999997</v>
      </c>
      <c r="G360" s="18">
        <f>925+741.83+32.55+35.3+1467.51+99.17+479.63+4202.53+45.61+28.07+1189.5+97.17+411.66</f>
        <v>9755.5299999999988</v>
      </c>
      <c r="H360" s="18">
        <f>1700.98+25.18</f>
        <v>1726.16</v>
      </c>
      <c r="I360" s="18">
        <f>1716.6+71.8+74.49+14823.5+2289.48+1723.76+4520.55+838.5</f>
        <v>26058.679999999997</v>
      </c>
      <c r="J360" s="18">
        <f>2994.29</f>
        <v>2994.29</v>
      </c>
      <c r="K360" s="18">
        <f>168.75+171/2-6.19</f>
        <v>248.06</v>
      </c>
      <c r="L360" s="19">
        <f>SUM(F360:K360)</f>
        <v>75487.419999999984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95299.37</v>
      </c>
      <c r="G362" s="47">
        <f t="shared" si="22"/>
        <v>23222.04</v>
      </c>
      <c r="H362" s="47">
        <f t="shared" si="22"/>
        <v>9093.09</v>
      </c>
      <c r="I362" s="47">
        <f t="shared" si="22"/>
        <v>86673.47</v>
      </c>
      <c r="J362" s="47">
        <f t="shared" si="22"/>
        <v>12878.939999999999</v>
      </c>
      <c r="K362" s="47">
        <f t="shared" si="22"/>
        <v>698.25</v>
      </c>
      <c r="L362" s="47">
        <f t="shared" si="22"/>
        <v>227865.15999999997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18303.18+5820.76+737.5+1180.7+6018</f>
        <v>32060.140000000003</v>
      </c>
      <c r="G367" s="18">
        <f>14697.24+2228.19+1673.13+3128.45</f>
        <v>21727.010000000002</v>
      </c>
      <c r="H367" s="18">
        <f>14823.5+2289.19+1723.76+4520.55</f>
        <v>23356.999999999996</v>
      </c>
      <c r="I367" s="56">
        <f>SUM(F367:H367)</f>
        <v>77144.150000000009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4161.3599999999997</v>
      </c>
      <c r="G368" s="63">
        <v>2666.28</v>
      </c>
      <c r="H368" s="63">
        <v>2701.68</v>
      </c>
      <c r="I368" s="56">
        <f>SUM(F368:H368)</f>
        <v>9529.32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36221.5</v>
      </c>
      <c r="G369" s="47">
        <f>SUM(G367:G368)</f>
        <v>24393.29</v>
      </c>
      <c r="H369" s="47">
        <f>SUM(H367:H368)</f>
        <v>26058.679999999997</v>
      </c>
      <c r="I369" s="47">
        <f>SUM(I367:I368)</f>
        <v>86673.47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55000</v>
      </c>
      <c r="H396" s="18">
        <v>1671.46</v>
      </c>
      <c r="I396" s="18"/>
      <c r="J396" s="24" t="s">
        <v>286</v>
      </c>
      <c r="K396" s="24" t="s">
        <v>286</v>
      </c>
      <c r="L396" s="56">
        <f t="shared" si="26"/>
        <v>56671.46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2260.59</v>
      </c>
      <c r="I397" s="18"/>
      <c r="J397" s="24" t="s">
        <v>286</v>
      </c>
      <c r="K397" s="24" t="s">
        <v>286</v>
      </c>
      <c r="L397" s="56">
        <f t="shared" si="26"/>
        <v>2260.59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273.56</v>
      </c>
      <c r="I399" s="18">
        <v>10145.5</v>
      </c>
      <c r="J399" s="24" t="s">
        <v>286</v>
      </c>
      <c r="K399" s="24" t="s">
        <v>286</v>
      </c>
      <c r="L399" s="56">
        <f t="shared" si="26"/>
        <v>10419.06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55000</v>
      </c>
      <c r="H401" s="47">
        <f>SUM(H395:H400)</f>
        <v>4205.6100000000006</v>
      </c>
      <c r="I401" s="47">
        <f>SUM(I395:I400)</f>
        <v>10145.5</v>
      </c>
      <c r="J401" s="45" t="s">
        <v>286</v>
      </c>
      <c r="K401" s="45" t="s">
        <v>286</v>
      </c>
      <c r="L401" s="47">
        <f>SUM(L395:L400)</f>
        <v>69351.11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55000</v>
      </c>
      <c r="H408" s="47">
        <f>H393+H401+H407</f>
        <v>4205.6100000000006</v>
      </c>
      <c r="I408" s="47">
        <f>I393+I401+I407</f>
        <v>10145.5</v>
      </c>
      <c r="J408" s="24" t="s">
        <v>286</v>
      </c>
      <c r="K408" s="24" t="s">
        <v>286</v>
      </c>
      <c r="L408" s="47">
        <f>L393+L401+L407</f>
        <v>69351.11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16510</v>
      </c>
      <c r="I422" s="18"/>
      <c r="J422" s="18"/>
      <c r="K422" s="18"/>
      <c r="L422" s="56">
        <f t="shared" si="29"/>
        <v>16510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16510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16510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16510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16510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430915.01</v>
      </c>
      <c r="G439" s="18"/>
      <c r="H439" s="18"/>
      <c r="I439" s="56">
        <f t="shared" ref="I439:I445" si="33">SUM(F439:H439)</f>
        <v>430915.01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430915.01</v>
      </c>
      <c r="G446" s="13">
        <f>SUM(G439:G445)</f>
        <v>0</v>
      </c>
      <c r="H446" s="13">
        <f>SUM(H439:H445)</f>
        <v>0</v>
      </c>
      <c r="I446" s="13">
        <f>SUM(I439:I445)</f>
        <v>430915.01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430915.01</v>
      </c>
      <c r="G456" s="18"/>
      <c r="H456" s="18"/>
      <c r="I456" s="56">
        <f t="shared" si="34"/>
        <v>430915.01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430915.01</v>
      </c>
      <c r="G460" s="83">
        <f>SUM(G454:G459)</f>
        <v>0</v>
      </c>
      <c r="H460" s="83">
        <f>SUM(H454:H459)</f>
        <v>0</v>
      </c>
      <c r="I460" s="83">
        <f>SUM(I454:I459)</f>
        <v>430915.01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430915.01</v>
      </c>
      <c r="G461" s="42">
        <f>G452+G460</f>
        <v>0</v>
      </c>
      <c r="H461" s="42">
        <f>H452+H460</f>
        <v>0</v>
      </c>
      <c r="I461" s="42">
        <f>I452+I460</f>
        <v>430915.01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588320.07999999996</v>
      </c>
      <c r="G465" s="18">
        <v>578.24</v>
      </c>
      <c r="H465" s="18">
        <v>1178.58</v>
      </c>
      <c r="I465" s="18">
        <v>0</v>
      </c>
      <c r="J465" s="18">
        <v>378073.9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11649903.66</v>
      </c>
      <c r="G468" s="18">
        <f>190468.19+36818.73</f>
        <v>227286.92</v>
      </c>
      <c r="H468" s="18">
        <v>303383.77</v>
      </c>
      <c r="I468" s="18"/>
      <c r="J468" s="18">
        <f>4205.61+65145.5</f>
        <v>69351.11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11649903.66</v>
      </c>
      <c r="G470" s="53">
        <f>SUM(G468:G469)</f>
        <v>227286.92</v>
      </c>
      <c r="H470" s="53">
        <f>SUM(H468:H469)</f>
        <v>303383.77</v>
      </c>
      <c r="I470" s="53">
        <f>SUM(I468:I469)</f>
        <v>0</v>
      </c>
      <c r="J470" s="53">
        <f>SUM(J468:J469)</f>
        <v>69351.11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11649903.66+207333.32</f>
        <v>11857236.98</v>
      </c>
      <c r="G472" s="18">
        <v>227865.16</v>
      </c>
      <c r="H472" s="18">
        <v>303176.11</v>
      </c>
      <c r="I472" s="18"/>
      <c r="J472" s="18">
        <v>16510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176448.57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12033685.550000001</v>
      </c>
      <c r="G474" s="53">
        <f>SUM(G472:G473)</f>
        <v>227865.16</v>
      </c>
      <c r="H474" s="53">
        <f>SUM(H472:H473)</f>
        <v>303176.11</v>
      </c>
      <c r="I474" s="53">
        <f>SUM(I472:I473)</f>
        <v>0</v>
      </c>
      <c r="J474" s="53">
        <f>SUM(J472:J473)</f>
        <v>16510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204538.18999999948</v>
      </c>
      <c r="G476" s="53">
        <f>(G465+G470)- G474</f>
        <v>0</v>
      </c>
      <c r="H476" s="53">
        <f>(H465+H470)- H474</f>
        <v>1386.2400000000489</v>
      </c>
      <c r="I476" s="53">
        <f>(I465+I470)- I474</f>
        <v>0</v>
      </c>
      <c r="J476" s="53">
        <f>(J465+J470)- J474</f>
        <v>430915.01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917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6476775</v>
      </c>
      <c r="G493" s="18">
        <v>7640000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5.2</v>
      </c>
      <c r="G494" s="18">
        <v>3.4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960000</v>
      </c>
      <c r="G495" s="18">
        <v>7640000</v>
      </c>
      <c r="H495" s="18"/>
      <c r="I495" s="18"/>
      <c r="J495" s="18"/>
      <c r="K495" s="53">
        <f>SUM(F495:J495)</f>
        <v>8600000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320000</v>
      </c>
      <c r="G497" s="18">
        <v>280000</v>
      </c>
      <c r="H497" s="18"/>
      <c r="I497" s="18"/>
      <c r="J497" s="18"/>
      <c r="K497" s="53">
        <f t="shared" si="35"/>
        <v>600000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640000</v>
      </c>
      <c r="G498" s="204">
        <f>G495-G497</f>
        <v>7360000</v>
      </c>
      <c r="H498" s="204"/>
      <c r="I498" s="204"/>
      <c r="J498" s="204"/>
      <c r="K498" s="205">
        <f t="shared" si="35"/>
        <v>8000000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16800+8400*2</f>
        <v>33600</v>
      </c>
      <c r="G499" s="18">
        <v>2579022.5</v>
      </c>
      <c r="H499" s="18"/>
      <c r="I499" s="18"/>
      <c r="J499" s="18"/>
      <c r="K499" s="53">
        <f t="shared" si="35"/>
        <v>2612622.5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673600</v>
      </c>
      <c r="G500" s="42">
        <f>SUM(G498:G499)</f>
        <v>9939022.5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10612622.5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320000</v>
      </c>
      <c r="G501" s="204">
        <v>295000</v>
      </c>
      <c r="H501" s="204"/>
      <c r="I501" s="204"/>
      <c r="J501" s="204"/>
      <c r="K501" s="205">
        <f t="shared" si="35"/>
        <v>615000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16800+8400</f>
        <v>25200</v>
      </c>
      <c r="G502" s="18">
        <f>158705+151182.5</f>
        <v>309887.5</v>
      </c>
      <c r="H502" s="18"/>
      <c r="I502" s="18"/>
      <c r="J502" s="18"/>
      <c r="K502" s="53">
        <f t="shared" si="35"/>
        <v>335087.5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345200</v>
      </c>
      <c r="G503" s="42">
        <f>SUM(G501:G502)</f>
        <v>604887.5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950087.5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152806.65</v>
      </c>
      <c r="G507" s="144"/>
      <c r="H507" s="144"/>
      <c r="I507" s="144">
        <v>152806.65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268866.68+99791.35</f>
        <v>368658.03</v>
      </c>
      <c r="G521" s="18">
        <f>101033.8+36573</f>
        <v>137606.79999999999</v>
      </c>
      <c r="H521" s="18">
        <f>6409.64+44682.2</f>
        <v>51091.839999999997</v>
      </c>
      <c r="I521" s="18">
        <f>5479.5+1557.32+6112.2*0.487+3500</f>
        <v>13513.4614</v>
      </c>
      <c r="J521" s="18">
        <f>2423.5+200.4+552.93</f>
        <v>3176.83</v>
      </c>
      <c r="K521" s="18">
        <f>5708.55*0.487</f>
        <v>2780.06385</v>
      </c>
      <c r="L521" s="88">
        <f>SUM(F521:K521)</f>
        <v>576827.02525000006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162308.1</f>
        <v>162308.1</v>
      </c>
      <c r="G522" s="18">
        <f>81101.03</f>
        <v>81101.03</v>
      </c>
      <c r="H522" s="18">
        <f>3676+87429.34</f>
        <v>91105.34</v>
      </c>
      <c r="I522" s="18">
        <f>1710.02+6112.2*0.222</f>
        <v>3066.9283999999998</v>
      </c>
      <c r="J522" s="18">
        <f>5026.86+5746.91/2</f>
        <v>7900.3149999999996</v>
      </c>
      <c r="K522" s="18">
        <f>5708.55*0.222</f>
        <v>1267.2981</v>
      </c>
      <c r="L522" s="88">
        <f>SUM(F522:K522)</f>
        <v>346749.01149999996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127124.7</f>
        <v>127124.7</v>
      </c>
      <c r="G523" s="18">
        <f>36835.64</f>
        <v>36835.64</v>
      </c>
      <c r="H523" s="18">
        <f>1698.56+354171.76</f>
        <v>355870.32</v>
      </c>
      <c r="I523" s="18">
        <f>960.91+6112.2*0.291</f>
        <v>2739.5601999999999</v>
      </c>
      <c r="J523" s="18">
        <f>436.22+5746.91/2</f>
        <v>3309.6750000000002</v>
      </c>
      <c r="K523" s="18">
        <f>5708.55*0.291</f>
        <v>1661.18805</v>
      </c>
      <c r="L523" s="88">
        <f>SUM(F523:K523)</f>
        <v>527541.08325000003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658090.82999999996</v>
      </c>
      <c r="G524" s="108">
        <f t="shared" ref="G524:L524" si="36">SUM(G521:G523)</f>
        <v>255543.46999999997</v>
      </c>
      <c r="H524" s="108">
        <f t="shared" si="36"/>
        <v>498067.5</v>
      </c>
      <c r="I524" s="108">
        <f t="shared" si="36"/>
        <v>19319.95</v>
      </c>
      <c r="J524" s="108">
        <f t="shared" si="36"/>
        <v>14386.82</v>
      </c>
      <c r="K524" s="108">
        <f t="shared" si="36"/>
        <v>5708.55</v>
      </c>
      <c r="L524" s="89">
        <f t="shared" si="36"/>
        <v>1451117.12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71400*0.487+128985.91+87125.56</f>
        <v>250883.27</v>
      </c>
      <c r="G526" s="18">
        <f>40417.69*0.487+90367.4+66482.98</f>
        <v>176533.79502999998</v>
      </c>
      <c r="H526" s="18">
        <f>107393.05+31304.85+566.22+210.25+78494.07-(898.1*0.487)</f>
        <v>217531.06530000002</v>
      </c>
      <c r="I526" s="18">
        <f>1186.86+800.34</f>
        <v>1987.1999999999998</v>
      </c>
      <c r="J526" s="18">
        <f>3184.46*0.487</f>
        <v>1550.8320200000001</v>
      </c>
      <c r="K526" s="18"/>
      <c r="L526" s="88">
        <f>SUM(F526:K526)</f>
        <v>648486.16234999988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71400*0.222+84212.71</f>
        <v>100063.51000000001</v>
      </c>
      <c r="G527" s="18">
        <f>40417.69*0.222+28743.5</f>
        <v>37716.227180000002</v>
      </c>
      <c r="H527" s="18">
        <f>55112.07+120.25+22930.87-(898.1*0.222)</f>
        <v>77963.811799999996</v>
      </c>
      <c r="I527" s="18">
        <f>472.79</f>
        <v>472.79</v>
      </c>
      <c r="J527" s="18">
        <f>3184.46*0.222</f>
        <v>706.95011999999997</v>
      </c>
      <c r="K527" s="18"/>
      <c r="L527" s="88">
        <f>SUM(F527:K527)</f>
        <v>216923.28909999999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71400*0.291</f>
        <v>20777.399999999998</v>
      </c>
      <c r="G528" s="18">
        <f>40417.69*0.291</f>
        <v>11761.547790000001</v>
      </c>
      <c r="H528" s="18">
        <f>44825.9+108.75+29705.06-(898.1*0.291)</f>
        <v>74378.362900000007</v>
      </c>
      <c r="I528" s="18"/>
      <c r="J528" s="18">
        <f>3184.46*0.291</f>
        <v>926.6778599999999</v>
      </c>
      <c r="K528" s="18"/>
      <c r="L528" s="88">
        <f>SUM(F528:K528)</f>
        <v>107843.98855000001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371724.18000000005</v>
      </c>
      <c r="G529" s="89">
        <f t="shared" ref="G529:L529" si="37">SUM(G526:G528)</f>
        <v>226011.56999999998</v>
      </c>
      <c r="H529" s="89">
        <f t="shared" si="37"/>
        <v>369873.24000000005</v>
      </c>
      <c r="I529" s="89">
        <f t="shared" si="37"/>
        <v>2459.9899999999998</v>
      </c>
      <c r="J529" s="89">
        <f t="shared" si="37"/>
        <v>3184.46</v>
      </c>
      <c r="K529" s="89">
        <f t="shared" si="37"/>
        <v>0</v>
      </c>
      <c r="L529" s="89">
        <f t="shared" si="37"/>
        <v>973253.43999999983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121683.47*0.487</f>
        <v>59259.849889999998</v>
      </c>
      <c r="G531" s="18">
        <f>71157.92*0.487</f>
        <v>34653.907039999998</v>
      </c>
      <c r="H531" s="18">
        <f>(471.32+9898.19)*0.487</f>
        <v>5049.9513699999998</v>
      </c>
      <c r="I531" s="18">
        <f>544.87*0.487</f>
        <v>265.35169000000002</v>
      </c>
      <c r="J531" s="18">
        <f>2369.54*0.487</f>
        <v>1153.9659799999999</v>
      </c>
      <c r="K531" s="18">
        <f>125*0.487</f>
        <v>60.875</v>
      </c>
      <c r="L531" s="88">
        <f>SUM(F531:K531)</f>
        <v>100443.90096999999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121683.47*0.222</f>
        <v>27013.730340000002</v>
      </c>
      <c r="G532" s="18">
        <f>71157.92*0.222</f>
        <v>15797.05824</v>
      </c>
      <c r="H532" s="18">
        <f>(471.32+9898.19)*0.222</f>
        <v>2302.0312200000003</v>
      </c>
      <c r="I532" s="18">
        <f>544.87*0.222</f>
        <v>120.96114</v>
      </c>
      <c r="J532" s="18">
        <f>2369.54*0.222</f>
        <v>526.03787999999997</v>
      </c>
      <c r="K532" s="18">
        <f>125*0.222</f>
        <v>27.75</v>
      </c>
      <c r="L532" s="88">
        <f>SUM(F532:K532)</f>
        <v>45787.56882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121683.47*0.291</f>
        <v>35409.889770000002</v>
      </c>
      <c r="G533" s="18">
        <f>71157.92*0.291</f>
        <v>20706.954719999998</v>
      </c>
      <c r="H533" s="18">
        <f>(471.32+9898.19)*0.291</f>
        <v>3017.5274099999997</v>
      </c>
      <c r="I533" s="18">
        <f>544.87*0.291</f>
        <v>158.55716999999999</v>
      </c>
      <c r="J533" s="18">
        <f>2369.54*0.291</f>
        <v>689.53613999999993</v>
      </c>
      <c r="K533" s="18">
        <f>125*0.291</f>
        <v>36.375</v>
      </c>
      <c r="L533" s="88">
        <f>SUM(F533:K533)</f>
        <v>60018.840210000002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121683.47</v>
      </c>
      <c r="G534" s="89">
        <f t="shared" ref="G534:L534" si="38">SUM(G531:G533)</f>
        <v>71157.919999999998</v>
      </c>
      <c r="H534" s="89">
        <f t="shared" si="38"/>
        <v>10369.509999999998</v>
      </c>
      <c r="I534" s="89">
        <f t="shared" si="38"/>
        <v>544.87</v>
      </c>
      <c r="J534" s="89">
        <f t="shared" si="38"/>
        <v>2369.54</v>
      </c>
      <c r="K534" s="89">
        <f t="shared" si="38"/>
        <v>125</v>
      </c>
      <c r="L534" s="89">
        <f t="shared" si="38"/>
        <v>206250.31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617.5*0.487</f>
        <v>300.72249999999997</v>
      </c>
      <c r="I536" s="18"/>
      <c r="J536" s="18"/>
      <c r="K536" s="18"/>
      <c r="L536" s="88">
        <f>SUM(F536:K536)</f>
        <v>300.72249999999997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617.5*0.222</f>
        <v>137.08500000000001</v>
      </c>
      <c r="I537" s="18"/>
      <c r="J537" s="18"/>
      <c r="K537" s="18"/>
      <c r="L537" s="88">
        <f>SUM(F537:K537)</f>
        <v>137.08500000000001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617.5*0.291</f>
        <v>179.6925</v>
      </c>
      <c r="I538" s="18"/>
      <c r="J538" s="18"/>
      <c r="K538" s="18"/>
      <c r="L538" s="88">
        <f>SUM(F538:K538)</f>
        <v>179.6925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617.5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617.5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29760.9+9348.75</f>
        <v>39109.65</v>
      </c>
      <c r="I541" s="18"/>
      <c r="J541" s="18"/>
      <c r="K541" s="18"/>
      <c r="L541" s="88">
        <f>SUM(F541:K541)</f>
        <v>39109.65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24858.07</v>
      </c>
      <c r="I542" s="18"/>
      <c r="J542" s="18"/>
      <c r="K542" s="18"/>
      <c r="L542" s="88">
        <f>SUM(F542:K542)</f>
        <v>24858.07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25071.77</v>
      </c>
      <c r="I543" s="18"/>
      <c r="J543" s="18"/>
      <c r="K543" s="18"/>
      <c r="L543" s="88">
        <f>SUM(F543:K543)</f>
        <v>25071.77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89039.49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89039.49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1151498.48</v>
      </c>
      <c r="G545" s="89">
        <f t="shared" ref="G545:L545" si="41">G524+G529+G534+G539+G544</f>
        <v>552712.95999999996</v>
      </c>
      <c r="H545" s="89">
        <f t="shared" si="41"/>
        <v>967967.24</v>
      </c>
      <c r="I545" s="89">
        <f t="shared" si="41"/>
        <v>22324.81</v>
      </c>
      <c r="J545" s="89">
        <f t="shared" si="41"/>
        <v>19940.82</v>
      </c>
      <c r="K545" s="89">
        <f t="shared" si="41"/>
        <v>5833.55</v>
      </c>
      <c r="L545" s="89">
        <f t="shared" si="41"/>
        <v>2720277.8600000003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576827.02525000006</v>
      </c>
      <c r="G549" s="87">
        <f>L526</f>
        <v>648486.16234999988</v>
      </c>
      <c r="H549" s="87">
        <f>L531</f>
        <v>100443.90096999999</v>
      </c>
      <c r="I549" s="87">
        <f>L536</f>
        <v>300.72249999999997</v>
      </c>
      <c r="J549" s="87">
        <f>L541</f>
        <v>39109.65</v>
      </c>
      <c r="K549" s="87">
        <f>SUM(F549:J549)</f>
        <v>1365167.4610699997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346749.01149999996</v>
      </c>
      <c r="G550" s="87">
        <f>L527</f>
        <v>216923.28909999999</v>
      </c>
      <c r="H550" s="87">
        <f>L532</f>
        <v>45787.56882</v>
      </c>
      <c r="I550" s="87">
        <f>L537</f>
        <v>137.08500000000001</v>
      </c>
      <c r="J550" s="87">
        <f>L542</f>
        <v>24858.07</v>
      </c>
      <c r="K550" s="87">
        <f>SUM(F550:J550)</f>
        <v>634455.02441999991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527541.08325000003</v>
      </c>
      <c r="G551" s="87">
        <f>L528</f>
        <v>107843.98855000001</v>
      </c>
      <c r="H551" s="87">
        <f>L533</f>
        <v>60018.840210000002</v>
      </c>
      <c r="I551" s="87">
        <f>L538</f>
        <v>179.6925</v>
      </c>
      <c r="J551" s="87">
        <f>L543</f>
        <v>25071.77</v>
      </c>
      <c r="K551" s="87">
        <f>SUM(F551:J551)</f>
        <v>720655.37451000011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1451117.12</v>
      </c>
      <c r="G552" s="89">
        <f t="shared" si="42"/>
        <v>973253.43999999983</v>
      </c>
      <c r="H552" s="89">
        <f t="shared" si="42"/>
        <v>206250.31</v>
      </c>
      <c r="I552" s="89">
        <f t="shared" si="42"/>
        <v>617.5</v>
      </c>
      <c r="J552" s="89">
        <f t="shared" si="42"/>
        <v>89039.49</v>
      </c>
      <c r="K552" s="89">
        <f t="shared" si="42"/>
        <v>2720277.86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>SUM(F578:H578)</f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>
        <v>82657.100000000006</v>
      </c>
      <c r="H579" s="18">
        <v>121457.56</v>
      </c>
      <c r="I579" s="87">
        <f t="shared" si="47"/>
        <v>204114.66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44682.2</v>
      </c>
      <c r="G582" s="18">
        <v>4772.24</v>
      </c>
      <c r="H582" s="18">
        <v>232714.2</v>
      </c>
      <c r="I582" s="87">
        <f>SUM(F582:H582)</f>
        <v>282168.64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2353.85</v>
      </c>
      <c r="I584" s="87">
        <f t="shared" si="47"/>
        <v>2353.85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43400+173600</f>
        <v>217000</v>
      </c>
      <c r="I591" s="18"/>
      <c r="J591" s="18"/>
      <c r="K591" s="104">
        <f t="shared" ref="K591:K597" si="48">SUM(H591:J591)</f>
        <v>217000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9348.75+29760.9</f>
        <v>39109.65</v>
      </c>
      <c r="I592" s="18">
        <f>24858.07</f>
        <v>24858.07</v>
      </c>
      <c r="J592" s="18">
        <f>25071.77</f>
        <v>25071.77</v>
      </c>
      <c r="K592" s="104">
        <f t="shared" si="48"/>
        <v>89039.49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24877.63+865.28+65.82+32.6</f>
        <v>25841.329999999998</v>
      </c>
      <c r="K593" s="104">
        <f t="shared" si="48"/>
        <v>25841.329999999998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f>10125.68+16.06+0.15</f>
        <v>10141.89</v>
      </c>
      <c r="J594" s="18">
        <f>22193.2+24.11+0.22</f>
        <v>22217.530000000002</v>
      </c>
      <c r="K594" s="104">
        <f t="shared" si="48"/>
        <v>32359.420000000002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925.8+4934.4</f>
        <v>5860.2</v>
      </c>
      <c r="I595" s="18">
        <f>3446.07</f>
        <v>3446.07</v>
      </c>
      <c r="J595" s="18">
        <f>1914.12</f>
        <v>1914.12</v>
      </c>
      <c r="K595" s="104">
        <f t="shared" si="48"/>
        <v>11220.39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261969.85</v>
      </c>
      <c r="I598" s="108">
        <f>SUM(I591:I597)</f>
        <v>38446.03</v>
      </c>
      <c r="J598" s="108">
        <f>SUM(J591:J597)</f>
        <v>75044.75</v>
      </c>
      <c r="K598" s="108">
        <f>SUM(K591:K597)</f>
        <v>375460.63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(6408.1+229.99+1350.37)*0.487+4415.85+20200.28+20539.58+1109.66+9518.82+10509.56+2103.76</f>
        <v>72287.890020000006</v>
      </c>
      <c r="I604" s="18">
        <f>6054.4+7974.82-48.4+14927.13+3580.41+(229.99+6408.1+1350.37)*0.222</f>
        <v>34261.798119999999</v>
      </c>
      <c r="J604" s="18">
        <f>12340.46+4421.94+52301.95+17371.4+(6408.1+229.99+1350.37)*0.291+3800.13</f>
        <v>92560.521860000008</v>
      </c>
      <c r="K604" s="104">
        <f>SUM(H604:J604)</f>
        <v>199110.21000000002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72287.890020000006</v>
      </c>
      <c r="I605" s="108">
        <f>SUM(I602:I604)</f>
        <v>34261.798119999999</v>
      </c>
      <c r="J605" s="108">
        <f>SUM(J602:J604)</f>
        <v>92560.521860000008</v>
      </c>
      <c r="K605" s="108">
        <f>SUM(K602:K604)</f>
        <v>199110.21000000002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8566.23+4515.34</f>
        <v>13081.57</v>
      </c>
      <c r="G611" s="18">
        <f>655.28+276.53+842.14+24.55+18.34+343.01+528.09+29.4+2.36</f>
        <v>2719.7</v>
      </c>
      <c r="H611" s="18">
        <v>6068.5</v>
      </c>
      <c r="I611" s="18"/>
      <c r="J611" s="18"/>
      <c r="K611" s="18"/>
      <c r="L611" s="88">
        <f>SUM(F611:K611)</f>
        <v>21869.77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3853.08</f>
        <v>3853.08</v>
      </c>
      <c r="G612" s="18">
        <f>294.74+437.47+10.12+1.39</f>
        <v>743.72</v>
      </c>
      <c r="H612" s="18"/>
      <c r="I612" s="18"/>
      <c r="J612" s="18"/>
      <c r="K612" s="18"/>
      <c r="L612" s="88">
        <f>SUM(F612:K612)</f>
        <v>4596.8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16934.650000000001</v>
      </c>
      <c r="G614" s="108">
        <f t="shared" si="49"/>
        <v>3463.42</v>
      </c>
      <c r="H614" s="108">
        <f t="shared" si="49"/>
        <v>6068.5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26466.57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579550.86</v>
      </c>
      <c r="H617" s="109">
        <f>SUM(F52)</f>
        <v>579550.86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39428.869999999995</v>
      </c>
      <c r="H618" s="109">
        <f>SUM(G52)</f>
        <v>39428.869999999995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22604.58</v>
      </c>
      <c r="H619" s="109">
        <f>SUM(H52)</f>
        <v>22604.58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430915.01</v>
      </c>
      <c r="H621" s="109">
        <f>SUM(J52)</f>
        <v>430915.01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204538.19</v>
      </c>
      <c r="H622" s="109">
        <f>F476</f>
        <v>204538.18999999948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1386.24</v>
      </c>
      <c r="H624" s="109">
        <f>H476</f>
        <v>1386.2400000000489</v>
      </c>
      <c r="I624" s="121" t="s">
        <v>103</v>
      </c>
      <c r="J624" s="109">
        <f t="shared" si="50"/>
        <v>-4.8885340220294893E-11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430915.01</v>
      </c>
      <c r="H626" s="109">
        <f>J476</f>
        <v>430915.01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11649903.66</v>
      </c>
      <c r="H627" s="104">
        <f>SUM(F468)</f>
        <v>11649903.66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227286.92</v>
      </c>
      <c r="H628" s="104">
        <f>SUM(G468)</f>
        <v>227286.92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303383.77</v>
      </c>
      <c r="H629" s="104">
        <f>SUM(H468)</f>
        <v>303383.77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69351.11</v>
      </c>
      <c r="H631" s="104">
        <f>SUM(J468)</f>
        <v>69351.11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11857236.979999999</v>
      </c>
      <c r="H632" s="104">
        <f>SUM(F472)</f>
        <v>11857236.98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303176.11</v>
      </c>
      <c r="H633" s="104">
        <f>SUM(H472)</f>
        <v>303176.11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86673.47</v>
      </c>
      <c r="H634" s="104">
        <f>I369</f>
        <v>86673.47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227865.15999999997</v>
      </c>
      <c r="H635" s="104">
        <f>SUM(G472)</f>
        <v>227865.16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69351.11</v>
      </c>
      <c r="H637" s="164">
        <f>SUM(J468)</f>
        <v>69351.11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16510</v>
      </c>
      <c r="H638" s="164">
        <f>SUM(J472)</f>
        <v>16510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430915.01</v>
      </c>
      <c r="H639" s="104">
        <f>SUM(F461)</f>
        <v>430915.01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430915.01</v>
      </c>
      <c r="H642" s="104">
        <f>SUM(I461)</f>
        <v>430915.01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4205.6099999999997</v>
      </c>
      <c r="H644" s="104">
        <f>H408</f>
        <v>4205.6100000000006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55000</v>
      </c>
      <c r="H645" s="104">
        <f>G408</f>
        <v>55000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69351.11</v>
      </c>
      <c r="H646" s="104">
        <f>L408</f>
        <v>69351.11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375460.63</v>
      </c>
      <c r="H647" s="104">
        <f>L208+L226+L244</f>
        <v>375460.63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199110.21000000002</v>
      </c>
      <c r="H648" s="104">
        <f>(J257+J338)-(J255+J336)</f>
        <v>199110.20999999996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261969.84999999998</v>
      </c>
      <c r="H649" s="104">
        <f>H598</f>
        <v>261969.85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38446.03</v>
      </c>
      <c r="H650" s="104">
        <f>I598</f>
        <v>38446.03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75044.75</v>
      </c>
      <c r="H651" s="104">
        <f>J598</f>
        <v>75044.75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36818.730000000003</v>
      </c>
      <c r="H652" s="104">
        <f>K263+K345</f>
        <v>36818.730000000003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55000</v>
      </c>
      <c r="H655" s="104">
        <f>K266+K347</f>
        <v>55000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5252279.8255399987</v>
      </c>
      <c r="G660" s="19">
        <f>(L229+L309+L359)</f>
        <v>2501603.8376399996</v>
      </c>
      <c r="H660" s="19">
        <f>(L247+L328+L360)</f>
        <v>3576025.8568199999</v>
      </c>
      <c r="I660" s="19">
        <f>SUM(F660:H660)</f>
        <v>11329909.519999998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39096.291631168191</v>
      </c>
      <c r="G661" s="19">
        <f>(L359/IF(SUM(L358:L360)=0,1,SUM(L358:L360))*(SUM(G97:G110)))</f>
        <v>30549.097023662598</v>
      </c>
      <c r="H661" s="19">
        <f>(L360/IF(SUM(L358:L360)=0,1,SUM(L358:L360))*(SUM(G97:G110)))</f>
        <v>34502.091345169218</v>
      </c>
      <c r="I661" s="19">
        <f>SUM(F661:H661)</f>
        <v>104147.48000000001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261969.84999999998</v>
      </c>
      <c r="G662" s="19">
        <f>(L226+L306)-(J226+J306)</f>
        <v>38446.03</v>
      </c>
      <c r="H662" s="19">
        <f>(L244+L325)-(J244+J325)</f>
        <v>75044.75</v>
      </c>
      <c r="I662" s="19">
        <f>SUM(F662:H662)</f>
        <v>375460.63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138839.86001999999</v>
      </c>
      <c r="G663" s="199">
        <f>SUM(G575:G587)+SUM(I602:I604)+L612</f>
        <v>126287.93812000002</v>
      </c>
      <c r="H663" s="199">
        <f>SUM(H575:H587)+SUM(J602:J604)+L613</f>
        <v>449086.13185999996</v>
      </c>
      <c r="I663" s="19">
        <f>SUM(F663:H663)</f>
        <v>714213.92999999993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4812373.8238888308</v>
      </c>
      <c r="G664" s="19">
        <f>G660-SUM(G661:G663)</f>
        <v>2306320.7724963371</v>
      </c>
      <c r="H664" s="19">
        <f>H660-SUM(H661:H663)</f>
        <v>3017392.8836148307</v>
      </c>
      <c r="I664" s="19">
        <f>I660-SUM(I661:I663)</f>
        <v>10136087.479999997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230.72</v>
      </c>
      <c r="G665" s="248">
        <v>116.57</v>
      </c>
      <c r="H665" s="248">
        <v>154.25</v>
      </c>
      <c r="I665" s="19">
        <f>SUM(F665:H665)</f>
        <v>501.53999999999996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20858.07</v>
      </c>
      <c r="G667" s="19">
        <f>ROUND(G664/G665,2)</f>
        <v>19784.86</v>
      </c>
      <c r="H667" s="19">
        <f>ROUND(H664/H665,2)</f>
        <v>19561.7</v>
      </c>
      <c r="I667" s="19">
        <f>ROUND(I664/I665,2)</f>
        <v>20209.93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-1.62</v>
      </c>
      <c r="I670" s="19">
        <f>SUM(F670:H670)</f>
        <v>-1.62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20858.07</v>
      </c>
      <c r="G672" s="19">
        <f>ROUND((G664+G669)/(G665+G670),2)</f>
        <v>19784.86</v>
      </c>
      <c r="H672" s="19">
        <f>ROUND((H664+H669)/(H665+H670),2)</f>
        <v>19769.330000000002</v>
      </c>
      <c r="I672" s="19">
        <f>ROUND((I664+I669)/(I665+I670),2)</f>
        <v>20275.419999999998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Wilton-Lyndeborough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2923948.61</v>
      </c>
      <c r="C9" s="229">
        <f>'DOE25'!G197+'DOE25'!G215+'DOE25'!G233+'DOE25'!G276+'DOE25'!G295+'DOE25'!G314</f>
        <v>1247660.48</v>
      </c>
    </row>
    <row r="10" spans="1:3" x14ac:dyDescent="0.2">
      <c r="A10" t="s">
        <v>773</v>
      </c>
      <c r="B10" s="240">
        <f>2623880.92+15341.12</f>
        <v>2639222.04</v>
      </c>
      <c r="C10" s="240">
        <f>1151026.9+30201</f>
        <v>1181227.8999999999</v>
      </c>
    </row>
    <row r="11" spans="1:3" x14ac:dyDescent="0.2">
      <c r="A11" t="s">
        <v>774</v>
      </c>
      <c r="B11" s="240">
        <f>105430.17+52466.4</f>
        <v>157896.57</v>
      </c>
      <c r="C11" s="240">
        <f>49280.14</f>
        <v>49280.14</v>
      </c>
    </row>
    <row r="12" spans="1:3" x14ac:dyDescent="0.2">
      <c r="A12" t="s">
        <v>775</v>
      </c>
      <c r="B12" s="240">
        <v>126830</v>
      </c>
      <c r="C12" s="240">
        <f>17152.44</f>
        <v>17152.439999999999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2923948.61</v>
      </c>
      <c r="C13" s="231">
        <f>SUM(C10:C12)</f>
        <v>1247660.4799999997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658090.82999999996</v>
      </c>
      <c r="C18" s="229">
        <f>'DOE25'!G198+'DOE25'!G216+'DOE25'!G234+'DOE25'!G277+'DOE25'!G296+'DOE25'!G315</f>
        <v>255543.46999999997</v>
      </c>
    </row>
    <row r="19" spans="1:3" x14ac:dyDescent="0.2">
      <c r="A19" t="s">
        <v>773</v>
      </c>
      <c r="B19" s="240">
        <f>325941.69</f>
        <v>325941.69</v>
      </c>
      <c r="C19" s="240">
        <f>143972.21</f>
        <v>143972.21</v>
      </c>
    </row>
    <row r="20" spans="1:3" x14ac:dyDescent="0.2">
      <c r="A20" t="s">
        <v>774</v>
      </c>
      <c r="B20" s="240">
        <f>315214.49+16934.65</f>
        <v>332149.14</v>
      </c>
      <c r="C20" s="240">
        <f>107879.67+3463.42+228.17</f>
        <v>111571.26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658090.83000000007</v>
      </c>
      <c r="C22" s="231">
        <f>SUM(C19:C21)</f>
        <v>255543.46999999997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76805.2</v>
      </c>
      <c r="C36" s="235">
        <f>'DOE25'!G200+'DOE25'!G218+'DOE25'!G236+'DOE25'!G279+'DOE25'!G298+'DOE25'!G317</f>
        <v>18141.199999999997</v>
      </c>
    </row>
    <row r="37" spans="1:3" x14ac:dyDescent="0.2">
      <c r="A37" t="s">
        <v>773</v>
      </c>
      <c r="B37" s="240">
        <f>10910+22340-900-450+3465+6048.08+1152+9071.92+1728+207.7</f>
        <v>53572.7</v>
      </c>
      <c r="C37" s="240">
        <f>17152.4-699.41</f>
        <v>16452.990000000002</v>
      </c>
    </row>
    <row r="38" spans="1:3" x14ac:dyDescent="0.2">
      <c r="A38" t="s">
        <v>774</v>
      </c>
      <c r="B38" s="240">
        <v>900</v>
      </c>
      <c r="C38" s="240">
        <f>67.09+15.69+147.72+5.97+3.63</f>
        <v>240.1</v>
      </c>
    </row>
    <row r="39" spans="1:3" x14ac:dyDescent="0.2">
      <c r="A39" t="s">
        <v>775</v>
      </c>
      <c r="B39" s="240">
        <f>450+13668.08-6048.08-1152+29679.42-1728-9071.92-3465</f>
        <v>22332.5</v>
      </c>
      <c r="C39" s="240">
        <f>34.1+7.98+4.18+1.53+95.48+22.33+2232.85-125.81-538.23-50.24-214.83-23.6-100.93+11.7+9.02+23.35+6.84+21.89+4.62+40.18-9.7-4.6</f>
        <v>1448.11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76805.2</v>
      </c>
      <c r="C40" s="231">
        <f>SUM(C37:C39)</f>
        <v>18141.2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1" activePane="bottomLeft" state="frozen"/>
      <selection activeCell="F46" sqref="F46"/>
      <selection pane="bottomLeft" activeCell="E37" sqref="E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Wilton-Lyndeborough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5967104.9299999988</v>
      </c>
      <c r="D5" s="20">
        <f>SUM('DOE25'!L197:L200)+SUM('DOE25'!L215:L218)+SUM('DOE25'!L233:L236)-F5-G5</f>
        <v>5802571.919999999</v>
      </c>
      <c r="E5" s="243"/>
      <c r="F5" s="255">
        <f>SUM('DOE25'!J197:J200)+SUM('DOE25'!J215:J218)+SUM('DOE25'!J233:J236)</f>
        <v>144648.97999999998</v>
      </c>
      <c r="G5" s="53">
        <f>SUM('DOE25'!K197:K200)+SUM('DOE25'!K215:K218)+SUM('DOE25'!K233:K236)</f>
        <v>19884.03</v>
      </c>
      <c r="H5" s="259"/>
    </row>
    <row r="6" spans="1:9" x14ac:dyDescent="0.2">
      <c r="A6" s="32">
        <v>2100</v>
      </c>
      <c r="B6" t="s">
        <v>795</v>
      </c>
      <c r="C6" s="245">
        <f t="shared" si="0"/>
        <v>1392939.3499999999</v>
      </c>
      <c r="D6" s="20">
        <f>'DOE25'!L202+'DOE25'!L220+'DOE25'!L238-F6-G6</f>
        <v>1388049.8299999998</v>
      </c>
      <c r="E6" s="243"/>
      <c r="F6" s="255">
        <f>'DOE25'!J202+'DOE25'!J220+'DOE25'!J238</f>
        <v>3807.52</v>
      </c>
      <c r="G6" s="53">
        <f>'DOE25'!K202+'DOE25'!K220+'DOE25'!K238</f>
        <v>1082</v>
      </c>
      <c r="H6" s="259"/>
    </row>
    <row r="7" spans="1:9" x14ac:dyDescent="0.2">
      <c r="A7" s="32">
        <v>2200</v>
      </c>
      <c r="B7" t="s">
        <v>828</v>
      </c>
      <c r="C7" s="245">
        <f t="shared" si="0"/>
        <v>329621.36</v>
      </c>
      <c r="D7" s="20">
        <f>'DOE25'!L203+'DOE25'!L221+'DOE25'!L239-F7-G7</f>
        <v>325997.48</v>
      </c>
      <c r="E7" s="243"/>
      <c r="F7" s="255">
        <f>'DOE25'!J203+'DOE25'!J221+'DOE25'!J239</f>
        <v>2475.88</v>
      </c>
      <c r="G7" s="53">
        <f>'DOE25'!K203+'DOE25'!K221+'DOE25'!K239</f>
        <v>1148</v>
      </c>
      <c r="H7" s="259"/>
    </row>
    <row r="8" spans="1:9" x14ac:dyDescent="0.2">
      <c r="A8" s="32">
        <v>2300</v>
      </c>
      <c r="B8" t="s">
        <v>796</v>
      </c>
      <c r="C8" s="245">
        <f t="shared" si="0"/>
        <v>241068.22999999995</v>
      </c>
      <c r="D8" s="243"/>
      <c r="E8" s="20">
        <f>'DOE25'!L204+'DOE25'!L222+'DOE25'!L240-F8-G8-D9-D11</f>
        <v>232419.84999999995</v>
      </c>
      <c r="F8" s="255">
        <f>'DOE25'!J204+'DOE25'!J222+'DOE25'!J240</f>
        <v>0</v>
      </c>
      <c r="G8" s="53">
        <f>'DOE25'!K204+'DOE25'!K222+'DOE25'!K240</f>
        <v>8648.380000000001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6126.7</v>
      </c>
      <c r="D9" s="244">
        <v>6126.7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17950</v>
      </c>
      <c r="D10" s="243"/>
      <c r="E10" s="244">
        <v>17950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214374.77</v>
      </c>
      <c r="D11" s="244">
        <v>214374.77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815753.05</v>
      </c>
      <c r="D12" s="20">
        <f>'DOE25'!L205+'DOE25'!L223+'DOE25'!L241-F12-G12</f>
        <v>801750.56</v>
      </c>
      <c r="E12" s="243"/>
      <c r="F12" s="255">
        <f>'DOE25'!J205+'DOE25'!J223+'DOE25'!J241</f>
        <v>303.26</v>
      </c>
      <c r="G12" s="53">
        <f>'DOE25'!K205+'DOE25'!K223+'DOE25'!K241</f>
        <v>13699.23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315068.30000000005</v>
      </c>
      <c r="D13" s="243"/>
      <c r="E13" s="20">
        <f>'DOE25'!L206+'DOE25'!L224+'DOE25'!L242-F13-G13</f>
        <v>292596.62000000005</v>
      </c>
      <c r="F13" s="255">
        <f>'DOE25'!J206+'DOE25'!J224+'DOE25'!J242</f>
        <v>2869.48</v>
      </c>
      <c r="G13" s="53">
        <f>'DOE25'!K206+'DOE25'!K224+'DOE25'!K242</f>
        <v>19602.2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905483.38</v>
      </c>
      <c r="D14" s="20">
        <f>'DOE25'!L207+'DOE25'!L225+'DOE25'!L243-F14-G14</f>
        <v>885127.47</v>
      </c>
      <c r="E14" s="243"/>
      <c r="F14" s="255">
        <f>'DOE25'!J207+'DOE25'!J225+'DOE25'!J243</f>
        <v>20355.91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375460.63</v>
      </c>
      <c r="D15" s="20">
        <f>'DOE25'!L208+'DOE25'!L226+'DOE25'!L244-F15-G15</f>
        <v>375460.63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235867.55000000002</v>
      </c>
      <c r="D16" s="243"/>
      <c r="E16" s="20">
        <f>'DOE25'!L209+'DOE25'!L227+'DOE25'!L245-F16-G16</f>
        <v>220702.67</v>
      </c>
      <c r="F16" s="255">
        <f>'DOE25'!J209+'DOE25'!J227+'DOE25'!J245</f>
        <v>15164.88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966550</v>
      </c>
      <c r="D25" s="243"/>
      <c r="E25" s="243"/>
      <c r="F25" s="258"/>
      <c r="G25" s="256"/>
      <c r="H25" s="257">
        <f>'DOE25'!L260+'DOE25'!L261+'DOE25'!L341+'DOE25'!L342</f>
        <v>966550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150721.00999999995</v>
      </c>
      <c r="D29" s="20">
        <f>'DOE25'!L358+'DOE25'!L359+'DOE25'!L360-'DOE25'!I367-F29-G29</f>
        <v>137143.81999999995</v>
      </c>
      <c r="E29" s="243"/>
      <c r="F29" s="255">
        <f>'DOE25'!J358+'DOE25'!J359+'DOE25'!J360</f>
        <v>12878.939999999999</v>
      </c>
      <c r="G29" s="53">
        <f>'DOE25'!K358+'DOE25'!K359+'DOE25'!K360</f>
        <v>698.25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303176.11</v>
      </c>
      <c r="D31" s="20">
        <f>'DOE25'!L290+'DOE25'!L309+'DOE25'!L328+'DOE25'!L333+'DOE25'!L334+'DOE25'!L335-F31-G31</f>
        <v>293691.81</v>
      </c>
      <c r="E31" s="243"/>
      <c r="F31" s="255">
        <f>'DOE25'!J290+'DOE25'!J309+'DOE25'!J328+'DOE25'!J333+'DOE25'!J334+'DOE25'!J335</f>
        <v>9484.2999999999993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10230294.99</v>
      </c>
      <c r="E33" s="246">
        <f>SUM(E5:E31)</f>
        <v>763669.14</v>
      </c>
      <c r="F33" s="246">
        <f>SUM(F5:F31)</f>
        <v>211989.15</v>
      </c>
      <c r="G33" s="246">
        <f>SUM(G5:G31)</f>
        <v>64762.09</v>
      </c>
      <c r="H33" s="246">
        <f>SUM(H5:H31)</f>
        <v>966550</v>
      </c>
    </row>
    <row r="35" spans="2:8" ht="12" thickBot="1" x14ac:dyDescent="0.25">
      <c r="B35" s="253" t="s">
        <v>841</v>
      </c>
      <c r="D35" s="254">
        <f>E33</f>
        <v>763669.14</v>
      </c>
      <c r="E35" s="249"/>
    </row>
    <row r="36" spans="2:8" ht="12" thickTop="1" x14ac:dyDescent="0.2">
      <c r="B36" t="s">
        <v>809</v>
      </c>
      <c r="D36" s="20">
        <f>D33</f>
        <v>10230294.99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" sqref="C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465982.32</v>
      </c>
      <c r="D8" s="95">
        <f>'DOE25'!G9</f>
        <v>15304.14</v>
      </c>
      <c r="E8" s="95">
        <f>'DOE25'!H9</f>
        <v>0</v>
      </c>
      <c r="F8" s="95">
        <f>'DOE25'!I9</f>
        <v>0</v>
      </c>
      <c r="G8" s="95">
        <f>'DOE25'!J9</f>
        <v>430915.01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57983.05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39047.11</v>
      </c>
      <c r="D12" s="95">
        <f>'DOE25'!G13</f>
        <v>5167.05</v>
      </c>
      <c r="E12" s="95">
        <f>'DOE25'!H13</f>
        <v>22604.58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8512.9599999999991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7608.72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16538.38</v>
      </c>
      <c r="D16" s="95">
        <f>'DOE25'!G17</f>
        <v>2836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579550.86</v>
      </c>
      <c r="D18" s="41">
        <f>SUM(D8:D17)</f>
        <v>39428.869999999995</v>
      </c>
      <c r="E18" s="41">
        <f>SUM(E8:E17)</f>
        <v>22604.58</v>
      </c>
      <c r="F18" s="41">
        <f>SUM(F8:F17)</f>
        <v>0</v>
      </c>
      <c r="G18" s="41">
        <f>SUM(G8:G17)</f>
        <v>430915.01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36764.71</v>
      </c>
      <c r="E21" s="95">
        <f>'DOE25'!H22</f>
        <v>21218.34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297568.46999999997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66014.179999999993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11430.02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2664.16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375012.67</v>
      </c>
      <c r="D31" s="41">
        <f>SUM(D21:D30)</f>
        <v>39428.869999999995</v>
      </c>
      <c r="E31" s="41">
        <f>SUM(E21:E30)</f>
        <v>21218.34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7608.72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430915.01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-7608.72</v>
      </c>
      <c r="E47" s="95">
        <f>'DOE25'!H48</f>
        <v>1386.24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59704.91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144833.28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204538.19</v>
      </c>
      <c r="D50" s="41">
        <f>SUM(D34:D49)</f>
        <v>0</v>
      </c>
      <c r="E50" s="41">
        <f>SUM(E34:E49)</f>
        <v>1386.24</v>
      </c>
      <c r="F50" s="41">
        <f>SUM(F34:F49)</f>
        <v>0</v>
      </c>
      <c r="G50" s="41">
        <f>SUM(G34:G49)</f>
        <v>430915.01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579550.86</v>
      </c>
      <c r="D51" s="41">
        <f>D50+D31</f>
        <v>39428.869999999995</v>
      </c>
      <c r="E51" s="41">
        <f>E50+E31</f>
        <v>22604.58</v>
      </c>
      <c r="F51" s="41">
        <f>F50+F31</f>
        <v>0</v>
      </c>
      <c r="G51" s="41">
        <f>G50+G31</f>
        <v>430915.01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8674081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41573.56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4205.6099999999997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104147.48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27280.739999999998</v>
      </c>
      <c r="D61" s="95">
        <f>SUM('DOE25'!G98:G110)</f>
        <v>0</v>
      </c>
      <c r="E61" s="95">
        <f>SUM('DOE25'!H98:H110)</f>
        <v>2421.25</v>
      </c>
      <c r="F61" s="95">
        <f>SUM('DOE25'!I98:I110)</f>
        <v>0</v>
      </c>
      <c r="G61" s="95">
        <f>SUM('DOE25'!J98:J110)</f>
        <v>10145.5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68854.299999999988</v>
      </c>
      <c r="D62" s="130">
        <f>SUM(D57:D61)</f>
        <v>104147.48</v>
      </c>
      <c r="E62" s="130">
        <f>SUM(E57:E61)</f>
        <v>2421.25</v>
      </c>
      <c r="F62" s="130">
        <f>SUM(F57:F61)</f>
        <v>0</v>
      </c>
      <c r="G62" s="130">
        <f>SUM(G57:G61)</f>
        <v>14351.11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8742935.3000000007</v>
      </c>
      <c r="D63" s="22">
        <f>D56+D62</f>
        <v>104147.48</v>
      </c>
      <c r="E63" s="22">
        <f>E56+E62</f>
        <v>2421.25</v>
      </c>
      <c r="F63" s="22">
        <f>F56+F62</f>
        <v>0</v>
      </c>
      <c r="G63" s="22">
        <f>G56+G62</f>
        <v>14351.11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1346178.19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1219640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7664.47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2573482.66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128000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141067.29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2327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2806.17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271394.29000000004</v>
      </c>
      <c r="D78" s="130">
        <f>SUM(D72:D77)</f>
        <v>2806.17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2844876.95</v>
      </c>
      <c r="D81" s="130">
        <f>SUM(D79:D80)+D78+D70</f>
        <v>2806.17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8361.8799999999992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62091.41</v>
      </c>
      <c r="D88" s="95">
        <f>SUM('DOE25'!G153:G161)</f>
        <v>83514.539999999994</v>
      </c>
      <c r="E88" s="95">
        <f>SUM('DOE25'!H153:H161)</f>
        <v>292600.64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62091.41</v>
      </c>
      <c r="D91" s="131">
        <f>SUM(D85:D90)</f>
        <v>83514.539999999994</v>
      </c>
      <c r="E91" s="131">
        <f>SUM(E85:E90)</f>
        <v>300962.52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36818.730000000003</v>
      </c>
      <c r="E96" s="95">
        <f>'DOE25'!H179</f>
        <v>0</v>
      </c>
      <c r="F96" s="95">
        <f>'DOE25'!I179</f>
        <v>0</v>
      </c>
      <c r="G96" s="95">
        <f>'DOE25'!J179</f>
        <v>55000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36818.730000000003</v>
      </c>
      <c r="E103" s="86">
        <f>SUM(E93:E102)</f>
        <v>0</v>
      </c>
      <c r="F103" s="86">
        <f>SUM(F93:F102)</f>
        <v>0</v>
      </c>
      <c r="G103" s="86">
        <f>SUM(G93:G102)</f>
        <v>55000</v>
      </c>
    </row>
    <row r="104" spans="1:7" ht="12.75" thickTop="1" thickBot="1" x14ac:dyDescent="0.25">
      <c r="A104" s="33" t="s">
        <v>759</v>
      </c>
      <c r="C104" s="86">
        <f>C63+C81+C91+C103</f>
        <v>11649903.66</v>
      </c>
      <c r="D104" s="86">
        <f>D63+D81+D91+D103</f>
        <v>227286.92</v>
      </c>
      <c r="E104" s="86">
        <f>E63+E81+E91+E103</f>
        <v>303383.77</v>
      </c>
      <c r="F104" s="86">
        <f>F63+F81+F91+F103</f>
        <v>0</v>
      </c>
      <c r="G104" s="86">
        <f>G63+G81+G103</f>
        <v>69351.11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4360126.6499999994</v>
      </c>
      <c r="D109" s="24" t="s">
        <v>286</v>
      </c>
      <c r="E109" s="95">
        <f>('DOE25'!L276)+('DOE25'!L295)+('DOE25'!L314)</f>
        <v>98698.650000000009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1435205.0799999998</v>
      </c>
      <c r="D110" s="24" t="s">
        <v>286</v>
      </c>
      <c r="E110" s="95">
        <f>('DOE25'!L277)+('DOE25'!L296)+('DOE25'!L315)</f>
        <v>15912.04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2353.85</v>
      </c>
      <c r="D111" s="24" t="s">
        <v>286</v>
      </c>
      <c r="E111" s="95">
        <f>('DOE25'!L278)+('DOE25'!L297)+('DOE25'!L316)</f>
        <v>1200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169419.34999999998</v>
      </c>
      <c r="D112" s="24" t="s">
        <v>286</v>
      </c>
      <c r="E112" s="95">
        <f>+('DOE25'!L279)+('DOE25'!L298)+('DOE25'!L317)</f>
        <v>73.760000000000005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5967104.9299999988</v>
      </c>
      <c r="D115" s="86">
        <f>SUM(D109:D114)</f>
        <v>0</v>
      </c>
      <c r="E115" s="86">
        <f>SUM(E109:E114)</f>
        <v>115884.45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1392939.3499999999</v>
      </c>
      <c r="D118" s="24" t="s">
        <v>286</v>
      </c>
      <c r="E118" s="95">
        <f>+('DOE25'!L281)+('DOE25'!L300)+('DOE25'!L319)</f>
        <v>134903.54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329621.36</v>
      </c>
      <c r="D119" s="24" t="s">
        <v>286</v>
      </c>
      <c r="E119" s="95">
        <f>+('DOE25'!L282)+('DOE25'!L301)+('DOE25'!L320)</f>
        <v>49367.83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461569.69999999995</v>
      </c>
      <c r="D120" s="24" t="s">
        <v>286</v>
      </c>
      <c r="E120" s="95">
        <f>+('DOE25'!L283)+('DOE25'!L302)+('DOE25'!L321)</f>
        <v>650.75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815753.05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315068.30000000005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905483.38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375460.63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235867.55000000002</v>
      </c>
      <c r="D125" s="24" t="s">
        <v>286</v>
      </c>
      <c r="E125" s="95">
        <f>+('DOE25'!L288)+('DOE25'!L307)+('DOE25'!L326)</f>
        <v>2369.54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227865.15999999997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4831763.3199999994</v>
      </c>
      <c r="D128" s="86">
        <f>SUM(D118:D127)</f>
        <v>227865.15999999997</v>
      </c>
      <c r="E128" s="86">
        <f>SUM(E118:E127)</f>
        <v>187291.66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600000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366550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36818.730000000003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69351.11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-14351.11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1058368.73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11857236.979999999</v>
      </c>
      <c r="D145" s="86">
        <f>(D115+D128+D144)</f>
        <v>227865.15999999997</v>
      </c>
      <c r="E145" s="86">
        <f>(E115+E128+E144)</f>
        <v>303176.11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7/14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8/34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6476775</v>
      </c>
      <c r="C154" s="137">
        <f>'DOE25'!G493</f>
        <v>7640000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960000</v>
      </c>
      <c r="C156" s="137">
        <f>'DOE25'!G495</f>
        <v>7640000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8600000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320000</v>
      </c>
      <c r="C158" s="137">
        <f>'DOE25'!G497</f>
        <v>280000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600000</v>
      </c>
    </row>
    <row r="159" spans="1:9" x14ac:dyDescent="0.2">
      <c r="A159" s="22" t="s">
        <v>35</v>
      </c>
      <c r="B159" s="137">
        <f>'DOE25'!F498</f>
        <v>640000</v>
      </c>
      <c r="C159" s="137">
        <f>'DOE25'!G498</f>
        <v>7360000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8000000</v>
      </c>
    </row>
    <row r="160" spans="1:9" x14ac:dyDescent="0.2">
      <c r="A160" s="22" t="s">
        <v>36</v>
      </c>
      <c r="B160" s="137">
        <f>'DOE25'!F499</f>
        <v>33600</v>
      </c>
      <c r="C160" s="137">
        <f>'DOE25'!G499</f>
        <v>2579022.5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2612622.5</v>
      </c>
    </row>
    <row r="161" spans="1:7" x14ac:dyDescent="0.2">
      <c r="A161" s="22" t="s">
        <v>37</v>
      </c>
      <c r="B161" s="137">
        <f>'DOE25'!F500</f>
        <v>673600</v>
      </c>
      <c r="C161" s="137">
        <f>'DOE25'!G500</f>
        <v>9939022.5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10612622.5</v>
      </c>
    </row>
    <row r="162" spans="1:7" x14ac:dyDescent="0.2">
      <c r="A162" s="22" t="s">
        <v>38</v>
      </c>
      <c r="B162" s="137">
        <f>'DOE25'!F501</f>
        <v>320000</v>
      </c>
      <c r="C162" s="137">
        <f>'DOE25'!G501</f>
        <v>295000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615000</v>
      </c>
    </row>
    <row r="163" spans="1:7" x14ac:dyDescent="0.2">
      <c r="A163" s="22" t="s">
        <v>39</v>
      </c>
      <c r="B163" s="137">
        <f>'DOE25'!F502</f>
        <v>25200</v>
      </c>
      <c r="C163" s="137">
        <f>'DOE25'!G502</f>
        <v>309887.5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335087.5</v>
      </c>
    </row>
    <row r="164" spans="1:7" x14ac:dyDescent="0.2">
      <c r="A164" s="22" t="s">
        <v>246</v>
      </c>
      <c r="B164" s="137">
        <f>'DOE25'!F503</f>
        <v>345200</v>
      </c>
      <c r="C164" s="137">
        <f>'DOE25'!G503</f>
        <v>604887.5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950087.5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8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Wilton-Lyndeborough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20858</v>
      </c>
    </row>
    <row r="5" spans="1:4" x14ac:dyDescent="0.2">
      <c r="B5" t="s">
        <v>698</v>
      </c>
      <c r="C5" s="179">
        <f>IF('DOE25'!G665+'DOE25'!G670=0,0,ROUND('DOE25'!G672,0))</f>
        <v>19785</v>
      </c>
    </row>
    <row r="6" spans="1:4" x14ac:dyDescent="0.2">
      <c r="B6" t="s">
        <v>62</v>
      </c>
      <c r="C6" s="179">
        <f>IF('DOE25'!H665+'DOE25'!H670=0,0,ROUND('DOE25'!H672,0))</f>
        <v>19769</v>
      </c>
    </row>
    <row r="7" spans="1:4" x14ac:dyDescent="0.2">
      <c r="B7" t="s">
        <v>699</v>
      </c>
      <c r="C7" s="179">
        <f>IF('DOE25'!I665+'DOE25'!I670=0,0,ROUND('DOE25'!I672,0))</f>
        <v>20275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4458825</v>
      </c>
      <c r="D10" s="182">
        <f>ROUND((C10/$C$28)*100,1)</f>
        <v>38.5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1451117</v>
      </c>
      <c r="D11" s="182">
        <f>ROUND((C11/$C$28)*100,1)</f>
        <v>12.5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3554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169493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1527843</v>
      </c>
      <c r="D15" s="182">
        <f t="shared" ref="D15:D27" si="0">ROUND((C15/$C$28)*100,1)</f>
        <v>13.2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378989</v>
      </c>
      <c r="D16" s="182">
        <f t="shared" si="0"/>
        <v>3.3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700458</v>
      </c>
      <c r="D17" s="182">
        <f t="shared" si="0"/>
        <v>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815753</v>
      </c>
      <c r="D18" s="182">
        <f t="shared" si="0"/>
        <v>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315068</v>
      </c>
      <c r="D19" s="182">
        <f t="shared" si="0"/>
        <v>2.7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905483</v>
      </c>
      <c r="D20" s="182">
        <f t="shared" si="0"/>
        <v>7.8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375461</v>
      </c>
      <c r="D21" s="182">
        <f t="shared" si="0"/>
        <v>3.2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366550</v>
      </c>
      <c r="D25" s="182">
        <f t="shared" si="0"/>
        <v>3.2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123717.52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11592311.52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11592311.52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600000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8674081</v>
      </c>
      <c r="D35" s="182">
        <f t="shared" ref="D35:D40" si="1">ROUND((C35/$C$41)*100,1)</f>
        <v>72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85626.660000000149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2565818</v>
      </c>
      <c r="D37" s="182">
        <f t="shared" si="1"/>
        <v>21.3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281865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446568</v>
      </c>
      <c r="D39" s="182">
        <f t="shared" si="1"/>
        <v>3.7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12053958.66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Wilton-Lyndeborough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2018-10-15T11:57:18Z</cp:lastPrinted>
  <dcterms:created xsi:type="dcterms:W3CDTF">1997-12-04T19:04:30Z</dcterms:created>
  <dcterms:modified xsi:type="dcterms:W3CDTF">2018-12-03T19:58:32Z</dcterms:modified>
</cp:coreProperties>
</file>