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970A" lockStructure="1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L224" i="1"/>
  <c r="L242" i="1"/>
  <c r="F16" i="13"/>
  <c r="G16" i="13"/>
  <c r="L209" i="1"/>
  <c r="L227" i="1"/>
  <c r="L245" i="1"/>
  <c r="F5" i="13"/>
  <c r="G5" i="13"/>
  <c r="L197" i="1"/>
  <c r="L198" i="1"/>
  <c r="L199" i="1"/>
  <c r="L200" i="1"/>
  <c r="L215" i="1"/>
  <c r="L216" i="1"/>
  <c r="L217" i="1"/>
  <c r="L218" i="1"/>
  <c r="L233" i="1"/>
  <c r="C109" i="2" s="1"/>
  <c r="L234" i="1"/>
  <c r="L235" i="1"/>
  <c r="L236" i="1"/>
  <c r="C112" i="2" s="1"/>
  <c r="F6" i="13"/>
  <c r="G6" i="13"/>
  <c r="L202" i="1"/>
  <c r="L220" i="1"/>
  <c r="L238" i="1"/>
  <c r="F7" i="13"/>
  <c r="G7" i="13"/>
  <c r="L203" i="1"/>
  <c r="L221" i="1"/>
  <c r="L239" i="1"/>
  <c r="F12" i="13"/>
  <c r="G12" i="13"/>
  <c r="L205" i="1"/>
  <c r="L223" i="1"/>
  <c r="L241" i="1"/>
  <c r="F14" i="13"/>
  <c r="G14" i="13"/>
  <c r="L207" i="1"/>
  <c r="L225" i="1"/>
  <c r="L243" i="1"/>
  <c r="F15" i="13"/>
  <c r="G15" i="13"/>
  <c r="L208" i="1"/>
  <c r="L226" i="1"/>
  <c r="L244" i="1"/>
  <c r="F17" i="13"/>
  <c r="G17" i="13"/>
  <c r="L251" i="1"/>
  <c r="F18" i="13"/>
  <c r="G18" i="13"/>
  <c r="L252" i="1"/>
  <c r="F19" i="13"/>
  <c r="G19" i="13"/>
  <c r="L253" i="1"/>
  <c r="F29" i="13"/>
  <c r="G29" i="13"/>
  <c r="L358" i="1"/>
  <c r="L359" i="1"/>
  <c r="L360" i="1"/>
  <c r="H661" i="1" s="1"/>
  <c r="I367" i="1"/>
  <c r="J290" i="1"/>
  <c r="J309" i="1"/>
  <c r="J328" i="1"/>
  <c r="K290" i="1"/>
  <c r="K309" i="1"/>
  <c r="K328" i="1"/>
  <c r="L276" i="1"/>
  <c r="L277" i="1"/>
  <c r="L278" i="1"/>
  <c r="L279" i="1"/>
  <c r="L281" i="1"/>
  <c r="L282" i="1"/>
  <c r="L283" i="1"/>
  <c r="L284" i="1"/>
  <c r="L285" i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E110" i="2" s="1"/>
  <c r="L316" i="1"/>
  <c r="L317" i="1"/>
  <c r="L319" i="1"/>
  <c r="L320" i="1"/>
  <c r="L321" i="1"/>
  <c r="L322" i="1"/>
  <c r="L323" i="1"/>
  <c r="L324" i="1"/>
  <c r="L325" i="1"/>
  <c r="E124" i="2" s="1"/>
  <c r="L326" i="1"/>
  <c r="L333" i="1"/>
  <c r="L334" i="1"/>
  <c r="L335" i="1"/>
  <c r="L260" i="1"/>
  <c r="L261" i="1"/>
  <c r="C25" i="10" s="1"/>
  <c r="L341" i="1"/>
  <c r="E131" i="2" s="1"/>
  <c r="L342" i="1"/>
  <c r="L255" i="1"/>
  <c r="C130" i="2" s="1"/>
  <c r="L336" i="1"/>
  <c r="C11" i="13"/>
  <c r="C10" i="13"/>
  <c r="C9" i="13"/>
  <c r="L361" i="1"/>
  <c r="L362" i="1" s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G60" i="1"/>
  <c r="D56" i="2" s="1"/>
  <c r="H60" i="1"/>
  <c r="I60" i="1"/>
  <c r="F56" i="2" s="1"/>
  <c r="F79" i="1"/>
  <c r="C57" i="2" s="1"/>
  <c r="F94" i="1"/>
  <c r="F111" i="1"/>
  <c r="G111" i="1"/>
  <c r="H79" i="1"/>
  <c r="E57" i="2" s="1"/>
  <c r="H94" i="1"/>
  <c r="E58" i="2" s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F162" i="1"/>
  <c r="F169" i="1" s="1"/>
  <c r="G147" i="1"/>
  <c r="D85" i="2" s="1"/>
  <c r="G162" i="1"/>
  <c r="H147" i="1"/>
  <c r="E85" i="2" s="1"/>
  <c r="H162" i="1"/>
  <c r="H169" i="1" s="1"/>
  <c r="I147" i="1"/>
  <c r="F85" i="2" s="1"/>
  <c r="I162" i="1"/>
  <c r="L250" i="1"/>
  <c r="C113" i="2" s="1"/>
  <c r="L332" i="1"/>
  <c r="E113" i="2" s="1"/>
  <c r="L254" i="1"/>
  <c r="L268" i="1"/>
  <c r="L269" i="1"/>
  <c r="C143" i="2" s="1"/>
  <c r="L349" i="1"/>
  <c r="C26" i="10" s="1"/>
  <c r="L350" i="1"/>
  <c r="E143" i="2" s="1"/>
  <c r="I665" i="1"/>
  <c r="I670" i="1"/>
  <c r="I669" i="1"/>
  <c r="C42" i="10"/>
  <c r="L374" i="1"/>
  <c r="L375" i="1"/>
  <c r="L376" i="1"/>
  <c r="L377" i="1"/>
  <c r="L378" i="1"/>
  <c r="L379" i="1"/>
  <c r="L380" i="1"/>
  <c r="B2" i="10"/>
  <c r="L344" i="1"/>
  <c r="E134" i="2" s="1"/>
  <c r="L345" i="1"/>
  <c r="E135" i="2" s="1"/>
  <c r="L346" i="1"/>
  <c r="E137" i="2" s="1"/>
  <c r="L347" i="1"/>
  <c r="K351" i="1"/>
  <c r="L521" i="1"/>
  <c r="F549" i="1" s="1"/>
  <c r="L522" i="1"/>
  <c r="F550" i="1" s="1"/>
  <c r="L523" i="1"/>
  <c r="F551" i="1" s="1"/>
  <c r="L526" i="1"/>
  <c r="G549" i="1" s="1"/>
  <c r="L527" i="1"/>
  <c r="G550" i="1" s="1"/>
  <c r="L528" i="1"/>
  <c r="G551" i="1" s="1"/>
  <c r="L531" i="1"/>
  <c r="H549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L542" i="1"/>
  <c r="J550" i="1" s="1"/>
  <c r="L543" i="1"/>
  <c r="J551" i="1" s="1"/>
  <c r="E132" i="2"/>
  <c r="K270" i="1"/>
  <c r="J270" i="1"/>
  <c r="I270" i="1"/>
  <c r="H270" i="1"/>
  <c r="G270" i="1"/>
  <c r="F270" i="1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G22" i="2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G36" i="2" s="1"/>
  <c r="I459" i="1"/>
  <c r="J48" i="1" s="1"/>
  <c r="G47" i="2" s="1"/>
  <c r="C49" i="2"/>
  <c r="E56" i="2"/>
  <c r="C58" i="2"/>
  <c r="C59" i="2"/>
  <c r="D59" i="2"/>
  <c r="E59" i="2"/>
  <c r="F59" i="2"/>
  <c r="D60" i="2"/>
  <c r="C61" i="2"/>
  <c r="D61" i="2"/>
  <c r="E61" i="2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F76" i="2"/>
  <c r="C77" i="2"/>
  <c r="D77" i="2"/>
  <c r="D78" i="2" s="1"/>
  <c r="E77" i="2"/>
  <c r="F77" i="2"/>
  <c r="G77" i="2"/>
  <c r="G78" i="2" s="1"/>
  <c r="C79" i="2"/>
  <c r="D79" i="2"/>
  <c r="E79" i="2"/>
  <c r="C80" i="2"/>
  <c r="E80" i="2"/>
  <c r="C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E111" i="2"/>
  <c r="D115" i="2"/>
  <c r="F115" i="2"/>
  <c r="G115" i="2"/>
  <c r="E125" i="2"/>
  <c r="F128" i="2"/>
  <c r="G128" i="2"/>
  <c r="D134" i="2"/>
  <c r="D144" i="2" s="1"/>
  <c r="F134" i="2"/>
  <c r="K419" i="1"/>
  <c r="K427" i="1"/>
  <c r="K433" i="1"/>
  <c r="L263" i="1"/>
  <c r="C135" i="2" s="1"/>
  <c r="L264" i="1"/>
  <c r="C136" i="2" s="1"/>
  <c r="L265" i="1"/>
  <c r="C137" i="2" s="1"/>
  <c r="C142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617" i="1" s="1"/>
  <c r="G19" i="1"/>
  <c r="G618" i="1" s="1"/>
  <c r="H19" i="1"/>
  <c r="G619" i="1" s="1"/>
  <c r="I19" i="1"/>
  <c r="G620" i="1" s="1"/>
  <c r="F32" i="1"/>
  <c r="F52" i="1" s="1"/>
  <c r="H617" i="1" s="1"/>
  <c r="G32" i="1"/>
  <c r="G52" i="1" s="1"/>
  <c r="H618" i="1" s="1"/>
  <c r="H32" i="1"/>
  <c r="I32" i="1"/>
  <c r="H51" i="1"/>
  <c r="I51" i="1"/>
  <c r="F177" i="1"/>
  <c r="I177" i="1"/>
  <c r="F183" i="1"/>
  <c r="G183" i="1"/>
  <c r="H183" i="1"/>
  <c r="I183" i="1"/>
  <c r="J183" i="1"/>
  <c r="J192" i="1" s="1"/>
  <c r="F188" i="1"/>
  <c r="G188" i="1"/>
  <c r="H188" i="1"/>
  <c r="I188" i="1"/>
  <c r="F211" i="1"/>
  <c r="G211" i="1"/>
  <c r="H211" i="1"/>
  <c r="I211" i="1"/>
  <c r="J211" i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F290" i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K337" i="1"/>
  <c r="F362" i="1"/>
  <c r="G362" i="1"/>
  <c r="H362" i="1"/>
  <c r="I362" i="1"/>
  <c r="G634" i="1" s="1"/>
  <c r="J362" i="1"/>
  <c r="K362" i="1"/>
  <c r="I368" i="1"/>
  <c r="I369" i="1" s="1"/>
  <c r="H634" i="1" s="1"/>
  <c r="F369" i="1"/>
  <c r="G369" i="1"/>
  <c r="H369" i="1"/>
  <c r="L381" i="1"/>
  <c r="F382" i="1"/>
  <c r="G382" i="1"/>
  <c r="H382" i="1"/>
  <c r="I382" i="1"/>
  <c r="J382" i="1"/>
  <c r="K382" i="1"/>
  <c r="F393" i="1"/>
  <c r="G393" i="1"/>
  <c r="H393" i="1"/>
  <c r="I393" i="1"/>
  <c r="F401" i="1"/>
  <c r="G401" i="1"/>
  <c r="G408" i="1" s="1"/>
  <c r="H645" i="1" s="1"/>
  <c r="H401" i="1"/>
  <c r="I401" i="1"/>
  <c r="F407" i="1"/>
  <c r="G407" i="1"/>
  <c r="H407" i="1"/>
  <c r="I407" i="1"/>
  <c r="F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639" i="1" s="1"/>
  <c r="G446" i="1"/>
  <c r="G640" i="1" s="1"/>
  <c r="H446" i="1"/>
  <c r="G641" i="1" s="1"/>
  <c r="F452" i="1"/>
  <c r="G452" i="1"/>
  <c r="H452" i="1"/>
  <c r="H461" i="1" s="1"/>
  <c r="H641" i="1" s="1"/>
  <c r="F460" i="1"/>
  <c r="G460" i="1"/>
  <c r="H460" i="1"/>
  <c r="F470" i="1"/>
  <c r="G470" i="1"/>
  <c r="H470" i="1"/>
  <c r="I470" i="1"/>
  <c r="J470" i="1"/>
  <c r="G474" i="1"/>
  <c r="H474" i="1"/>
  <c r="I474" i="1"/>
  <c r="J474" i="1"/>
  <c r="K495" i="1"/>
  <c r="K496" i="1"/>
  <c r="K497" i="1"/>
  <c r="K498" i="1"/>
  <c r="K499" i="1"/>
  <c r="K501" i="1"/>
  <c r="K502" i="1"/>
  <c r="F517" i="1"/>
  <c r="G517" i="1"/>
  <c r="H517" i="1"/>
  <c r="I517" i="1"/>
  <c r="F524" i="1"/>
  <c r="G524" i="1"/>
  <c r="H524" i="1"/>
  <c r="I524" i="1"/>
  <c r="J524" i="1"/>
  <c r="K524" i="1"/>
  <c r="F529" i="1"/>
  <c r="G529" i="1"/>
  <c r="H529" i="1"/>
  <c r="I529" i="1"/>
  <c r="J529" i="1"/>
  <c r="K529" i="1"/>
  <c r="F534" i="1"/>
  <c r="G534" i="1"/>
  <c r="H534" i="1"/>
  <c r="I534" i="1"/>
  <c r="J534" i="1"/>
  <c r="K534" i="1"/>
  <c r="F539" i="1"/>
  <c r="G539" i="1"/>
  <c r="H539" i="1"/>
  <c r="I539" i="1"/>
  <c r="J539" i="1"/>
  <c r="K539" i="1"/>
  <c r="F544" i="1"/>
  <c r="G544" i="1"/>
  <c r="H544" i="1"/>
  <c r="I544" i="1"/>
  <c r="J544" i="1"/>
  <c r="K544" i="1"/>
  <c r="L557" i="1"/>
  <c r="L558" i="1"/>
  <c r="L559" i="1"/>
  <c r="F560" i="1"/>
  <c r="G560" i="1"/>
  <c r="H560" i="1"/>
  <c r="I560" i="1"/>
  <c r="J560" i="1"/>
  <c r="K560" i="1"/>
  <c r="L562" i="1"/>
  <c r="L563" i="1"/>
  <c r="L564" i="1"/>
  <c r="F565" i="1"/>
  <c r="G565" i="1"/>
  <c r="H565" i="1"/>
  <c r="I565" i="1"/>
  <c r="J565" i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H605" i="1"/>
  <c r="I605" i="1"/>
  <c r="J605" i="1"/>
  <c r="F614" i="1"/>
  <c r="G614" i="1"/>
  <c r="H614" i="1"/>
  <c r="I614" i="1"/>
  <c r="J614" i="1"/>
  <c r="K614" i="1"/>
  <c r="G622" i="1"/>
  <c r="G623" i="1"/>
  <c r="G624" i="1"/>
  <c r="H627" i="1"/>
  <c r="H628" i="1"/>
  <c r="H629" i="1"/>
  <c r="H630" i="1"/>
  <c r="H631" i="1"/>
  <c r="H633" i="1"/>
  <c r="H635" i="1"/>
  <c r="H636" i="1"/>
  <c r="H637" i="1"/>
  <c r="H638" i="1"/>
  <c r="G643" i="1"/>
  <c r="H643" i="1"/>
  <c r="G644" i="1"/>
  <c r="G650" i="1"/>
  <c r="G652" i="1"/>
  <c r="H652" i="1"/>
  <c r="G653" i="1"/>
  <c r="H653" i="1"/>
  <c r="G654" i="1"/>
  <c r="H654" i="1"/>
  <c r="H655" i="1"/>
  <c r="J655" i="1" s="1"/>
  <c r="I169" i="1"/>
  <c r="J140" i="1"/>
  <c r="H140" i="1"/>
  <c r="H192" i="1" l="1"/>
  <c r="G662" i="1"/>
  <c r="J552" i="1"/>
  <c r="G62" i="2"/>
  <c r="G63" i="2" s="1"/>
  <c r="C32" i="10"/>
  <c r="K605" i="1"/>
  <c r="G648" i="1" s="1"/>
  <c r="K551" i="1"/>
  <c r="F552" i="1"/>
  <c r="C35" i="10"/>
  <c r="E114" i="2"/>
  <c r="D17" i="13"/>
  <c r="C17" i="13" s="1"/>
  <c r="C118" i="2"/>
  <c r="F461" i="1"/>
  <c r="H639" i="1" s="1"/>
  <c r="J639" i="1" s="1"/>
  <c r="E120" i="2"/>
  <c r="E123" i="2"/>
  <c r="D91" i="2"/>
  <c r="L401" i="1"/>
  <c r="C139" i="2" s="1"/>
  <c r="D18" i="13"/>
  <c r="C18" i="13" s="1"/>
  <c r="C21" i="10"/>
  <c r="D7" i="13"/>
  <c r="C7" i="13" s="1"/>
  <c r="C17" i="10"/>
  <c r="D19" i="13"/>
  <c r="C19" i="13" s="1"/>
  <c r="K545" i="1"/>
  <c r="G545" i="1"/>
  <c r="L393" i="1"/>
  <c r="C138" i="2" s="1"/>
  <c r="K571" i="1"/>
  <c r="L560" i="1"/>
  <c r="G461" i="1"/>
  <c r="H640" i="1" s="1"/>
  <c r="J640" i="1" s="1"/>
  <c r="F192" i="1"/>
  <c r="G192" i="1"/>
  <c r="H571" i="1"/>
  <c r="L570" i="1"/>
  <c r="I571" i="1"/>
  <c r="L565" i="1"/>
  <c r="J571" i="1"/>
  <c r="L544" i="1"/>
  <c r="E142" i="2"/>
  <c r="G164" i="2"/>
  <c r="G161" i="2"/>
  <c r="G157" i="2"/>
  <c r="G156" i="2"/>
  <c r="G645" i="1"/>
  <c r="J645" i="1" s="1"/>
  <c r="J476" i="1"/>
  <c r="H626" i="1" s="1"/>
  <c r="C122" i="2"/>
  <c r="D14" i="13"/>
  <c r="C14" i="13" s="1"/>
  <c r="C121" i="2"/>
  <c r="J545" i="1"/>
  <c r="L309" i="1"/>
  <c r="H552" i="1"/>
  <c r="J641" i="1"/>
  <c r="I545" i="1"/>
  <c r="L534" i="1"/>
  <c r="H545" i="1"/>
  <c r="J634" i="1"/>
  <c r="C114" i="2"/>
  <c r="I552" i="1"/>
  <c r="K550" i="1"/>
  <c r="K549" i="1"/>
  <c r="C119" i="2"/>
  <c r="E122" i="2"/>
  <c r="K598" i="1"/>
  <c r="G647" i="1" s="1"/>
  <c r="F571" i="1"/>
  <c r="L524" i="1"/>
  <c r="I460" i="1"/>
  <c r="I452" i="1"/>
  <c r="I446" i="1"/>
  <c r="G642" i="1" s="1"/>
  <c r="L433" i="1"/>
  <c r="L427" i="1"/>
  <c r="L419" i="1"/>
  <c r="L256" i="1"/>
  <c r="I52" i="1"/>
  <c r="H620" i="1" s="1"/>
  <c r="J620" i="1" s="1"/>
  <c r="H662" i="1"/>
  <c r="H408" i="1"/>
  <c r="H644" i="1" s="1"/>
  <c r="J644" i="1" s="1"/>
  <c r="J643" i="1"/>
  <c r="K500" i="1"/>
  <c r="H476" i="1"/>
  <c r="H624" i="1" s="1"/>
  <c r="J624" i="1" s="1"/>
  <c r="I476" i="1"/>
  <c r="H625" i="1" s="1"/>
  <c r="I408" i="1"/>
  <c r="H52" i="1"/>
  <c r="H619" i="1" s="1"/>
  <c r="J619" i="1" s="1"/>
  <c r="D81" i="2"/>
  <c r="E78" i="2"/>
  <c r="E81" i="2" s="1"/>
  <c r="F78" i="2"/>
  <c r="F81" i="2" s="1"/>
  <c r="D62" i="2"/>
  <c r="D63" i="2" s="1"/>
  <c r="L229" i="1"/>
  <c r="G476" i="1"/>
  <c r="H623" i="1" s="1"/>
  <c r="J623" i="1" s="1"/>
  <c r="C110" i="2"/>
  <c r="D50" i="2"/>
  <c r="D18" i="2"/>
  <c r="F130" i="2"/>
  <c r="F144" i="2" s="1"/>
  <c r="F145" i="2" s="1"/>
  <c r="C29" i="10"/>
  <c r="G661" i="1"/>
  <c r="K338" i="1"/>
  <c r="K352" i="1" s="1"/>
  <c r="E121" i="2"/>
  <c r="C20" i="10"/>
  <c r="E118" i="2"/>
  <c r="A40" i="12"/>
  <c r="E112" i="2"/>
  <c r="E119" i="2"/>
  <c r="L328" i="1"/>
  <c r="E103" i="2"/>
  <c r="C91" i="2"/>
  <c r="C70" i="2"/>
  <c r="A31" i="12"/>
  <c r="E16" i="13"/>
  <c r="C16" i="13" s="1"/>
  <c r="E62" i="2"/>
  <c r="E63" i="2" s="1"/>
  <c r="D31" i="2"/>
  <c r="E31" i="2"/>
  <c r="F18" i="2"/>
  <c r="C16" i="10"/>
  <c r="G338" i="1"/>
  <c r="G352" i="1" s="1"/>
  <c r="H338" i="1"/>
  <c r="H352" i="1" s="1"/>
  <c r="F338" i="1"/>
  <c r="F352" i="1" s="1"/>
  <c r="A13" i="12"/>
  <c r="H25" i="13"/>
  <c r="C132" i="2"/>
  <c r="L270" i="1"/>
  <c r="C131" i="2"/>
  <c r="C11" i="10"/>
  <c r="G257" i="1"/>
  <c r="G271" i="1" s="1"/>
  <c r="F257" i="1"/>
  <c r="F271" i="1" s="1"/>
  <c r="K257" i="1"/>
  <c r="K271" i="1" s="1"/>
  <c r="C18" i="10"/>
  <c r="I257" i="1"/>
  <c r="I271" i="1" s="1"/>
  <c r="C123" i="2"/>
  <c r="G651" i="1"/>
  <c r="J651" i="1" s="1"/>
  <c r="L211" i="1"/>
  <c r="C125" i="2"/>
  <c r="C10" i="10"/>
  <c r="C12" i="10"/>
  <c r="H257" i="1"/>
  <c r="H271" i="1" s="1"/>
  <c r="C13" i="10"/>
  <c r="L247" i="1"/>
  <c r="D5" i="13"/>
  <c r="C5" i="13" s="1"/>
  <c r="J257" i="1"/>
  <c r="J271" i="1" s="1"/>
  <c r="C78" i="2"/>
  <c r="F112" i="1"/>
  <c r="J617" i="1"/>
  <c r="C18" i="2"/>
  <c r="H112" i="1"/>
  <c r="H193" i="1" s="1"/>
  <c r="G629" i="1" s="1"/>
  <c r="J629" i="1" s="1"/>
  <c r="D29" i="13"/>
  <c r="C29" i="13" s="1"/>
  <c r="E8" i="13"/>
  <c r="C8" i="13" s="1"/>
  <c r="D12" i="13"/>
  <c r="C12" i="13" s="1"/>
  <c r="L290" i="1"/>
  <c r="L539" i="1"/>
  <c r="K503" i="1"/>
  <c r="L382" i="1"/>
  <c r="G636" i="1" s="1"/>
  <c r="J636" i="1" s="1"/>
  <c r="E109" i="2"/>
  <c r="G81" i="2"/>
  <c r="C62" i="2"/>
  <c r="F661" i="1"/>
  <c r="C19" i="10"/>
  <c r="C15" i="10"/>
  <c r="G112" i="1"/>
  <c r="G552" i="1"/>
  <c r="E13" i="13"/>
  <c r="C13" i="13" s="1"/>
  <c r="D6" i="13"/>
  <c r="C6" i="13" s="1"/>
  <c r="D15" i="13"/>
  <c r="C15" i="13" s="1"/>
  <c r="G649" i="1"/>
  <c r="J649" i="1" s="1"/>
  <c r="J338" i="1"/>
  <c r="J352" i="1" s="1"/>
  <c r="E130" i="2"/>
  <c r="E144" i="2" s="1"/>
  <c r="D127" i="2"/>
  <c r="D128" i="2" s="1"/>
  <c r="D145" i="2" s="1"/>
  <c r="C124" i="2"/>
  <c r="C120" i="2"/>
  <c r="C111" i="2"/>
  <c r="C56" i="2"/>
  <c r="F662" i="1"/>
  <c r="F22" i="13"/>
  <c r="C22" i="13" s="1"/>
  <c r="L351" i="1"/>
  <c r="H647" i="1"/>
  <c r="G625" i="1"/>
  <c r="L614" i="1"/>
  <c r="L529" i="1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C50" i="2"/>
  <c r="F31" i="2"/>
  <c r="C31" i="2"/>
  <c r="E18" i="2"/>
  <c r="F50" i="2"/>
  <c r="C24" i="10"/>
  <c r="G31" i="13"/>
  <c r="G33" i="13" s="1"/>
  <c r="I338" i="1"/>
  <c r="I352" i="1" s="1"/>
  <c r="J650" i="1"/>
  <c r="L407" i="1"/>
  <c r="C140" i="2" s="1"/>
  <c r="I192" i="1"/>
  <c r="E91" i="2"/>
  <c r="J654" i="1"/>
  <c r="J653" i="1"/>
  <c r="G21" i="2"/>
  <c r="G31" i="2" s="1"/>
  <c r="J32" i="1"/>
  <c r="J434" i="1"/>
  <c r="F434" i="1"/>
  <c r="K434" i="1"/>
  <c r="G134" i="2" s="1"/>
  <c r="G144" i="2" s="1"/>
  <c r="G145" i="2" s="1"/>
  <c r="F31" i="13"/>
  <c r="J193" i="1"/>
  <c r="G646" i="1" s="1"/>
  <c r="G169" i="1"/>
  <c r="C39" i="10" s="1"/>
  <c r="G140" i="1"/>
  <c r="F140" i="1"/>
  <c r="J618" i="1"/>
  <c r="G42" i="2"/>
  <c r="G50" i="2" s="1"/>
  <c r="J51" i="1"/>
  <c r="G16" i="2"/>
  <c r="G18" i="2" s="1"/>
  <c r="J19" i="1"/>
  <c r="G621" i="1" s="1"/>
  <c r="F545" i="1"/>
  <c r="H434" i="1"/>
  <c r="D103" i="2"/>
  <c r="I140" i="1"/>
  <c r="A22" i="12"/>
  <c r="J652" i="1"/>
  <c r="G571" i="1"/>
  <c r="I434" i="1"/>
  <c r="G434" i="1"/>
  <c r="I663" i="1"/>
  <c r="C27" i="10"/>
  <c r="G635" i="1"/>
  <c r="J635" i="1" s="1"/>
  <c r="I662" i="1" l="1"/>
  <c r="L571" i="1"/>
  <c r="C81" i="2"/>
  <c r="C141" i="2"/>
  <c r="C144" i="2" s="1"/>
  <c r="F33" i="13"/>
  <c r="G51" i="2"/>
  <c r="K552" i="1"/>
  <c r="J647" i="1"/>
  <c r="I193" i="1"/>
  <c r="G630" i="1" s="1"/>
  <c r="J630" i="1" s="1"/>
  <c r="G660" i="1"/>
  <c r="G664" i="1" s="1"/>
  <c r="G667" i="1" s="1"/>
  <c r="F51" i="2"/>
  <c r="L434" i="1"/>
  <c r="G638" i="1" s="1"/>
  <c r="J638" i="1" s="1"/>
  <c r="F193" i="1"/>
  <c r="G627" i="1" s="1"/>
  <c r="J627" i="1" s="1"/>
  <c r="J625" i="1"/>
  <c r="E51" i="2"/>
  <c r="I461" i="1"/>
  <c r="H642" i="1" s="1"/>
  <c r="J642" i="1" s="1"/>
  <c r="G104" i="2"/>
  <c r="L545" i="1"/>
  <c r="E104" i="2"/>
  <c r="F104" i="2"/>
  <c r="C115" i="2"/>
  <c r="D104" i="2"/>
  <c r="D51" i="2"/>
  <c r="I661" i="1"/>
  <c r="E115" i="2"/>
  <c r="E128" i="2"/>
  <c r="D31" i="13"/>
  <c r="C31" i="13" s="1"/>
  <c r="C25" i="13"/>
  <c r="H33" i="13"/>
  <c r="L257" i="1"/>
  <c r="L271" i="1" s="1"/>
  <c r="F660" i="1"/>
  <c r="F664" i="1" s="1"/>
  <c r="C128" i="2"/>
  <c r="H648" i="1"/>
  <c r="J648" i="1" s="1"/>
  <c r="C28" i="10"/>
  <c r="D19" i="10" s="1"/>
  <c r="H660" i="1"/>
  <c r="H664" i="1" s="1"/>
  <c r="H672" i="1" s="1"/>
  <c r="C6" i="10" s="1"/>
  <c r="C63" i="2"/>
  <c r="C36" i="10"/>
  <c r="L338" i="1"/>
  <c r="L352" i="1" s="1"/>
  <c r="G633" i="1" s="1"/>
  <c r="J633" i="1" s="1"/>
  <c r="L408" i="1"/>
  <c r="E33" i="13"/>
  <c r="D35" i="13" s="1"/>
  <c r="C51" i="2"/>
  <c r="G631" i="1"/>
  <c r="J631" i="1" s="1"/>
  <c r="G193" i="1"/>
  <c r="G628" i="1" s="1"/>
  <c r="J628" i="1" s="1"/>
  <c r="G626" i="1"/>
  <c r="J626" i="1" s="1"/>
  <c r="J52" i="1"/>
  <c r="H621" i="1" s="1"/>
  <c r="J621" i="1" s="1"/>
  <c r="C38" i="10"/>
  <c r="C104" i="2" l="1"/>
  <c r="C145" i="2"/>
  <c r="G632" i="1"/>
  <c r="F472" i="1"/>
  <c r="G672" i="1"/>
  <c r="C5" i="10" s="1"/>
  <c r="E145" i="2"/>
  <c r="D33" i="13"/>
  <c r="D36" i="13" s="1"/>
  <c r="D13" i="10"/>
  <c r="D11" i="10"/>
  <c r="D21" i="10"/>
  <c r="D22" i="10"/>
  <c r="D27" i="10"/>
  <c r="D18" i="10"/>
  <c r="D17" i="10"/>
  <c r="D12" i="10"/>
  <c r="D24" i="10"/>
  <c r="D10" i="10"/>
  <c r="D26" i="10"/>
  <c r="C30" i="10"/>
  <c r="D16" i="10"/>
  <c r="D23" i="10"/>
  <c r="D20" i="10"/>
  <c r="D15" i="10"/>
  <c r="D25" i="10"/>
  <c r="I660" i="1"/>
  <c r="I664" i="1" s="1"/>
  <c r="I672" i="1" s="1"/>
  <c r="C7" i="10" s="1"/>
  <c r="H667" i="1"/>
  <c r="G637" i="1"/>
  <c r="J637" i="1" s="1"/>
  <c r="H646" i="1"/>
  <c r="J646" i="1" s="1"/>
  <c r="F672" i="1"/>
  <c r="C4" i="10" s="1"/>
  <c r="F667" i="1"/>
  <c r="C41" i="10"/>
  <c r="D38" i="10" s="1"/>
  <c r="F474" i="1" l="1"/>
  <c r="F476" i="1" s="1"/>
  <c r="H622" i="1" s="1"/>
  <c r="J622" i="1" s="1"/>
  <c r="H632" i="1"/>
  <c r="J632" i="1" s="1"/>
  <c r="D28" i="10"/>
  <c r="I667" i="1"/>
  <c r="D37" i="10"/>
  <c r="D36" i="10"/>
  <c r="D35" i="10"/>
  <c r="D40" i="10"/>
  <c r="D39" i="10"/>
  <c r="H656" i="1" l="1"/>
  <c r="D41" i="10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<sst xmlns="http://schemas.openxmlformats.org/spreadsheetml/2006/main" count="3966" uniqueCount="922">
  <si>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</si>
  <si>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</si>
  <si>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</si>
  <si>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</si>
  <si>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</si>
  <si>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</si>
  <si>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</si>
  <si>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</si>
  <si>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</si>
  <si>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</si>
  <si>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</si>
  <si>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</si>
  <si>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</si>
  <si>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</si>
  <si>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</si>
  <si>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</si>
  <si>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</si>
  <si>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</si>
  <si>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</si>
  <si>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</si>
  <si>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</si>
  <si>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</si>
  <si>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</si>
  <si>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</si>
  <si>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</si>
  <si>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</si>
  <si>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</si>
  <si>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</si>
  <si>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</si>
  <si>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</si>
  <si>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</si>
  <si>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</si>
  <si>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</si>
  <si>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</si>
  <si>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</si>
  <si>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</si>
  <si>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</si>
  <si>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</si>
  <si>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</si>
  <si>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</si>
  <si>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</si>
  <si>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</si>
  <si>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</si>
  <si>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</si>
  <si>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</si>
  <si>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</si>
  <si>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</si>
  <si>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</si>
  <si>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</si>
  <si>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</si>
  <si>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</si>
  <si>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</si>
  <si>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</si>
  <si>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</si>
  <si>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</si>
  <si>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</si>
  <si>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</si>
  <si>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</si>
  <si>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</si>
  <si>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</si>
  <si>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</si>
  <si>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</si>
  <si>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</si>
  <si>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</si>
  <si>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</si>
  <si>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</si>
  <si>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</si>
  <si>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</si>
  <si>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</si>
  <si>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</si>
  <si>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</si>
  <si>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</si>
  <si>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</si>
  <si>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</si>
  <si>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</si>
  <si>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</si>
  <si>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</si>
  <si>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</si>
  <si>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</si>
  <si>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</si>
  <si>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</si>
  <si>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</si>
  <si>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</si>
  <si>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</si>
  <si>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</si>
  <si>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</si>
  <si>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</si>
  <si>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</si>
  <si>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</si>
  <si>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</si>
  <si>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</si>
  <si>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</si>
  <si>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</si>
  <si>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</si>
  <si>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</si>
  <si>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</si>
  <si>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</si>
  <si>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</si>
  <si>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</si>
  <si>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</si>
  <si>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</si>
  <si>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</si>
  <si>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</si>
  <si>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</si>
  <si>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</si>
  <si>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</si>
  <si>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</si>
  <si>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</si>
  <si>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</si>
  <si>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</si>
  <si>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</si>
  <si>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</si>
  <si>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</si>
  <si>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</si>
  <si>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</si>
  <si>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</si>
  <si>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</si>
  <si>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</si>
  <si>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</si>
  <si>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</si>
  <si>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</si>
  <si>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</si>
  <si>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</si>
  <si>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</si>
  <si>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</si>
  <si>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</si>
  <si>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</si>
  <si>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</si>
  <si>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</si>
  <si>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</si>
  <si>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</si>
  <si>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</si>
  <si>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</si>
  <si>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</si>
  <si>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</si>
  <si>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</si>
  <si>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</si>
  <si>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</si>
  <si>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</si>
  <si>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</si>
  <si>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</si>
  <si>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</si>
  <si>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</si>
  <si>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</si>
  <si>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</si>
  <si>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</si>
  <si>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</si>
  <si>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</si>
  <si>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</si>
  <si>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</si>
  <si>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</si>
  <si>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</si>
  <si>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</si>
  <si>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</si>
  <si>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</si>
  <si>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</si>
  <si>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</si>
  <si>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</si>
  <si>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</si>
  <si>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</si>
  <si>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</si>
  <si>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</si>
  <si>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</si>
  <si>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</si>
  <si>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</si>
  <si>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</si>
  <si>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</si>
  <si>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</si>
  <si>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</si>
  <si>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</si>
  <si>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</si>
  <si>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</si>
  <si>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</si>
  <si>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</si>
  <si>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</si>
  <si>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</si>
  <si>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</si>
  <si>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</si>
  <si>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</si>
  <si>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</si>
  <si>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</si>
  <si>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</si>
  <si>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</si>
  <si>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</si>
  <si>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</si>
  <si>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</si>
  <si>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</si>
  <si>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</si>
  <si>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</si>
  <si>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</si>
  <si>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</si>
  <si>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</si>
  <si>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</si>
  <si>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</si>
  <si>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</si>
  <si>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</si>
  <si>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</si>
  <si>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</si>
  <si>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</si>
  <si>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</si>
  <si>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</si>
  <si>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</si>
  <si>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</si>
  <si>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</si>
  <si>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</si>
  <si>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</si>
  <si>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</si>
  <si>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</si>
  <si>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</si>
  <si>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</si>
  <si>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</si>
  <si>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</si>
  <si>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</si>
  <si>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</si>
  <si>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</si>
  <si>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</si>
  <si>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</si>
  <si>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</si>
  <si>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</si>
  <si>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</si>
  <si>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</si>
  <si>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</si>
  <si>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</si>
  <si>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</si>
  <si>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</si>
  <si>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</si>
  <si>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</si>
  <si>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</si>
  <si>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</si>
  <si>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</si>
  <si>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</si>
  <si>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</si>
  <si>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</si>
  <si>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</si>
  <si>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</si>
  <si>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</si>
  <si>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</si>
  <si>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</si>
  <si>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</si>
  <si>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</si>
  <si>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</si>
  <si>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</si>
  <si>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</si>
  <si>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</si>
  <si>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</si>
  <si>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</si>
  <si>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</si>
  <si>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</si>
  <si>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</si>
  <si>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</si>
  <si>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</si>
  <si>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</si>
  <si>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</si>
  <si>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</si>
  <si>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</si>
  <si>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</si>
  <si>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</si>
  <si>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</si>
  <si>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</si>
  <si>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</si>
  <si>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</si>
  <si>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</si>
  <si>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</si>
  <si>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</si>
  <si>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</si>
  <si>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</si>
  <si>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</si>
  <si>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</si>
  <si>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</si>
  <si>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</si>
  <si>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</si>
  <si>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</si>
  <si>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</si>
  <si>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</si>
  <si>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</si>
  <si>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</si>
  <si>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</si>
  <si>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</si>
  <si>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</si>
  <si>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</si>
  <si>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</si>
  <si>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</si>
  <si>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</si>
  <si>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</si>
  <si>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</si>
  <si>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</si>
  <si>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</si>
  <si>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</si>
  <si>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</si>
  <si>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</si>
  <si>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</si>
  <si>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</si>
  <si>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</si>
  <si>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</si>
  <si>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</si>
  <si>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</si>
  <si>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</si>
  <si>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</si>
  <si>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</si>
  <si>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</si>
  <si>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</si>
  <si>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</si>
  <si>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</si>
  <si>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</si>
  <si>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</si>
  <si>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</si>
  <si>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</si>
  <si>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</si>
  <si>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</si>
  <si>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</si>
  <si>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</si>
  <si>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</si>
  <si>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</si>
  <si>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</si>
  <si>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</si>
  <si>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</si>
  <si>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</si>
  <si>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</si>
  <si>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</si>
  <si>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</si>
  <si>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</si>
  <si>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</si>
  <si>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</si>
  <si>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</si>
  <si>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</si>
  <si>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</si>
  <si>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</si>
  <si>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</si>
  <si>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</si>
  <si>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</si>
  <si>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</si>
  <si>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</si>
  <si>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</si>
  <si>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</si>
  <si>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</si>
  <si>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</si>
  <si>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</si>
  <si>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</si>
  <si>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</si>
  <si>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</si>
  <si>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</si>
  <si>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</si>
  <si>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</si>
  <si>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</si>
  <si>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</si>
  <si>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</si>
  <si>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</si>
  <si>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</si>
  <si>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</si>
  <si>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</si>
  <si>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</si>
  <si>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</si>
  <si>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</si>
  <si>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</si>
  <si>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</si>
  <si>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</si>
  <si>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</si>
  <si>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</si>
  <si>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</si>
  <si>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</si>
  <si>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</si>
  <si>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</si>
  <si>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</si>
  <si>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</si>
  <si>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</si>
  <si>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</si>
  <si>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</si>
  <si>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</si>
  <si>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</si>
  <si>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</si>
  <si>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</si>
  <si>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</si>
  <si>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</si>
  <si>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</si>
  <si>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</si>
  <si>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</si>
  <si>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</si>
  <si>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</si>
  <si>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</si>
  <si>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</si>
  <si>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</si>
  <si>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</si>
  <si>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</si>
  <si>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</si>
  <si>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</si>
  <si>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</si>
  <si>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</si>
  <si>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</si>
  <si>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</si>
  <si>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</si>
  <si>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</si>
  <si>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</si>
  <si>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</si>
  <si>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</si>
  <si>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</si>
  <si>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</si>
  <si>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</si>
  <si>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</si>
  <si>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</si>
  <si>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</si>
  <si>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</si>
  <si>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</si>
  <si>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</si>
  <si>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</si>
  <si>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</si>
  <si>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</si>
  <si>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</si>
  <si>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</si>
  <si>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</si>
  <si>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</si>
  <si>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</si>
  <si>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</si>
  <si>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</si>
  <si>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</si>
  <si>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</si>
  <si>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</si>
  <si>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</si>
  <si>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</si>
  <si>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</si>
  <si>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</si>
  <si>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</si>
  <si>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</si>
  <si>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</si>
  <si>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</si>
  <si>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</si>
  <si>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</si>
  <si>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</si>
  <si>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</si>
  <si>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</si>
  <si>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</si>
  <si>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</si>
  <si>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</si>
  <si>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</si>
  <si>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</si>
  <si>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</si>
  <si>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</si>
  <si>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</si>
  <si>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</si>
  <si>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</si>
  <si>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</si>
  <si>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</si>
  <si>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</si>
  <si>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</si>
  <si>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</si>
  <si>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</si>
  <si>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</si>
  <si>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</si>
  <si>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</si>
  <si>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</si>
  <si>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</si>
  <si>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</si>
  <si>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</si>
  <si>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</si>
  <si>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</si>
  <si>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</si>
  <si>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</si>
  <si>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</si>
  <si>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</si>
  <si>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</si>
  <si>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</si>
  <si>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</si>
  <si>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</si>
  <si>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</si>
  <si>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</si>
  <si>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</si>
  <si>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</si>
  <si>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</si>
  <si>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</si>
  <si>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</si>
  <si>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</si>
  <si>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</si>
  <si>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</si>
  <si>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</si>
  <si>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</si>
  <si>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</si>
  <si>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</si>
  <si>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</si>
  <si>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</si>
  <si>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</si>
  <si>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</si>
  <si>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</si>
  <si>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</si>
  <si>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</si>
  <si>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</si>
  <si>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</si>
  <si>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</si>
  <si>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</si>
  <si>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</si>
  <si>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</si>
  <si>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</si>
  <si>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</si>
  <si>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</si>
  <si>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</si>
  <si>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</si>
  <si>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</si>
  <si>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</si>
  <si>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</si>
  <si>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</si>
  <si>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</si>
  <si>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</si>
  <si>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</si>
  <si>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</si>
  <si>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</si>
  <si>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</si>
  <si>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</si>
  <si>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</si>
  <si>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</si>
  <si>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</si>
  <si>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</si>
  <si>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</si>
  <si>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</si>
  <si>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</si>
  <si>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</si>
  <si>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</si>
  <si>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</si>
  <si>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</si>
  <si>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</si>
  <si>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</si>
  <si>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</si>
  <si>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</si>
  <si>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</si>
  <si>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</si>
  <si>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</si>
  <si>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</si>
  <si>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</si>
  <si>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</si>
  <si>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</si>
  <si>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</si>
  <si>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</si>
  <si>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</si>
  <si>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</si>
  <si>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</si>
  <si>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</si>
  <si>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</si>
  <si>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</si>
  <si>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</si>
  <si>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</si>
  <si>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</si>
  <si>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</si>
  <si>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</si>
  <si>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</si>
  <si>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</si>
  <si>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</si>
  <si>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</si>
  <si>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</si>
  <si>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</si>
  <si>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</si>
  <si>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</si>
  <si>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</si>
  <si>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</si>
  <si>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</si>
  <si>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</si>
  <si>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</si>
  <si>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</si>
  <si>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</si>
  <si>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</si>
  <si>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</si>
  <si>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</si>
  <si>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</si>
  <si>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</si>
  <si>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</si>
  <si>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</si>
  <si>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</si>
  <si>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</si>
  <si>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</si>
  <si>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</si>
  <si>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</si>
  <si>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</si>
  <si>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</si>
  <si>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</si>
  <si>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</si>
  <si>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</si>
  <si>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</si>
  <si>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</si>
  <si>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</si>
  <si>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</si>
  <si>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</si>
  <si>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</si>
  <si>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</si>
  <si>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</si>
  <si>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</si>
  <si>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</si>
  <si>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</si>
  <si>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</si>
  <si>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</si>
  <si>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</si>
  <si>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</si>
  <si>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</si>
  <si>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</si>
  <si>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</si>
  <si>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</si>
  <si>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</si>
  <si>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</si>
  <si>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</si>
  <si>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</si>
  <si>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</si>
  <si>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</si>
  <si>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</si>
  <si>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</si>
  <si>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</si>
  <si>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</si>
  <si>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</si>
  <si>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</si>
  <si>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</si>
  <si>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</si>
  <si>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</si>
  <si>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</si>
  <si>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</si>
  <si>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</si>
  <si>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</si>
  <si>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</si>
  <si>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</si>
  <si>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</si>
  <si>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</si>
  <si>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</si>
  <si>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</si>
  <si>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</si>
  <si>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</si>
  <si>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</si>
  <si>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</si>
  <si>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</si>
  <si>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</si>
  <si>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</si>
  <si>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</si>
  <si>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</si>
  <si>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</si>
  <si>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</si>
  <si>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</si>
  <si>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</si>
  <si>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</si>
  <si>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</si>
  <si>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</si>
  <si>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</si>
  <si>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</si>
  <si>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</si>
  <si>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</si>
  <si>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</si>
  <si>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</si>
  <si>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</si>
  <si>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</si>
  <si>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</si>
  <si>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</si>
  <si>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</si>
  <si>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</si>
  <si>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</si>
  <si>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</si>
  <si>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</si>
  <si>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</si>
  <si>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</si>
  <si>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</si>
  <si>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</si>
  <si>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</si>
  <si>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</si>
  <si>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</si>
  <si>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</si>
  <si>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</si>
  <si>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</si>
  <si>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</si>
  <si>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</si>
  <si>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</si>
  <si>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</si>
  <si>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</si>
  <si>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</si>
  <si>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</si>
  <si>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</si>
  <si>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</si>
  <si>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</si>
  <si>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</si>
  <si>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</si>
  <si>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</si>
  <si>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</si>
  <si>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</si>
  <si>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</si>
  <si>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</si>
  <si>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</si>
  <si>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</si>
  <si>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</si>
  <si>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</si>
  <si>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</si>
  <si>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</si>
  <si>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</si>
  <si>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</si>
  <si>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</si>
  <si>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</si>
  <si>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</si>
  <si>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</si>
  <si>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</si>
  <si>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</si>
  <si>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</si>
  <si>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</si>
  <si>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</si>
  <si>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</si>
  <si>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</si>
  <si>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</si>
  <si>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</si>
  <si>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</si>
  <si>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</si>
  <si>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</si>
  <si>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</si>
  <si>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</si>
  <si>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</si>
  <si>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</si>
  <si>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</si>
  <si>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</si>
  <si>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</si>
  <si>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</si>
  <si>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</si>
  <si>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</si>
  <si>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</si>
  <si>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</si>
  <si>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</si>
  <si>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</si>
  <si>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</si>
  <si>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</si>
  <si>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</si>
  <si>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</si>
  <si>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</si>
  <si>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</si>
  <si>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</si>
  <si>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</si>
  <si>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</si>
  <si>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</si>
  <si>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</si>
  <si>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</si>
  <si>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</si>
  <si>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</si>
  <si>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</si>
  <si>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</si>
  <si>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</si>
  <si>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</si>
  <si>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</si>
  <si>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</si>
  <si>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</si>
  <si>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</si>
  <si>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</si>
  <si>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</si>
  <si>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</si>
  <si>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</si>
  <si>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</si>
  <si>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</si>
  <si>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</si>
  <si>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</si>
  <si>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</si>
  <si>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</si>
  <si>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</si>
  <si>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</si>
  <si>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</si>
  <si>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</si>
  <si>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</si>
  <si>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</si>
  <si>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</si>
  <si>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</si>
  <si>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</si>
  <si>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</si>
  <si>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</si>
  <si>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</si>
  <si>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</si>
  <si>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</si>
  <si>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</si>
  <si>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</si>
  <si>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</si>
  <si>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</si>
  <si>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</si>
  <si>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</si>
  <si>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</si>
  <si>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</si>
  <si>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</si>
  <si>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</si>
  <si>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</si>
  <si>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</si>
  <si>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</si>
  <si>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</si>
  <si>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</si>
  <si>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</si>
  <si>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</si>
  <si>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</si>
  <si>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</si>
  <si>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</si>
  <si>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</si>
  <si>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</si>
  <si>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</si>
  <si>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</si>
  <si>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</si>
  <si>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</si>
  <si>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</si>
  <si>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</si>
  <si>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</si>
  <si>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</si>
  <si>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</si>
  <si>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</si>
  <si>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</si>
  <si>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</si>
  <si>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</si>
  <si>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</si>
  <si>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</si>
  <si>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</si>
  <si>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</si>
  <si>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</si>
  <si>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</si>
  <si>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</si>
  <si>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</si>
  <si>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</si>
  <si>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</si>
  <si>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</si>
  <si>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</si>
  <si>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</si>
  <si>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</si>
  <si>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</si>
  <si>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</si>
  <si>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</si>
  <si>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</si>
  <si>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</si>
  <si>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</si>
  <si>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</si>
  <si>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</si>
  <si>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</si>
  <si>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</si>
  <si>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</si>
  <si>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</si>
  <si>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</si>
  <si>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</si>
  <si>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</si>
  <si>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</si>
  <si>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</si>
  <si>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</si>
  <si>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</si>
  <si>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</si>
  <si>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</si>
  <si>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</si>
  <si>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</si>
  <si>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</si>
  <si>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</si>
  <si>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</si>
  <si>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</si>
  <si>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</si>
  <si>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</si>
  <si>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</si>
  <si>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</si>
  <si>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</si>
  <si>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</si>
  <si>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</si>
  <si>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</si>
  <si>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</si>
  <si>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</si>
  <si>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</si>
  <si>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</si>
  <si>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</si>
  <si>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</si>
  <si>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</si>
  <si>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</si>
  <si>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</si>
  <si>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</si>
  <si>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</si>
  <si>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</si>
  <si>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</si>
  <si>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</si>
  <si>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</si>
  <si>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</si>
  <si>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</si>
  <si>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</si>
  <si>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</si>
  <si>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</si>
  <si>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</si>
  <si>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</si>
  <si>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</si>
  <si>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</si>
  <si>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</si>
  <si>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</si>
  <si>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</si>
  <si>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</si>
  <si>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</si>
  <si>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</si>
  <si>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</si>
  <si>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</si>
  <si>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</si>
  <si>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</si>
  <si>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</si>
  <si>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</si>
  <si>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</si>
  <si>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</si>
  <si>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</si>
  <si>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</si>
  <si>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</si>
  <si>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</si>
  <si>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</si>
  <si>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</si>
  <si>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</si>
  <si>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</si>
  <si>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</si>
  <si>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</si>
  <si>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</si>
  <si>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</si>
  <si>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</si>
  <si>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</si>
  <si>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</si>
  <si>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</si>
  <si>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22. Revenue In Lieu of Taxes</t>
  </si>
  <si>
    <t>DOE 25  2017-2018</t>
  </si>
  <si>
    <t xml:space="preserve">  SPECIAL EDUCATION AID</t>
  </si>
  <si>
    <t>17. Special Education Aid</t>
  </si>
  <si>
    <t xml:space="preserve">  KINDERGARTEN-KENO AID</t>
  </si>
  <si>
    <t>16.  Kindergarten Keno Aid</t>
  </si>
  <si>
    <r>
      <t xml:space="preserve">  VOCATIONAL EDUCATION </t>
    </r>
    <r>
      <rPr>
        <sz val="8"/>
        <color theme="1"/>
        <rFont val="Arial Rounded MT Bold"/>
        <family val="2"/>
      </rPr>
      <t>(ROBOTICS)</t>
    </r>
  </si>
  <si>
    <t>TOTAL FUND EQUITY, JULY 1, 2017</t>
  </si>
  <si>
    <t xml:space="preserve">Total Fund Equity June 30, 2018**** </t>
  </si>
  <si>
    <t>For the Fiscal Year Ending on June 30, 2018</t>
  </si>
  <si>
    <t>For Fiscal Year Ending June 30, 2018</t>
  </si>
  <si>
    <t xml:space="preserve">             2017-2018</t>
  </si>
  <si>
    <t>Indirect Cost Rate to be determine at later date for FY2019-2020</t>
  </si>
  <si>
    <t>2017-2018 Current Expenditure Per Pupil(in dollars)</t>
  </si>
  <si>
    <t>2017-18-Current Expenditure Per Pupil</t>
  </si>
  <si>
    <t>2017-18-Total Revenues</t>
  </si>
  <si>
    <t xml:space="preserve">and is the difference </t>
  </si>
  <si>
    <t>H469 is diff in rev &amp; exp in revolving fund balance 300</t>
  </si>
  <si>
    <t>J469: addition to school district trust funds not previously reported</t>
  </si>
  <si>
    <t>Refinanced 1/15/15</t>
  </si>
  <si>
    <t>7/2025</t>
  </si>
  <si>
    <t>7/2008</t>
  </si>
  <si>
    <t>8/2018</t>
  </si>
  <si>
    <t>8/2017</t>
  </si>
  <si>
    <t>8/2037</t>
  </si>
  <si>
    <t>Windham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</si>
</sst>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9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  <font>
      <sz val="8"/>
      <color theme="1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3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0" fontId="0" fillId="0" borderId="2" xfId="0" applyBorder="1" applyProtection="1">
      <protection locked="0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>
    <tabColor indexed="56"/>
  </sheetPr>
  <dimension ref="A1:AQ676"/>
  <sheetViews>
    <sheetView tabSelected="1" zoomScaleNormal="100" workbookViewId="0">
      <pane xSplit="5" ySplit="3" topLeftCell="F637" activePane="bottomRight" state="frozen"/>
      <selection pane="topRight" activeCell="F1" sqref="F1"/>
      <selection pane="bottomLeft" activeCell="A4" sqref="A4"/>
      <selection pane="bottomRight" activeCell="H671" sqref="H671"/>
    </sheetView>
  </sheetViews>
  <sheetFormatPr defaultRowHeight="12.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.2" customHeight="1" x14ac:dyDescent="0.15">
      <c r="A1" s="1" t="s">
        <v>259</v>
      </c>
      <c r="B1" s="2" t="s">
        <v>260</v>
      </c>
      <c r="C1" s="2" t="s">
        <v>261</v>
      </c>
      <c r="D1" s="2"/>
      <c r="E1" s="2"/>
      <c r="F1" s="13"/>
      <c r="G1" s="13"/>
      <c r="H1" s="15" t="s">
        <v>897</v>
      </c>
      <c r="I1" s="13"/>
      <c r="J1" s="13"/>
      <c r="K1" s="13"/>
      <c r="L1" s="13"/>
    </row>
    <row r="2" spans="1:14" s="3" customFormat="1" ht="12.2" customHeight="1" x14ac:dyDescent="0.2">
      <c r="A2" s="176" t="s">
        <v>921</v>
      </c>
      <c r="B2" s="21">
        <v>575</v>
      </c>
      <c r="C2" s="21">
        <v>575</v>
      </c>
      <c r="D2" s="21"/>
      <c r="E2" s="6" t="s">
        <v>676</v>
      </c>
      <c r="F2" s="15" t="s">
        <v>262</v>
      </c>
      <c r="G2" s="15" t="s">
        <v>263</v>
      </c>
      <c r="H2" s="15" t="s">
        <v>264</v>
      </c>
      <c r="I2" s="15" t="s">
        <v>265</v>
      </c>
      <c r="J2" s="15" t="s">
        <v>266</v>
      </c>
      <c r="K2" s="15" t="s">
        <v>267</v>
      </c>
      <c r="L2" s="15" t="s">
        <v>686</v>
      </c>
    </row>
    <row r="3" spans="1:14" s="3" customFormat="1" ht="12.2" customHeight="1" x14ac:dyDescent="0.15">
      <c r="A3" s="5" t="s">
        <v>268</v>
      </c>
      <c r="B3" s="6" t="s">
        <v>269</v>
      </c>
      <c r="C3" s="6" t="s">
        <v>270</v>
      </c>
      <c r="D3" s="6"/>
      <c r="E3" s="23" t="s">
        <v>400</v>
      </c>
    </row>
    <row r="4" spans="1:14" s="3" customFormat="1" ht="12.2" customHeight="1" x14ac:dyDescent="0.15">
      <c r="A4" s="1" t="s">
        <v>276</v>
      </c>
      <c r="K4" s="13"/>
      <c r="L4" s="13"/>
    </row>
    <row r="5" spans="1:14" s="3" customFormat="1" ht="12.2" customHeight="1" x14ac:dyDescent="0.15">
      <c r="A5" s="1" t="s">
        <v>277</v>
      </c>
      <c r="F5" s="23" t="s">
        <v>271</v>
      </c>
      <c r="G5" s="23" t="s">
        <v>272</v>
      </c>
      <c r="H5" s="23" t="s">
        <v>273</v>
      </c>
      <c r="I5" s="23" t="s">
        <v>274</v>
      </c>
      <c r="J5" s="23" t="s">
        <v>275</v>
      </c>
      <c r="K5" s="13"/>
      <c r="L5" s="13"/>
    </row>
    <row r="6" spans="1:14" s="3" customFormat="1" ht="12.2" customHeight="1" x14ac:dyDescent="0.15">
      <c r="B6" s="7"/>
      <c r="C6" s="7"/>
      <c r="D6" s="7"/>
      <c r="F6" s="225" t="s">
        <v>278</v>
      </c>
      <c r="G6" s="225" t="s">
        <v>279</v>
      </c>
      <c r="H6" s="225" t="s">
        <v>280</v>
      </c>
      <c r="I6" s="225" t="s">
        <v>281</v>
      </c>
      <c r="J6" s="225" t="s">
        <v>282</v>
      </c>
      <c r="K6" s="13"/>
      <c r="L6" s="13"/>
      <c r="M6" s="8"/>
    </row>
    <row r="7" spans="1:14" s="3" customFormat="1" ht="12.2" customHeight="1" x14ac:dyDescent="0.15">
      <c r="A7" s="1" t="s">
        <v>283</v>
      </c>
      <c r="B7" s="7"/>
      <c r="C7" s="7"/>
      <c r="D7" s="7"/>
      <c r="E7" s="7"/>
      <c r="F7" s="225"/>
      <c r="G7" s="226"/>
      <c r="H7" s="225" t="s">
        <v>766</v>
      </c>
      <c r="I7" s="226"/>
      <c r="J7" s="226"/>
      <c r="K7" s="13"/>
      <c r="L7" s="13"/>
      <c r="M7" s="8"/>
    </row>
    <row r="8" spans="1:14" s="3" customFormat="1" ht="12.2" customHeight="1" x14ac:dyDescent="0.15">
      <c r="A8" s="29" t="s">
        <v>401</v>
      </c>
      <c r="B8" s="7"/>
      <c r="C8" s="7"/>
      <c r="D8" s="7"/>
      <c r="E8" s="7"/>
      <c r="F8" s="24" t="s">
        <v>286</v>
      </c>
      <c r="G8" s="24" t="s">
        <v>286</v>
      </c>
      <c r="H8" s="24" t="s">
        <v>286</v>
      </c>
      <c r="I8" s="24" t="s">
        <v>286</v>
      </c>
      <c r="J8" s="24" t="s">
        <v>286</v>
      </c>
      <c r="K8" s="24" t="s">
        <v>286</v>
      </c>
      <c r="L8" s="24" t="s">
        <v>286</v>
      </c>
      <c r="M8" s="8"/>
    </row>
    <row r="9" spans="1:14" s="3" customFormat="1" ht="12.2" customHeight="1" x14ac:dyDescent="0.15">
      <c r="A9" s="1" t="s">
        <v>559</v>
      </c>
      <c r="B9" s="2" t="s">
        <v>287</v>
      </c>
      <c r="C9" s="6">
        <v>1</v>
      </c>
      <c r="D9" s="2" t="s">
        <v>426</v>
      </c>
      <c r="E9" s="6">
        <v>100</v>
      </c>
      <c r="F9" s="18">
        <v>2960282.45</v>
      </c>
      <c r="G9" s="18"/>
      <c r="H9" s="18"/>
      <c r="I9" s="18">
        <v>1374111.81</v>
      </c>
      <c r="J9" s="67">
        <f>SUM(I439)</f>
        <v>1004049</v>
      </c>
      <c r="K9" s="24" t="s">
        <v>286</v>
      </c>
      <c r="L9" s="24" t="s">
        <v>286</v>
      </c>
      <c r="M9" s="8"/>
      <c r="N9" s="272"/>
    </row>
    <row r="10" spans="1:14" s="3" customFormat="1" ht="12.2" customHeight="1" x14ac:dyDescent="0.15">
      <c r="A10" s="1" t="s">
        <v>560</v>
      </c>
      <c r="B10" s="2" t="s">
        <v>287</v>
      </c>
      <c r="C10" s="6">
        <v>2</v>
      </c>
      <c r="D10" s="2" t="s">
        <v>426</v>
      </c>
      <c r="E10" s="6">
        <v>110</v>
      </c>
      <c r="F10" s="18"/>
      <c r="G10" s="18"/>
      <c r="H10" s="18"/>
      <c r="I10" s="18">
        <v>25657184.620000001</v>
      </c>
      <c r="J10" s="67">
        <f>SUM(I440)</f>
        <v>0</v>
      </c>
      <c r="K10" s="24" t="s">
        <v>286</v>
      </c>
      <c r="L10" s="24" t="s">
        <v>286</v>
      </c>
      <c r="M10" s="8"/>
      <c r="N10" s="272"/>
    </row>
    <row r="11" spans="1:14" s="3" customFormat="1" ht="12.2" customHeight="1" x14ac:dyDescent="0.15">
      <c r="A11" s="1" t="s">
        <v>561</v>
      </c>
      <c r="B11" s="2" t="s">
        <v>287</v>
      </c>
      <c r="C11" s="6">
        <v>3</v>
      </c>
      <c r="D11" s="2" t="s">
        <v>426</v>
      </c>
      <c r="E11" s="6">
        <v>120</v>
      </c>
      <c r="F11" s="18"/>
      <c r="G11" s="24" t="s">
        <v>286</v>
      </c>
      <c r="H11" s="24" t="s">
        <v>286</v>
      </c>
      <c r="I11" s="24" t="s">
        <v>286</v>
      </c>
      <c r="J11" s="24" t="s">
        <v>286</v>
      </c>
      <c r="K11" s="24" t="s">
        <v>286</v>
      </c>
      <c r="L11" s="24" t="s">
        <v>286</v>
      </c>
      <c r="M11" s="8"/>
      <c r="N11" s="272"/>
    </row>
    <row r="12" spans="1:14" s="3" customFormat="1" ht="12.2" customHeight="1" x14ac:dyDescent="0.15">
      <c r="A12" s="1" t="s">
        <v>562</v>
      </c>
      <c r="B12" s="2" t="s">
        <v>287</v>
      </c>
      <c r="C12" s="6">
        <v>4</v>
      </c>
      <c r="D12" s="2" t="s">
        <v>426</v>
      </c>
      <c r="E12" s="6">
        <v>130</v>
      </c>
      <c r="F12" s="18"/>
      <c r="G12" s="18">
        <v>232173.95</v>
      </c>
      <c r="H12" s="18">
        <v>123728.07</v>
      </c>
      <c r="I12" s="18"/>
      <c r="J12" s="67">
        <f>SUM(I441)</f>
        <v>0</v>
      </c>
      <c r="K12" s="24" t="s">
        <v>286</v>
      </c>
      <c r="L12" s="24" t="s">
        <v>286</v>
      </c>
      <c r="M12" s="8"/>
      <c r="N12" s="272"/>
    </row>
    <row r="13" spans="1:14" s="3" customFormat="1" ht="12.2" customHeight="1" x14ac:dyDescent="0.15">
      <c r="A13" s="1" t="s">
        <v>602</v>
      </c>
      <c r="B13" s="2" t="s">
        <v>287</v>
      </c>
      <c r="C13" s="6">
        <v>5</v>
      </c>
      <c r="D13" s="2" t="s">
        <v>426</v>
      </c>
      <c r="E13" s="6">
        <v>140</v>
      </c>
      <c r="F13" s="18">
        <v>40241.949999999997</v>
      </c>
      <c r="G13" s="18">
        <v>7475.11</v>
      </c>
      <c r="H13" s="18">
        <v>147932.43</v>
      </c>
      <c r="I13" s="18"/>
      <c r="J13" s="67">
        <f>SUM(I442)</f>
        <v>0</v>
      </c>
      <c r="K13" s="24" t="s">
        <v>286</v>
      </c>
      <c r="L13" s="24" t="s">
        <v>286</v>
      </c>
      <c r="M13" s="8"/>
      <c r="N13" s="272"/>
    </row>
    <row r="14" spans="1:14" s="3" customFormat="1" ht="12.2" customHeight="1" x14ac:dyDescent="0.15">
      <c r="A14" s="1" t="s">
        <v>563</v>
      </c>
      <c r="B14" s="2" t="s">
        <v>287</v>
      </c>
      <c r="C14" s="6">
        <v>6</v>
      </c>
      <c r="D14" s="2" t="s">
        <v>426</v>
      </c>
      <c r="E14" s="6">
        <v>150</v>
      </c>
      <c r="F14" s="18">
        <v>5299.91</v>
      </c>
      <c r="G14" s="18"/>
      <c r="H14" s="18">
        <v>649</v>
      </c>
      <c r="I14" s="18"/>
      <c r="J14" s="67">
        <f>SUM(I443)</f>
        <v>0</v>
      </c>
      <c r="K14" s="24" t="s">
        <v>286</v>
      </c>
      <c r="L14" s="24" t="s">
        <v>286</v>
      </c>
      <c r="M14" s="8"/>
      <c r="N14" s="272"/>
    </row>
    <row r="15" spans="1:14" s="3" customFormat="1" ht="12.2" customHeight="1" x14ac:dyDescent="0.15">
      <c r="A15" s="1" t="s">
        <v>584</v>
      </c>
      <c r="B15" s="2" t="s">
        <v>287</v>
      </c>
      <c r="C15" s="6">
        <v>7</v>
      </c>
      <c r="D15" s="2" t="s">
        <v>426</v>
      </c>
      <c r="E15" s="6">
        <v>160</v>
      </c>
      <c r="F15" s="24" t="s">
        <v>286</v>
      </c>
      <c r="G15" s="24" t="s">
        <v>286</v>
      </c>
      <c r="H15" s="24" t="s">
        <v>286</v>
      </c>
      <c r="I15" s="18"/>
      <c r="J15" s="24" t="s">
        <v>286</v>
      </c>
      <c r="K15" s="24" t="s">
        <v>286</v>
      </c>
      <c r="L15" s="24" t="s">
        <v>286</v>
      </c>
      <c r="M15" s="8"/>
      <c r="N15" s="272"/>
    </row>
    <row r="16" spans="1:14" s="3" customFormat="1" ht="12.2" customHeight="1" x14ac:dyDescent="0.15">
      <c r="A16" s="1" t="s">
        <v>564</v>
      </c>
      <c r="B16" s="2" t="s">
        <v>287</v>
      </c>
      <c r="C16" s="6">
        <v>8</v>
      </c>
      <c r="D16" s="2" t="s">
        <v>426</v>
      </c>
      <c r="E16" s="6">
        <v>170</v>
      </c>
      <c r="F16" s="18"/>
      <c r="G16" s="18">
        <v>29818.05</v>
      </c>
      <c r="H16" s="18"/>
      <c r="I16" s="18"/>
      <c r="J16" s="24" t="s">
        <v>286</v>
      </c>
      <c r="K16" s="24" t="s">
        <v>286</v>
      </c>
      <c r="L16" s="24" t="s">
        <v>286</v>
      </c>
      <c r="M16" s="8"/>
      <c r="N16" s="272"/>
    </row>
    <row r="17" spans="1:14" s="3" customFormat="1" ht="12.2" customHeight="1" x14ac:dyDescent="0.15">
      <c r="A17" s="1" t="s">
        <v>565</v>
      </c>
      <c r="B17" s="2" t="s">
        <v>287</v>
      </c>
      <c r="C17" s="6">
        <v>9</v>
      </c>
      <c r="D17" s="2" t="s">
        <v>426</v>
      </c>
      <c r="E17" s="6">
        <v>180</v>
      </c>
      <c r="F17" s="18">
        <v>577.6</v>
      </c>
      <c r="G17" s="18"/>
      <c r="H17" s="18"/>
      <c r="I17" s="18"/>
      <c r="J17" s="67">
        <f>SUM(I444)</f>
        <v>0</v>
      </c>
      <c r="K17" s="24" t="s">
        <v>286</v>
      </c>
      <c r="L17" s="24" t="s">
        <v>286</v>
      </c>
      <c r="M17" s="8"/>
      <c r="N17" s="272"/>
    </row>
    <row r="18" spans="1:14" s="3" customFormat="1" ht="12.2" customHeight="1" thickBot="1" x14ac:dyDescent="0.2">
      <c r="A18" s="1" t="s">
        <v>566</v>
      </c>
      <c r="B18" s="2" t="s">
        <v>287</v>
      </c>
      <c r="C18" s="6">
        <v>10</v>
      </c>
      <c r="D18" s="2" t="s">
        <v>426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286</v>
      </c>
      <c r="L18" s="24" t="s">
        <v>286</v>
      </c>
      <c r="M18" s="8"/>
      <c r="N18" s="272"/>
    </row>
    <row r="19" spans="1:14" s="3" customFormat="1" ht="12.2" customHeight="1" thickTop="1" x14ac:dyDescent="0.15">
      <c r="A19" s="38" t="s">
        <v>402</v>
      </c>
      <c r="B19" s="39" t="s">
        <v>287</v>
      </c>
      <c r="C19" s="40">
        <v>11</v>
      </c>
      <c r="D19" s="39" t="s">
        <v>426</v>
      </c>
      <c r="E19" s="39"/>
      <c r="F19" s="41">
        <f>SUM(F9:F18)</f>
        <v>3006401.9100000006</v>
      </c>
      <c r="G19" s="41">
        <f>SUM(G9:G18)</f>
        <v>269467.11</v>
      </c>
      <c r="H19" s="41">
        <f>SUM(H9:H18)</f>
        <v>272309.5</v>
      </c>
      <c r="I19" s="41">
        <f>SUM(I9:I18)</f>
        <v>27031296.43</v>
      </c>
      <c r="J19" s="41">
        <f>SUM(J9:J18)</f>
        <v>1004049</v>
      </c>
      <c r="K19" s="45" t="s">
        <v>286</v>
      </c>
      <c r="L19" s="45" t="s">
        <v>286</v>
      </c>
      <c r="M19" s="8"/>
      <c r="N19" s="272"/>
    </row>
    <row r="20" spans="1:14" s="3" customFormat="1" ht="12.2" customHeight="1" x14ac:dyDescent="0.15">
      <c r="A20" s="1" t="s">
        <v>452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.2" customHeight="1" x14ac:dyDescent="0.15">
      <c r="A21" s="29" t="s">
        <v>403</v>
      </c>
      <c r="B21" s="7"/>
      <c r="C21" s="2"/>
      <c r="D21" s="7"/>
      <c r="E21" s="7"/>
      <c r="F21" s="24" t="s">
        <v>286</v>
      </c>
      <c r="G21" s="24" t="s">
        <v>286</v>
      </c>
      <c r="H21" s="24" t="s">
        <v>286</v>
      </c>
      <c r="I21" s="24" t="s">
        <v>286</v>
      </c>
      <c r="J21" s="24" t="s">
        <v>286</v>
      </c>
      <c r="K21" s="24" t="s">
        <v>286</v>
      </c>
      <c r="L21" s="24" t="s">
        <v>286</v>
      </c>
      <c r="M21" s="8"/>
      <c r="N21" s="272"/>
    </row>
    <row r="22" spans="1:14" s="3" customFormat="1" ht="12.2" customHeight="1" x14ac:dyDescent="0.15">
      <c r="A22" s="1" t="s">
        <v>567</v>
      </c>
      <c r="B22" s="2" t="s">
        <v>287</v>
      </c>
      <c r="C22" s="6">
        <v>12</v>
      </c>
      <c r="D22" s="2" t="s">
        <v>427</v>
      </c>
      <c r="E22" s="6">
        <v>400</v>
      </c>
      <c r="F22" s="18">
        <v>355902.02</v>
      </c>
      <c r="G22" s="18"/>
      <c r="H22" s="18"/>
      <c r="I22" s="18"/>
      <c r="J22" s="67">
        <f>SUM(I448)</f>
        <v>0</v>
      </c>
      <c r="K22" s="24" t="s">
        <v>286</v>
      </c>
      <c r="L22" s="24" t="s">
        <v>286</v>
      </c>
      <c r="M22" s="8"/>
      <c r="N22" s="272"/>
    </row>
    <row r="23" spans="1:14" s="3" customFormat="1" ht="12.2" customHeight="1" x14ac:dyDescent="0.15">
      <c r="A23" s="1" t="s">
        <v>605</v>
      </c>
      <c r="B23" s="2" t="s">
        <v>287</v>
      </c>
      <c r="C23" s="6">
        <v>13</v>
      </c>
      <c r="D23" s="2" t="s">
        <v>427</v>
      </c>
      <c r="E23" s="6">
        <v>410</v>
      </c>
      <c r="F23" s="18">
        <v>0</v>
      </c>
      <c r="G23" s="18"/>
      <c r="H23" s="18"/>
      <c r="I23" s="18"/>
      <c r="J23" s="67">
        <f>SUM(I449)</f>
        <v>0</v>
      </c>
      <c r="K23" s="24" t="s">
        <v>286</v>
      </c>
      <c r="L23" s="24" t="s">
        <v>286</v>
      </c>
      <c r="M23" s="8"/>
      <c r="N23" s="272"/>
    </row>
    <row r="24" spans="1:14" s="3" customFormat="1" ht="12.2" customHeight="1" x14ac:dyDescent="0.15">
      <c r="A24" s="1" t="s">
        <v>568</v>
      </c>
      <c r="B24" s="2" t="s">
        <v>287</v>
      </c>
      <c r="C24" s="6">
        <v>14</v>
      </c>
      <c r="D24" s="2" t="s">
        <v>427</v>
      </c>
      <c r="E24" s="6">
        <v>420</v>
      </c>
      <c r="F24" s="18">
        <v>253568.01</v>
      </c>
      <c r="G24" s="18">
        <v>497.13</v>
      </c>
      <c r="H24" s="18">
        <v>1993.96</v>
      </c>
      <c r="I24" s="18"/>
      <c r="J24" s="67">
        <f>SUM(I450)</f>
        <v>0</v>
      </c>
      <c r="K24" s="24" t="s">
        <v>286</v>
      </c>
      <c r="L24" s="24" t="s">
        <v>286</v>
      </c>
      <c r="M24" s="8"/>
      <c r="N24" s="272"/>
    </row>
    <row r="25" spans="1:14" s="3" customFormat="1" ht="12.2" customHeight="1" x14ac:dyDescent="0.15">
      <c r="A25" s="1" t="s">
        <v>572</v>
      </c>
      <c r="B25" s="2" t="s">
        <v>287</v>
      </c>
      <c r="C25" s="6">
        <v>15</v>
      </c>
      <c r="D25" s="2" t="s">
        <v>427</v>
      </c>
      <c r="E25" s="6">
        <v>430</v>
      </c>
      <c r="F25" s="18"/>
      <c r="G25" s="145"/>
      <c r="H25" s="18"/>
      <c r="I25" s="18"/>
      <c r="J25" s="24" t="s">
        <v>286</v>
      </c>
      <c r="K25" s="24" t="s">
        <v>286</v>
      </c>
      <c r="L25" s="24" t="s">
        <v>286</v>
      </c>
      <c r="M25" s="8"/>
      <c r="N25" s="272"/>
    </row>
    <row r="26" spans="1:14" s="3" customFormat="1" ht="12.2" customHeight="1" x14ac:dyDescent="0.15">
      <c r="A26" s="1" t="s">
        <v>569</v>
      </c>
      <c r="B26" s="2" t="s">
        <v>287</v>
      </c>
      <c r="C26" s="6">
        <v>16</v>
      </c>
      <c r="D26" s="2" t="s">
        <v>427</v>
      </c>
      <c r="E26" s="6">
        <v>440</v>
      </c>
      <c r="F26" s="18"/>
      <c r="G26" s="24" t="s">
        <v>286</v>
      </c>
      <c r="H26" s="24" t="s">
        <v>286</v>
      </c>
      <c r="I26" s="18"/>
      <c r="J26" s="24" t="s">
        <v>286</v>
      </c>
      <c r="K26" s="24" t="s">
        <v>286</v>
      </c>
      <c r="L26" s="24" t="s">
        <v>286</v>
      </c>
      <c r="M26" s="8"/>
      <c r="N26" s="272"/>
    </row>
    <row r="27" spans="1:14" s="3" customFormat="1" ht="12.2" customHeight="1" x14ac:dyDescent="0.15">
      <c r="A27" s="1" t="s">
        <v>570</v>
      </c>
      <c r="B27" s="2" t="s">
        <v>287</v>
      </c>
      <c r="C27" s="6">
        <v>17</v>
      </c>
      <c r="D27" s="2" t="s">
        <v>427</v>
      </c>
      <c r="E27" s="6">
        <v>450</v>
      </c>
      <c r="F27" s="18"/>
      <c r="G27" s="24" t="s">
        <v>286</v>
      </c>
      <c r="H27" s="24" t="s">
        <v>286</v>
      </c>
      <c r="I27" s="18"/>
      <c r="J27" s="24" t="s">
        <v>286</v>
      </c>
      <c r="K27" s="24" t="s">
        <v>286</v>
      </c>
      <c r="L27" s="24" t="s">
        <v>286</v>
      </c>
      <c r="M27" s="8"/>
      <c r="N27" s="272"/>
    </row>
    <row r="28" spans="1:14" s="3" customFormat="1" ht="12.2" customHeight="1" x14ac:dyDescent="0.15">
      <c r="A28" s="1" t="s">
        <v>571</v>
      </c>
      <c r="B28" s="2" t="s">
        <v>287</v>
      </c>
      <c r="C28" s="6">
        <v>18</v>
      </c>
      <c r="D28" s="2" t="s">
        <v>427</v>
      </c>
      <c r="E28" s="6">
        <v>460</v>
      </c>
      <c r="F28" s="18"/>
      <c r="G28" s="18"/>
      <c r="H28" s="18"/>
      <c r="I28" s="18"/>
      <c r="J28" s="24" t="s">
        <v>286</v>
      </c>
      <c r="K28" s="24" t="s">
        <v>286</v>
      </c>
      <c r="L28" s="24" t="s">
        <v>286</v>
      </c>
      <c r="M28" s="8"/>
      <c r="N28" s="272"/>
    </row>
    <row r="29" spans="1:14" s="3" customFormat="1" ht="12.2" customHeight="1" x14ac:dyDescent="0.15">
      <c r="A29" s="1" t="s">
        <v>573</v>
      </c>
      <c r="B29" s="2" t="s">
        <v>287</v>
      </c>
      <c r="C29" s="6">
        <v>19</v>
      </c>
      <c r="D29" s="2" t="s">
        <v>427</v>
      </c>
      <c r="E29" s="6">
        <v>470</v>
      </c>
      <c r="F29" s="18"/>
      <c r="G29" s="18"/>
      <c r="H29" s="18"/>
      <c r="I29" s="18"/>
      <c r="J29" s="24" t="s">
        <v>286</v>
      </c>
      <c r="K29" s="24" t="s">
        <v>286</v>
      </c>
      <c r="L29" s="24" t="s">
        <v>286</v>
      </c>
      <c r="M29" s="8"/>
      <c r="N29" s="272"/>
    </row>
    <row r="30" spans="1:14" s="3" customFormat="1" ht="12.2" customHeight="1" x14ac:dyDescent="0.15">
      <c r="A30" s="1" t="s">
        <v>574</v>
      </c>
      <c r="B30" s="2" t="s">
        <v>287</v>
      </c>
      <c r="C30" s="6">
        <v>20</v>
      </c>
      <c r="D30" s="2" t="s">
        <v>427</v>
      </c>
      <c r="E30" s="6">
        <v>480</v>
      </c>
      <c r="F30" s="18">
        <v>10350</v>
      </c>
      <c r="G30" s="18">
        <v>35107.43</v>
      </c>
      <c r="H30" s="18">
        <v>97145.75</v>
      </c>
      <c r="I30" s="18"/>
      <c r="J30" s="24" t="s">
        <v>286</v>
      </c>
      <c r="K30" s="24" t="s">
        <v>286</v>
      </c>
      <c r="L30" s="24" t="s">
        <v>286</v>
      </c>
      <c r="M30" s="8"/>
      <c r="N30" s="272"/>
    </row>
    <row r="31" spans="1:14" s="3" customFormat="1" ht="12.2" customHeight="1" thickBot="1" x14ac:dyDescent="0.2">
      <c r="A31" s="1" t="s">
        <v>583</v>
      </c>
      <c r="B31" s="2" t="s">
        <v>287</v>
      </c>
      <c r="C31" s="6">
        <v>21</v>
      </c>
      <c r="D31" s="2" t="s">
        <v>427</v>
      </c>
      <c r="E31" s="6">
        <v>490</v>
      </c>
      <c r="F31" s="18">
        <v>35402.400000000001</v>
      </c>
      <c r="G31" s="18"/>
      <c r="H31" s="18"/>
      <c r="I31" s="18"/>
      <c r="J31" s="67">
        <f>SUM(I451)</f>
        <v>0</v>
      </c>
      <c r="K31" s="24" t="s">
        <v>286</v>
      </c>
      <c r="L31" s="24" t="s">
        <v>286</v>
      </c>
      <c r="M31" s="8"/>
      <c r="N31" s="272"/>
    </row>
    <row r="32" spans="1:14" s="3" customFormat="1" ht="12.2" customHeight="1" thickTop="1" x14ac:dyDescent="0.15">
      <c r="A32" s="38" t="s">
        <v>404</v>
      </c>
      <c r="B32" s="39" t="s">
        <v>287</v>
      </c>
      <c r="C32" s="40">
        <v>22</v>
      </c>
      <c r="D32" s="39" t="s">
        <v>427</v>
      </c>
      <c r="E32" s="39"/>
      <c r="F32" s="41">
        <f>SUM(F22:F31)</f>
        <v>655222.43000000005</v>
      </c>
      <c r="G32" s="41">
        <f>SUM(G22:G31)</f>
        <v>35604.559999999998</v>
      </c>
      <c r="H32" s="41">
        <f>SUM(H22:H31)</f>
        <v>99139.71</v>
      </c>
      <c r="I32" s="41">
        <f>SUM(I22:I31)</f>
        <v>0</v>
      </c>
      <c r="J32" s="41">
        <f>SUM(J22:J31)</f>
        <v>0</v>
      </c>
      <c r="K32" s="45" t="s">
        <v>286</v>
      </c>
      <c r="L32" s="45" t="s">
        <v>286</v>
      </c>
      <c r="M32" s="8"/>
      <c r="N32" s="272"/>
    </row>
    <row r="33" spans="1:14" s="3" customFormat="1" ht="12.2" customHeight="1" x14ac:dyDescent="0.15">
      <c r="A33" s="29" t="s">
        <v>302</v>
      </c>
      <c r="B33" s="1" t="s">
        <v>299</v>
      </c>
      <c r="C33" s="2" t="s">
        <v>284</v>
      </c>
      <c r="D33" s="2"/>
      <c r="E33" s="2"/>
      <c r="F33" s="24" t="s">
        <v>286</v>
      </c>
      <c r="G33" s="24" t="s">
        <v>286</v>
      </c>
      <c r="H33" s="24" t="s">
        <v>286</v>
      </c>
      <c r="I33" s="24" t="s">
        <v>286</v>
      </c>
      <c r="J33" s="24" t="s">
        <v>286</v>
      </c>
      <c r="K33" s="24" t="s">
        <v>286</v>
      </c>
      <c r="L33" s="24" t="s">
        <v>286</v>
      </c>
      <c r="M33" s="8"/>
      <c r="N33" s="272"/>
    </row>
    <row r="34" spans="1:14" s="3" customFormat="1" ht="12.2" customHeight="1" x14ac:dyDescent="0.15">
      <c r="A34" s="29" t="s">
        <v>856</v>
      </c>
      <c r="B34" s="1"/>
      <c r="C34" s="2"/>
      <c r="D34" s="2"/>
      <c r="E34" s="2"/>
      <c r="F34" s="24" t="s">
        <v>286</v>
      </c>
      <c r="G34" s="24" t="s">
        <v>286</v>
      </c>
      <c r="H34" s="24" t="s">
        <v>286</v>
      </c>
      <c r="I34" s="24" t="s">
        <v>286</v>
      </c>
      <c r="J34" s="24" t="s">
        <v>286</v>
      </c>
      <c r="K34" s="24" t="s">
        <v>286</v>
      </c>
      <c r="L34" s="24" t="s">
        <v>286</v>
      </c>
      <c r="M34" s="8"/>
      <c r="N34" s="272"/>
    </row>
    <row r="35" spans="1:14" s="3" customFormat="1" ht="12.2" customHeight="1" x14ac:dyDescent="0.15">
      <c r="A35" s="1" t="s">
        <v>575</v>
      </c>
      <c r="B35" s="6">
        <v>1</v>
      </c>
      <c r="C35" s="6">
        <v>23</v>
      </c>
      <c r="D35" s="2" t="s">
        <v>651</v>
      </c>
      <c r="E35" s="6">
        <v>751</v>
      </c>
      <c r="F35" s="18"/>
      <c r="G35" s="18">
        <v>29818.05</v>
      </c>
      <c r="H35" s="18"/>
      <c r="I35" s="18"/>
      <c r="J35" s="24" t="s">
        <v>286</v>
      </c>
      <c r="K35" s="24" t="s">
        <v>286</v>
      </c>
      <c r="L35" s="24" t="s">
        <v>286</v>
      </c>
      <c r="M35" s="8"/>
      <c r="N35" s="272"/>
    </row>
    <row r="36" spans="1:14" s="3" customFormat="1" ht="12.2" customHeight="1" x14ac:dyDescent="0.15">
      <c r="A36" s="1" t="s">
        <v>576</v>
      </c>
      <c r="B36" s="6">
        <v>1</v>
      </c>
      <c r="C36" s="6">
        <v>24</v>
      </c>
      <c r="D36" s="2" t="s">
        <v>651</v>
      </c>
      <c r="E36" s="6">
        <v>752</v>
      </c>
      <c r="F36" s="18"/>
      <c r="G36" s="18"/>
      <c r="H36" s="18"/>
      <c r="I36" s="18"/>
      <c r="J36" s="24" t="s">
        <v>286</v>
      </c>
      <c r="K36" s="24" t="s">
        <v>286</v>
      </c>
      <c r="L36" s="24" t="s">
        <v>286</v>
      </c>
      <c r="M36" s="8"/>
      <c r="N36" s="272"/>
    </row>
    <row r="37" spans="1:14" s="3" customFormat="1" ht="12.2" customHeight="1" x14ac:dyDescent="0.15">
      <c r="A37" s="1" t="s">
        <v>862</v>
      </c>
      <c r="B37" s="6">
        <v>1</v>
      </c>
      <c r="C37" s="6">
        <v>25</v>
      </c>
      <c r="D37" s="2" t="s">
        <v>651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286</v>
      </c>
      <c r="L37" s="24" t="s">
        <v>286</v>
      </c>
      <c r="M37" s="8"/>
      <c r="N37" s="272"/>
    </row>
    <row r="38" spans="1:14" s="3" customFormat="1" ht="12.2" customHeight="1" x14ac:dyDescent="0.15">
      <c r="A38" s="29" t="s">
        <v>855</v>
      </c>
      <c r="B38" s="6"/>
      <c r="C38" s="6"/>
      <c r="D38" s="2"/>
      <c r="E38" s="6"/>
      <c r="F38" s="24" t="s">
        <v>286</v>
      </c>
      <c r="G38" s="24" t="s">
        <v>286</v>
      </c>
      <c r="H38" s="24" t="s">
        <v>286</v>
      </c>
      <c r="I38" s="24" t="s">
        <v>286</v>
      </c>
      <c r="J38" s="24" t="s">
        <v>286</v>
      </c>
      <c r="K38" s="24" t="s">
        <v>286</v>
      </c>
      <c r="L38" s="24" t="s">
        <v>286</v>
      </c>
      <c r="M38" s="8"/>
      <c r="N38" s="272"/>
    </row>
    <row r="39" spans="1:14" s="3" customFormat="1" ht="12.2" customHeight="1" x14ac:dyDescent="0.15">
      <c r="A39" s="1" t="s">
        <v>863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286</v>
      </c>
      <c r="L39" s="24" t="s">
        <v>286</v>
      </c>
      <c r="M39" s="8"/>
      <c r="N39" s="272"/>
    </row>
    <row r="40" spans="1:14" s="3" customFormat="1" ht="12.2" customHeight="1" x14ac:dyDescent="0.15">
      <c r="A40" s="1" t="s">
        <v>870</v>
      </c>
      <c r="B40" s="6">
        <v>1</v>
      </c>
      <c r="C40" s="6">
        <v>27</v>
      </c>
      <c r="D40" s="2"/>
      <c r="E40" s="6"/>
      <c r="F40" s="24" t="s">
        <v>286</v>
      </c>
      <c r="G40" s="18">
        <v>204044.5</v>
      </c>
      <c r="H40" s="24" t="s">
        <v>286</v>
      </c>
      <c r="I40" s="24" t="s">
        <v>286</v>
      </c>
      <c r="J40" s="24" t="s">
        <v>286</v>
      </c>
      <c r="K40" s="24" t="s">
        <v>286</v>
      </c>
      <c r="L40" s="24" t="s">
        <v>286</v>
      </c>
      <c r="M40" s="8"/>
      <c r="N40" s="272"/>
    </row>
    <row r="41" spans="1:14" s="3" customFormat="1" ht="12.2" customHeight="1" x14ac:dyDescent="0.15">
      <c r="A41" s="1" t="s">
        <v>880</v>
      </c>
      <c r="B41" s="6">
        <v>1</v>
      </c>
      <c r="C41" s="6">
        <v>28</v>
      </c>
      <c r="D41" s="2"/>
      <c r="E41" s="6"/>
      <c r="F41" s="24" t="s">
        <v>286</v>
      </c>
      <c r="G41" s="24" t="s">
        <v>286</v>
      </c>
      <c r="H41" s="24" t="s">
        <v>286</v>
      </c>
      <c r="I41" s="18"/>
      <c r="J41" s="24" t="s">
        <v>286</v>
      </c>
      <c r="K41" s="24" t="s">
        <v>286</v>
      </c>
      <c r="L41" s="24" t="s">
        <v>286</v>
      </c>
      <c r="M41" s="8"/>
      <c r="N41" s="272"/>
    </row>
    <row r="42" spans="1:14" s="3" customFormat="1" ht="12.2" customHeight="1" x14ac:dyDescent="0.15">
      <c r="A42" s="29" t="s">
        <v>857</v>
      </c>
      <c r="B42" s="6"/>
      <c r="C42" s="6"/>
      <c r="D42" s="2"/>
      <c r="E42" s="6"/>
      <c r="F42" s="24" t="s">
        <v>286</v>
      </c>
      <c r="G42" s="24" t="s">
        <v>286</v>
      </c>
      <c r="H42" s="24" t="s">
        <v>286</v>
      </c>
      <c r="I42" s="24" t="s">
        <v>286</v>
      </c>
      <c r="J42" s="24" t="s">
        <v>286</v>
      </c>
      <c r="K42" s="24" t="s">
        <v>286</v>
      </c>
      <c r="L42" s="24" t="s">
        <v>286</v>
      </c>
      <c r="M42" s="8"/>
      <c r="N42" s="272"/>
    </row>
    <row r="43" spans="1:14" s="3" customFormat="1" ht="12.2" customHeight="1" x14ac:dyDescent="0.15">
      <c r="A43" s="1" t="s">
        <v>846</v>
      </c>
      <c r="B43" s="6">
        <v>1</v>
      </c>
      <c r="C43" s="6">
        <v>29</v>
      </c>
      <c r="D43" s="2" t="s">
        <v>651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286</v>
      </c>
      <c r="L43" s="24" t="s">
        <v>286</v>
      </c>
      <c r="M43" s="8"/>
      <c r="N43" s="272"/>
    </row>
    <row r="44" spans="1:14" s="3" customFormat="1" ht="12.2" customHeight="1" x14ac:dyDescent="0.15">
      <c r="A44" s="1" t="s">
        <v>847</v>
      </c>
      <c r="B44" s="6">
        <v>1</v>
      </c>
      <c r="C44" s="6">
        <v>30</v>
      </c>
      <c r="D44" s="2" t="s">
        <v>651</v>
      </c>
      <c r="E44" s="6">
        <v>755</v>
      </c>
      <c r="F44" s="18">
        <v>100000</v>
      </c>
      <c r="G44" s="18"/>
      <c r="H44" s="18"/>
      <c r="I44" s="18"/>
      <c r="J44" s="24" t="s">
        <v>286</v>
      </c>
      <c r="K44" s="24" t="s">
        <v>286</v>
      </c>
      <c r="L44" s="24" t="s">
        <v>286</v>
      </c>
      <c r="M44" s="8"/>
      <c r="N44" s="272"/>
    </row>
    <row r="45" spans="1:14" s="3" customFormat="1" ht="12.2" customHeight="1" x14ac:dyDescent="0.15">
      <c r="A45" s="1" t="s">
        <v>848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286</v>
      </c>
      <c r="L45" s="24" t="s">
        <v>286</v>
      </c>
      <c r="M45" s="8"/>
      <c r="N45" s="272"/>
    </row>
    <row r="46" spans="1:14" s="3" customFormat="1" ht="12.2" customHeight="1" x14ac:dyDescent="0.15">
      <c r="A46" s="1" t="s">
        <v>884</v>
      </c>
      <c r="B46" s="6">
        <v>1</v>
      </c>
      <c r="C46" s="6">
        <v>32</v>
      </c>
      <c r="D46" s="2"/>
      <c r="E46" s="6"/>
      <c r="F46" s="18"/>
      <c r="G46" s="24" t="s">
        <v>286</v>
      </c>
      <c r="H46" s="24" t="s">
        <v>286</v>
      </c>
      <c r="I46" s="24" t="s">
        <v>286</v>
      </c>
      <c r="J46" s="24" t="s">
        <v>286</v>
      </c>
      <c r="K46" s="24"/>
      <c r="L46" s="24"/>
      <c r="M46" s="8"/>
      <c r="N46" s="272"/>
    </row>
    <row r="47" spans="1:14" s="3" customFormat="1" ht="12.2" customHeight="1" x14ac:dyDescent="0.15">
      <c r="A47" s="29" t="s">
        <v>858</v>
      </c>
      <c r="B47" s="6"/>
      <c r="C47" s="6"/>
      <c r="D47" s="2"/>
      <c r="E47" s="6"/>
      <c r="F47" s="24" t="s">
        <v>286</v>
      </c>
      <c r="G47" s="24" t="s">
        <v>286</v>
      </c>
      <c r="H47" s="24" t="s">
        <v>286</v>
      </c>
      <c r="I47" s="24" t="s">
        <v>286</v>
      </c>
      <c r="J47" s="24" t="s">
        <v>286</v>
      </c>
      <c r="K47" s="24" t="s">
        <v>286</v>
      </c>
      <c r="L47" s="24" t="s">
        <v>286</v>
      </c>
      <c r="M47" s="8"/>
      <c r="N47" s="272"/>
    </row>
    <row r="48" spans="1:14" s="3" customFormat="1" ht="12.2" customHeight="1" x14ac:dyDescent="0.15">
      <c r="A48" s="1" t="s">
        <v>849</v>
      </c>
      <c r="B48" s="2" t="s">
        <v>287</v>
      </c>
      <c r="C48" s="6">
        <v>33</v>
      </c>
      <c r="D48" s="2" t="s">
        <v>651</v>
      </c>
      <c r="E48" s="6">
        <v>760</v>
      </c>
      <c r="F48" s="18">
        <v>234325</v>
      </c>
      <c r="G48" s="18"/>
      <c r="H48" s="18">
        <v>173169.79</v>
      </c>
      <c r="I48" s="18">
        <v>27031296.43</v>
      </c>
      <c r="J48" s="13">
        <f>SUM(I459)</f>
        <v>1004049</v>
      </c>
      <c r="K48" s="24" t="s">
        <v>286</v>
      </c>
      <c r="L48" s="24" t="s">
        <v>286</v>
      </c>
      <c r="M48" s="8"/>
      <c r="N48" s="272"/>
    </row>
    <row r="49" spans="1:14" s="3" customFormat="1" ht="12.2" customHeight="1" x14ac:dyDescent="0.15">
      <c r="A49" s="1" t="s">
        <v>869</v>
      </c>
      <c r="B49" s="2" t="s">
        <v>287</v>
      </c>
      <c r="C49" s="6">
        <v>34</v>
      </c>
      <c r="D49" s="2"/>
      <c r="E49" s="6">
        <v>753</v>
      </c>
      <c r="F49" s="18">
        <v>69158.53</v>
      </c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.2" customHeight="1" thickBot="1" x14ac:dyDescent="0.2">
      <c r="A50" s="29" t="s">
        <v>850</v>
      </c>
      <c r="B50" s="2" t="s">
        <v>287</v>
      </c>
      <c r="C50" s="71">
        <v>35</v>
      </c>
      <c r="D50" s="2" t="s">
        <v>651</v>
      </c>
      <c r="E50" s="6">
        <v>770</v>
      </c>
      <c r="F50" s="18">
        <v>1947695.95</v>
      </c>
      <c r="G50" s="24" t="s">
        <v>286</v>
      </c>
      <c r="H50" s="24" t="s">
        <v>286</v>
      </c>
      <c r="I50" s="24" t="s">
        <v>286</v>
      </c>
      <c r="J50" s="24" t="s">
        <v>286</v>
      </c>
      <c r="K50" s="24" t="s">
        <v>286</v>
      </c>
      <c r="L50" s="24" t="s">
        <v>286</v>
      </c>
      <c r="M50" s="8"/>
      <c r="N50" s="272"/>
    </row>
    <row r="51" spans="1:14" ht="12.2" customHeight="1" thickTop="1" thickBot="1" x14ac:dyDescent="0.25">
      <c r="A51" s="38" t="s">
        <v>405</v>
      </c>
      <c r="B51" s="39" t="s">
        <v>287</v>
      </c>
      <c r="C51" s="51">
        <v>36</v>
      </c>
      <c r="D51" s="39" t="s">
        <v>651</v>
      </c>
      <c r="E51" s="39"/>
      <c r="F51" s="41">
        <f>SUM(F35:F50)</f>
        <v>2351179.48</v>
      </c>
      <c r="G51" s="41">
        <f>SUM(G35:G50)</f>
        <v>233862.55</v>
      </c>
      <c r="H51" s="41">
        <f>SUM(H35:H50)</f>
        <v>173169.79</v>
      </c>
      <c r="I51" s="41">
        <f>SUM(I35:I50)</f>
        <v>27031296.43</v>
      </c>
      <c r="J51" s="41">
        <f>SUM(J35:J50)</f>
        <v>1004049</v>
      </c>
      <c r="K51" s="45" t="s">
        <v>286</v>
      </c>
      <c r="L51" s="45" t="s">
        <v>286</v>
      </c>
      <c r="N51" s="270"/>
    </row>
    <row r="52" spans="1:14" s="3" customFormat="1" ht="12.2" customHeight="1" thickTop="1" x14ac:dyDescent="0.15">
      <c r="A52" s="38" t="s">
        <v>453</v>
      </c>
      <c r="B52" s="39" t="s">
        <v>287</v>
      </c>
      <c r="C52" s="6">
        <v>37</v>
      </c>
      <c r="D52" s="39" t="s">
        <v>651</v>
      </c>
      <c r="E52" s="39"/>
      <c r="F52" s="41">
        <f>F51+F32</f>
        <v>3006401.91</v>
      </c>
      <c r="G52" s="41">
        <f>G51+G32</f>
        <v>269467.11</v>
      </c>
      <c r="H52" s="41">
        <f>H51+H32</f>
        <v>272309.5</v>
      </c>
      <c r="I52" s="41">
        <f>I51+I32</f>
        <v>27031296.43</v>
      </c>
      <c r="J52" s="41">
        <f>J51+J32</f>
        <v>1004049</v>
      </c>
      <c r="K52" s="45" t="s">
        <v>286</v>
      </c>
      <c r="L52" s="45" t="s">
        <v>286</v>
      </c>
      <c r="M52" s="8"/>
      <c r="N52" s="272"/>
    </row>
    <row r="53" spans="1:14" s="3" customFormat="1" ht="12.2" customHeight="1" x14ac:dyDescent="0.2">
      <c r="A53"/>
      <c r="B53"/>
      <c r="C53"/>
      <c r="D53"/>
      <c r="E53"/>
      <c r="F53" s="23" t="s">
        <v>271</v>
      </c>
      <c r="G53" s="23" t="s">
        <v>272</v>
      </c>
      <c r="H53" s="23" t="s">
        <v>273</v>
      </c>
      <c r="I53" s="23" t="s">
        <v>274</v>
      </c>
      <c r="J53" s="23" t="s">
        <v>275</v>
      </c>
      <c r="K53" s="20"/>
      <c r="L53" s="20"/>
      <c r="M53" s="8"/>
      <c r="N53" s="272"/>
    </row>
    <row r="54" spans="1:14" s="3" customFormat="1" ht="12.2" customHeight="1" x14ac:dyDescent="0.2">
      <c r="A54" s="1" t="s">
        <v>303</v>
      </c>
      <c r="F54" s="23"/>
      <c r="G54" s="23"/>
      <c r="H54" s="23" t="s">
        <v>280</v>
      </c>
      <c r="I54" s="23"/>
      <c r="J54" s="23"/>
      <c r="K54" s="20"/>
      <c r="L54" s="20"/>
      <c r="M54" s="8"/>
      <c r="N54" s="272"/>
    </row>
    <row r="55" spans="1:14" s="3" customFormat="1" ht="12.2" customHeight="1" x14ac:dyDescent="0.2">
      <c r="A55" s="28" t="s">
        <v>305</v>
      </c>
      <c r="E55" s="6"/>
      <c r="F55" s="16" t="s">
        <v>278</v>
      </c>
      <c r="G55" s="16" t="s">
        <v>279</v>
      </c>
      <c r="H55" s="16" t="s">
        <v>766</v>
      </c>
      <c r="I55" s="16" t="s">
        <v>281</v>
      </c>
      <c r="J55" s="16" t="s">
        <v>282</v>
      </c>
      <c r="K55" s="20"/>
      <c r="L55" s="20"/>
      <c r="M55" s="8"/>
      <c r="N55" s="272"/>
    </row>
    <row r="56" spans="1:14" s="3" customFormat="1" ht="12.2" customHeight="1" x14ac:dyDescent="0.15">
      <c r="A56" s="27" t="s">
        <v>306</v>
      </c>
      <c r="E56" s="6"/>
      <c r="F56" s="24" t="s">
        <v>286</v>
      </c>
      <c r="G56" s="24" t="s">
        <v>286</v>
      </c>
      <c r="H56" s="24" t="s">
        <v>286</v>
      </c>
      <c r="I56" s="24" t="s">
        <v>286</v>
      </c>
      <c r="J56" s="24" t="s">
        <v>286</v>
      </c>
      <c r="K56" s="24" t="s">
        <v>286</v>
      </c>
      <c r="L56" s="24" t="s">
        <v>286</v>
      </c>
      <c r="M56" s="8"/>
      <c r="N56" s="272"/>
    </row>
    <row r="57" spans="1:14" s="3" customFormat="1" ht="12.2" customHeight="1" x14ac:dyDescent="0.15">
      <c r="A57" s="1" t="s">
        <v>509</v>
      </c>
      <c r="B57" s="2" t="s">
        <v>307</v>
      </c>
      <c r="C57" s="6">
        <v>1</v>
      </c>
      <c r="D57" s="2" t="s">
        <v>428</v>
      </c>
      <c r="E57" s="6">
        <v>1111</v>
      </c>
      <c r="F57" s="18">
        <v>31219130</v>
      </c>
      <c r="G57" s="18"/>
      <c r="H57" s="18"/>
      <c r="I57" s="18"/>
      <c r="J57" s="18"/>
      <c r="K57" s="24" t="s">
        <v>286</v>
      </c>
      <c r="L57" s="24" t="s">
        <v>286</v>
      </c>
      <c r="M57" s="8"/>
      <c r="N57" s="272"/>
    </row>
    <row r="58" spans="1:14" s="3" customFormat="1" ht="12.2" customHeight="1" x14ac:dyDescent="0.15">
      <c r="A58" s="1" t="s">
        <v>510</v>
      </c>
      <c r="B58" s="2" t="s">
        <v>307</v>
      </c>
      <c r="C58" s="6">
        <v>2</v>
      </c>
      <c r="D58" s="2" t="s">
        <v>428</v>
      </c>
      <c r="E58" s="6">
        <v>1112</v>
      </c>
      <c r="F58" s="18"/>
      <c r="G58" s="18"/>
      <c r="H58" s="24" t="s">
        <v>286</v>
      </c>
      <c r="I58" s="18"/>
      <c r="J58" s="24" t="s">
        <v>286</v>
      </c>
      <c r="K58" s="24" t="s">
        <v>286</v>
      </c>
      <c r="L58" s="24" t="s">
        <v>286</v>
      </c>
      <c r="M58" s="8"/>
      <c r="N58" s="272"/>
    </row>
    <row r="59" spans="1:14" s="27" customFormat="1" ht="12.2" customHeight="1" thickBot="1" x14ac:dyDescent="0.2">
      <c r="A59" s="1" t="s">
        <v>508</v>
      </c>
      <c r="B59" s="2" t="s">
        <v>307</v>
      </c>
      <c r="C59" s="6">
        <v>3</v>
      </c>
      <c r="D59" s="2" t="s">
        <v>428</v>
      </c>
      <c r="E59" s="6">
        <v>1119</v>
      </c>
      <c r="F59" s="18"/>
      <c r="G59" s="18"/>
      <c r="H59" s="18"/>
      <c r="I59" s="18"/>
      <c r="J59" s="18"/>
      <c r="K59" s="24" t="s">
        <v>286</v>
      </c>
      <c r="L59" s="24" t="s">
        <v>286</v>
      </c>
      <c r="M59" s="31"/>
      <c r="N59" s="273"/>
    </row>
    <row r="60" spans="1:14" s="27" customFormat="1" ht="12.2" customHeight="1" thickTop="1" x14ac:dyDescent="0.15">
      <c r="A60" s="38" t="s">
        <v>406</v>
      </c>
      <c r="B60" s="39" t="s">
        <v>307</v>
      </c>
      <c r="C60" s="40">
        <v>4</v>
      </c>
      <c r="D60" s="39" t="s">
        <v>428</v>
      </c>
      <c r="E60" s="40">
        <v>1100</v>
      </c>
      <c r="F60" s="41">
        <f>SUM(F57:F59)</f>
        <v>31219130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286</v>
      </c>
      <c r="L60" s="45" t="s">
        <v>286</v>
      </c>
      <c r="M60" s="31"/>
      <c r="N60" s="273"/>
    </row>
    <row r="61" spans="1:14" s="3" customFormat="1" ht="12.2" customHeight="1" x14ac:dyDescent="0.15">
      <c r="A61" s="30" t="s">
        <v>515</v>
      </c>
      <c r="B61" s="27"/>
      <c r="C61" s="30" t="s">
        <v>299</v>
      </c>
      <c r="D61" s="30"/>
      <c r="E61" s="6"/>
      <c r="F61" s="24" t="s">
        <v>286</v>
      </c>
      <c r="G61" s="24" t="s">
        <v>286</v>
      </c>
      <c r="H61" s="24" t="s">
        <v>286</v>
      </c>
      <c r="I61" s="24" t="s">
        <v>286</v>
      </c>
      <c r="J61" s="24" t="s">
        <v>286</v>
      </c>
      <c r="K61" s="24" t="s">
        <v>286</v>
      </c>
      <c r="L61" s="24" t="s">
        <v>286</v>
      </c>
      <c r="M61" s="8"/>
      <c r="N61" s="272"/>
    </row>
    <row r="62" spans="1:14" s="3" customFormat="1" ht="12.2" customHeight="1" x14ac:dyDescent="0.15">
      <c r="A62" s="30" t="s">
        <v>309</v>
      </c>
      <c r="B62" s="27"/>
      <c r="C62" s="30"/>
      <c r="D62" s="30"/>
      <c r="E62" s="6">
        <v>1310</v>
      </c>
      <c r="F62" s="24" t="s">
        <v>286</v>
      </c>
      <c r="G62" s="24" t="s">
        <v>286</v>
      </c>
      <c r="H62" s="24" t="s">
        <v>286</v>
      </c>
      <c r="I62" s="24" t="s">
        <v>286</v>
      </c>
      <c r="J62" s="24" t="s">
        <v>286</v>
      </c>
      <c r="K62" s="24" t="s">
        <v>286</v>
      </c>
      <c r="L62" s="24" t="s">
        <v>286</v>
      </c>
      <c r="M62" s="8"/>
      <c r="N62" s="272"/>
    </row>
    <row r="63" spans="1:14" s="3" customFormat="1" ht="12.2" customHeight="1" x14ac:dyDescent="0.15">
      <c r="A63" s="1" t="s">
        <v>511</v>
      </c>
      <c r="B63" s="2" t="s">
        <v>307</v>
      </c>
      <c r="C63" s="6">
        <v>5</v>
      </c>
      <c r="D63" s="2" t="s">
        <v>428</v>
      </c>
      <c r="E63" s="6">
        <v>1311</v>
      </c>
      <c r="F63" s="18">
        <v>84750</v>
      </c>
      <c r="G63" s="24" t="s">
        <v>286</v>
      </c>
      <c r="H63" s="18">
        <v>88353</v>
      </c>
      <c r="I63" s="24" t="s">
        <v>286</v>
      </c>
      <c r="J63" s="24" t="s">
        <v>286</v>
      </c>
      <c r="K63" s="24" t="s">
        <v>286</v>
      </c>
      <c r="L63" s="24" t="s">
        <v>286</v>
      </c>
      <c r="M63" s="8"/>
      <c r="N63" s="272"/>
    </row>
    <row r="64" spans="1:14" s="3" customFormat="1" ht="12.2" customHeight="1" x14ac:dyDescent="0.15">
      <c r="A64" s="1" t="s">
        <v>512</v>
      </c>
      <c r="B64" s="2" t="s">
        <v>307</v>
      </c>
      <c r="C64" s="6">
        <v>6</v>
      </c>
      <c r="D64" s="2" t="s">
        <v>428</v>
      </c>
      <c r="E64" s="6">
        <v>1314</v>
      </c>
      <c r="F64" s="18"/>
      <c r="G64" s="24" t="s">
        <v>286</v>
      </c>
      <c r="H64" s="18"/>
      <c r="I64" s="24" t="s">
        <v>286</v>
      </c>
      <c r="J64" s="24" t="s">
        <v>286</v>
      </c>
      <c r="K64" s="24" t="s">
        <v>286</v>
      </c>
      <c r="L64" s="24" t="s">
        <v>286</v>
      </c>
      <c r="M64" s="8"/>
      <c r="N64" s="272"/>
    </row>
    <row r="65" spans="1:14" s="27" customFormat="1" ht="12.2" customHeight="1" x14ac:dyDescent="0.15">
      <c r="A65" s="1" t="s">
        <v>497</v>
      </c>
      <c r="B65" s="2" t="s">
        <v>307</v>
      </c>
      <c r="C65" s="6">
        <v>7</v>
      </c>
      <c r="D65" s="2" t="s">
        <v>428</v>
      </c>
      <c r="E65" s="6">
        <v>1315</v>
      </c>
      <c r="F65" s="18"/>
      <c r="G65" s="24" t="s">
        <v>286</v>
      </c>
      <c r="H65" s="18"/>
      <c r="I65" s="24" t="s">
        <v>286</v>
      </c>
      <c r="J65" s="24" t="s">
        <v>286</v>
      </c>
      <c r="K65" s="24" t="s">
        <v>286</v>
      </c>
      <c r="L65" s="24" t="s">
        <v>286</v>
      </c>
      <c r="M65" s="31"/>
      <c r="N65" s="273"/>
    </row>
    <row r="66" spans="1:14" s="3" customFormat="1" ht="12.2" customHeight="1" x14ac:dyDescent="0.15">
      <c r="A66" s="1" t="s">
        <v>325</v>
      </c>
      <c r="B66" s="2" t="s">
        <v>307</v>
      </c>
      <c r="C66" s="6">
        <v>8</v>
      </c>
      <c r="D66" s="2" t="s">
        <v>428</v>
      </c>
      <c r="E66" s="6">
        <v>1316</v>
      </c>
      <c r="F66" s="18"/>
      <c r="G66" s="24" t="s">
        <v>286</v>
      </c>
      <c r="H66" s="18"/>
      <c r="I66" s="24" t="s">
        <v>286</v>
      </c>
      <c r="J66" s="24" t="s">
        <v>286</v>
      </c>
      <c r="K66" s="24" t="s">
        <v>286</v>
      </c>
      <c r="L66" s="24" t="s">
        <v>286</v>
      </c>
      <c r="M66" s="8"/>
      <c r="N66" s="272"/>
    </row>
    <row r="67" spans="1:14" s="3" customFormat="1" ht="12.2" customHeight="1" x14ac:dyDescent="0.15">
      <c r="A67" s="30" t="s">
        <v>408</v>
      </c>
      <c r="B67" s="2"/>
      <c r="C67" s="6"/>
      <c r="D67" s="6"/>
      <c r="E67" s="6">
        <v>1320</v>
      </c>
      <c r="F67" s="24" t="s">
        <v>286</v>
      </c>
      <c r="G67" s="24" t="s">
        <v>286</v>
      </c>
      <c r="H67" s="24" t="s">
        <v>286</v>
      </c>
      <c r="I67" s="24" t="s">
        <v>286</v>
      </c>
      <c r="J67" s="24" t="s">
        <v>286</v>
      </c>
      <c r="K67" s="24" t="s">
        <v>286</v>
      </c>
      <c r="L67" s="24" t="s">
        <v>286</v>
      </c>
      <c r="M67" s="8"/>
      <c r="N67" s="272"/>
    </row>
    <row r="68" spans="1:14" s="3" customFormat="1" ht="12.2" customHeight="1" x14ac:dyDescent="0.15">
      <c r="A68" s="1" t="s">
        <v>511</v>
      </c>
      <c r="B68" s="2" t="s">
        <v>307</v>
      </c>
      <c r="C68" s="6">
        <v>9</v>
      </c>
      <c r="D68" s="2" t="s">
        <v>428</v>
      </c>
      <c r="E68" s="6">
        <v>1321</v>
      </c>
      <c r="F68" s="18"/>
      <c r="G68" s="24" t="s">
        <v>286</v>
      </c>
      <c r="H68" s="18"/>
      <c r="I68" s="24" t="s">
        <v>286</v>
      </c>
      <c r="J68" s="24" t="s">
        <v>286</v>
      </c>
      <c r="K68" s="24" t="s">
        <v>286</v>
      </c>
      <c r="L68" s="24" t="s">
        <v>286</v>
      </c>
      <c r="M68" s="8"/>
      <c r="N68" s="272"/>
    </row>
    <row r="69" spans="1:14" s="3" customFormat="1" ht="12.2" customHeight="1" x14ac:dyDescent="0.15">
      <c r="A69" s="1" t="s">
        <v>513</v>
      </c>
      <c r="B69" s="2" t="s">
        <v>307</v>
      </c>
      <c r="C69" s="6">
        <v>10</v>
      </c>
      <c r="D69" s="2" t="s">
        <v>428</v>
      </c>
      <c r="E69" s="6">
        <v>1322</v>
      </c>
      <c r="F69" s="18"/>
      <c r="G69" s="24" t="s">
        <v>286</v>
      </c>
      <c r="H69" s="18"/>
      <c r="I69" s="24" t="s">
        <v>286</v>
      </c>
      <c r="J69" s="24" t="s">
        <v>286</v>
      </c>
      <c r="K69" s="24" t="s">
        <v>286</v>
      </c>
      <c r="L69" s="24" t="s">
        <v>286</v>
      </c>
      <c r="M69" s="8"/>
      <c r="N69" s="272"/>
    </row>
    <row r="70" spans="1:14" s="3" customFormat="1" ht="12.2" customHeight="1" x14ac:dyDescent="0.15">
      <c r="A70" s="1" t="s">
        <v>514</v>
      </c>
      <c r="B70" s="2" t="s">
        <v>307</v>
      </c>
      <c r="C70" s="6">
        <v>11</v>
      </c>
      <c r="D70" s="2" t="s">
        <v>428</v>
      </c>
      <c r="E70" s="6">
        <v>1323</v>
      </c>
      <c r="F70" s="18"/>
      <c r="G70" s="24" t="s">
        <v>286</v>
      </c>
      <c r="H70" s="18"/>
      <c r="I70" s="24" t="s">
        <v>286</v>
      </c>
      <c r="J70" s="24" t="s">
        <v>286</v>
      </c>
      <c r="K70" s="24" t="s">
        <v>286</v>
      </c>
      <c r="L70" s="24" t="s">
        <v>286</v>
      </c>
      <c r="M70" s="8"/>
      <c r="N70" s="272"/>
    </row>
    <row r="71" spans="1:14" s="3" customFormat="1" ht="12.2" customHeight="1" x14ac:dyDescent="0.15">
      <c r="A71" s="30" t="s">
        <v>409</v>
      </c>
      <c r="B71" s="1" t="s">
        <v>299</v>
      </c>
      <c r="E71" s="6">
        <v>1330</v>
      </c>
      <c r="F71" s="24" t="s">
        <v>286</v>
      </c>
      <c r="G71" s="24" t="s">
        <v>286</v>
      </c>
      <c r="H71" s="24" t="s">
        <v>286</v>
      </c>
      <c r="I71" s="24" t="s">
        <v>286</v>
      </c>
      <c r="J71" s="24" t="s">
        <v>286</v>
      </c>
      <c r="K71" s="24" t="s">
        <v>286</v>
      </c>
      <c r="L71" s="24" t="s">
        <v>286</v>
      </c>
      <c r="M71" s="8"/>
      <c r="N71" s="272"/>
    </row>
    <row r="72" spans="1:14" s="3" customFormat="1" ht="12.2" customHeight="1" x14ac:dyDescent="0.15">
      <c r="A72" s="1" t="s">
        <v>511</v>
      </c>
      <c r="B72" s="2" t="s">
        <v>307</v>
      </c>
      <c r="C72" s="6">
        <v>12</v>
      </c>
      <c r="D72" s="2" t="s">
        <v>428</v>
      </c>
      <c r="E72" s="6">
        <v>1331</v>
      </c>
      <c r="F72" s="18"/>
      <c r="G72" s="24" t="s">
        <v>286</v>
      </c>
      <c r="H72" s="18"/>
      <c r="I72" s="24" t="s">
        <v>286</v>
      </c>
      <c r="J72" s="24" t="s">
        <v>286</v>
      </c>
      <c r="K72" s="24" t="s">
        <v>286</v>
      </c>
      <c r="L72" s="24" t="s">
        <v>286</v>
      </c>
      <c r="M72" s="8"/>
      <c r="N72" s="272"/>
    </row>
    <row r="73" spans="1:14" s="3" customFormat="1" ht="12.2" customHeight="1" x14ac:dyDescent="0.15">
      <c r="A73" s="1" t="s">
        <v>513</v>
      </c>
      <c r="B73" s="2" t="s">
        <v>307</v>
      </c>
      <c r="C73" s="6">
        <v>13</v>
      </c>
      <c r="D73" s="2" t="s">
        <v>428</v>
      </c>
      <c r="E73" s="6">
        <v>1332</v>
      </c>
      <c r="F73" s="18"/>
      <c r="G73" s="24" t="s">
        <v>286</v>
      </c>
      <c r="H73" s="18"/>
      <c r="I73" s="24" t="s">
        <v>286</v>
      </c>
      <c r="J73" s="24" t="s">
        <v>286</v>
      </c>
      <c r="K73" s="24" t="s">
        <v>286</v>
      </c>
      <c r="L73" s="24" t="s">
        <v>286</v>
      </c>
      <c r="M73" s="8"/>
      <c r="N73" s="272"/>
    </row>
    <row r="74" spans="1:14" s="3" customFormat="1" ht="12.2" customHeight="1" x14ac:dyDescent="0.15">
      <c r="A74" s="1" t="s">
        <v>514</v>
      </c>
      <c r="B74" s="2" t="s">
        <v>307</v>
      </c>
      <c r="C74" s="6">
        <v>14</v>
      </c>
      <c r="D74" s="2" t="s">
        <v>428</v>
      </c>
      <c r="E74" s="6">
        <v>1333</v>
      </c>
      <c r="F74" s="18"/>
      <c r="G74" s="24" t="s">
        <v>286</v>
      </c>
      <c r="H74" s="18"/>
      <c r="I74" s="24" t="s">
        <v>286</v>
      </c>
      <c r="J74" s="24" t="s">
        <v>286</v>
      </c>
      <c r="K74" s="24" t="s">
        <v>286</v>
      </c>
      <c r="L74" s="24" t="s">
        <v>286</v>
      </c>
      <c r="M74" s="8"/>
      <c r="N74" s="272"/>
    </row>
    <row r="75" spans="1:14" s="3" customFormat="1" ht="12.2" customHeight="1" x14ac:dyDescent="0.15">
      <c r="A75" s="30" t="s">
        <v>311</v>
      </c>
      <c r="E75" s="6">
        <v>1340</v>
      </c>
      <c r="F75" s="24" t="s">
        <v>286</v>
      </c>
      <c r="G75" s="24" t="s">
        <v>286</v>
      </c>
      <c r="H75" s="24" t="s">
        <v>286</v>
      </c>
      <c r="I75" s="24" t="s">
        <v>286</v>
      </c>
      <c r="J75" s="24" t="s">
        <v>286</v>
      </c>
      <c r="K75" s="24" t="s">
        <v>286</v>
      </c>
      <c r="L75" s="24" t="s">
        <v>286</v>
      </c>
      <c r="M75" s="8"/>
      <c r="N75" s="272"/>
    </row>
    <row r="76" spans="1:14" s="3" customFormat="1" ht="12.2" customHeight="1" x14ac:dyDescent="0.15">
      <c r="A76" s="1" t="s">
        <v>511</v>
      </c>
      <c r="B76" s="2" t="s">
        <v>307</v>
      </c>
      <c r="C76" s="6">
        <v>15</v>
      </c>
      <c r="D76" s="2" t="s">
        <v>428</v>
      </c>
      <c r="E76" s="6">
        <v>1341</v>
      </c>
      <c r="F76" s="18"/>
      <c r="G76" s="24" t="s">
        <v>286</v>
      </c>
      <c r="H76" s="18"/>
      <c r="I76" s="24" t="s">
        <v>286</v>
      </c>
      <c r="J76" s="24" t="s">
        <v>286</v>
      </c>
      <c r="K76" s="24" t="s">
        <v>286</v>
      </c>
      <c r="L76" s="24" t="s">
        <v>286</v>
      </c>
      <c r="M76" s="8"/>
      <c r="N76" s="272"/>
    </row>
    <row r="77" spans="1:14" s="3" customFormat="1" ht="12.2" customHeight="1" x14ac:dyDescent="0.15">
      <c r="A77" s="1" t="s">
        <v>513</v>
      </c>
      <c r="B77" s="2" t="s">
        <v>307</v>
      </c>
      <c r="C77" s="6">
        <v>16</v>
      </c>
      <c r="D77" s="2" t="s">
        <v>428</v>
      </c>
      <c r="E77" s="6">
        <v>1342</v>
      </c>
      <c r="F77" s="18"/>
      <c r="G77" s="24" t="s">
        <v>286</v>
      </c>
      <c r="H77" s="18"/>
      <c r="I77" s="24" t="s">
        <v>286</v>
      </c>
      <c r="J77" s="24" t="s">
        <v>286</v>
      </c>
      <c r="K77" s="24" t="s">
        <v>286</v>
      </c>
      <c r="L77" s="24" t="s">
        <v>286</v>
      </c>
      <c r="M77" s="8"/>
      <c r="N77" s="272"/>
    </row>
    <row r="78" spans="1:14" ht="12.2" customHeight="1" thickBot="1" x14ac:dyDescent="0.25">
      <c r="A78" s="1" t="s">
        <v>508</v>
      </c>
      <c r="B78" s="2" t="s">
        <v>307</v>
      </c>
      <c r="C78" s="6">
        <v>17</v>
      </c>
      <c r="D78" s="2" t="s">
        <v>428</v>
      </c>
      <c r="E78" s="6">
        <v>1349</v>
      </c>
      <c r="F78" s="18"/>
      <c r="G78" s="24" t="s">
        <v>286</v>
      </c>
      <c r="H78" s="18"/>
      <c r="I78" s="24" t="s">
        <v>286</v>
      </c>
      <c r="J78" s="24" t="s">
        <v>286</v>
      </c>
      <c r="K78" s="24" t="s">
        <v>286</v>
      </c>
      <c r="L78" s="24" t="s">
        <v>286</v>
      </c>
      <c r="N78" s="270"/>
    </row>
    <row r="79" spans="1:14" s="3" customFormat="1" ht="12.2" customHeight="1" thickTop="1" x14ac:dyDescent="0.15">
      <c r="A79" s="38" t="s">
        <v>407</v>
      </c>
      <c r="B79" s="39" t="s">
        <v>307</v>
      </c>
      <c r="C79" s="39" t="s">
        <v>312</v>
      </c>
      <c r="D79" s="39" t="s">
        <v>428</v>
      </c>
      <c r="E79" s="40">
        <v>1300</v>
      </c>
      <c r="F79" s="41">
        <f>SUM(F63:F78)</f>
        <v>84750</v>
      </c>
      <c r="G79" s="45" t="s">
        <v>286</v>
      </c>
      <c r="H79" s="41">
        <f>SUM(H63:H78)</f>
        <v>88353</v>
      </c>
      <c r="I79" s="45" t="s">
        <v>286</v>
      </c>
      <c r="J79" s="45" t="s">
        <v>286</v>
      </c>
      <c r="K79" s="45" t="s">
        <v>286</v>
      </c>
      <c r="L79" s="45" t="s">
        <v>286</v>
      </c>
      <c r="M79" s="8">
        <v>278</v>
      </c>
      <c r="N79" s="272"/>
    </row>
    <row r="80" spans="1:14" s="3" customFormat="1" ht="12.2" customHeight="1" x14ac:dyDescent="0.2">
      <c r="A80"/>
      <c r="B80"/>
      <c r="C80" s="32"/>
      <c r="D80" s="32"/>
      <c r="E80" s="32"/>
      <c r="F80" s="23" t="s">
        <v>271</v>
      </c>
      <c r="G80" s="23" t="s">
        <v>272</v>
      </c>
      <c r="H80" s="23" t="s">
        <v>273</v>
      </c>
      <c r="I80" s="23" t="s">
        <v>274</v>
      </c>
      <c r="J80" s="23" t="s">
        <v>275</v>
      </c>
      <c r="K80" s="20"/>
      <c r="L80" s="20"/>
      <c r="M80" s="8"/>
      <c r="N80" s="272"/>
    </row>
    <row r="81" spans="1:14" s="3" customFormat="1" ht="12.2" customHeight="1" x14ac:dyDescent="0.2">
      <c r="A81" s="170" t="s">
        <v>516</v>
      </c>
      <c r="C81" s="23"/>
      <c r="D81" s="23"/>
      <c r="E81" s="23"/>
      <c r="F81" s="23"/>
      <c r="G81" s="23"/>
      <c r="H81" s="23" t="s">
        <v>280</v>
      </c>
      <c r="I81" s="23"/>
      <c r="J81" s="23"/>
      <c r="K81" s="20"/>
      <c r="L81" s="20"/>
      <c r="M81" s="8"/>
      <c r="N81" s="272"/>
    </row>
    <row r="82" spans="1:14" s="3" customFormat="1" ht="12.2" customHeight="1" x14ac:dyDescent="0.2">
      <c r="A82" s="30" t="s">
        <v>410</v>
      </c>
      <c r="C82" s="23"/>
      <c r="D82" s="23"/>
      <c r="E82" s="6">
        <v>1410</v>
      </c>
      <c r="F82" s="16" t="s">
        <v>278</v>
      </c>
      <c r="G82" s="16" t="s">
        <v>279</v>
      </c>
      <c r="H82" s="16" t="s">
        <v>766</v>
      </c>
      <c r="I82" s="16" t="s">
        <v>281</v>
      </c>
      <c r="J82" s="16" t="s">
        <v>282</v>
      </c>
      <c r="K82" s="20"/>
      <c r="L82" s="20"/>
      <c r="M82" s="8"/>
      <c r="N82" s="272"/>
    </row>
    <row r="83" spans="1:14" s="3" customFormat="1" ht="12.2" customHeight="1" x14ac:dyDescent="0.15">
      <c r="A83" s="1" t="s">
        <v>511</v>
      </c>
      <c r="B83" s="2" t="s">
        <v>313</v>
      </c>
      <c r="C83" s="6">
        <v>1</v>
      </c>
      <c r="D83" s="2" t="s">
        <v>428</v>
      </c>
      <c r="E83" s="6">
        <v>1411</v>
      </c>
      <c r="F83" s="18"/>
      <c r="G83" s="24" t="s">
        <v>286</v>
      </c>
      <c r="H83" s="18"/>
      <c r="I83" s="24" t="s">
        <v>286</v>
      </c>
      <c r="J83" s="24" t="s">
        <v>286</v>
      </c>
      <c r="K83" s="24" t="s">
        <v>286</v>
      </c>
      <c r="L83" s="24" t="s">
        <v>286</v>
      </c>
      <c r="M83" s="8"/>
      <c r="N83" s="272"/>
    </row>
    <row r="84" spans="1:14" s="3" customFormat="1" ht="12.2" customHeight="1" x14ac:dyDescent="0.15">
      <c r="A84" s="1" t="s">
        <v>512</v>
      </c>
      <c r="B84" s="2" t="s">
        <v>313</v>
      </c>
      <c r="C84" s="6">
        <v>2</v>
      </c>
      <c r="D84" s="2" t="s">
        <v>428</v>
      </c>
      <c r="E84" s="6">
        <v>1414</v>
      </c>
      <c r="F84" s="18"/>
      <c r="G84" s="24" t="s">
        <v>286</v>
      </c>
      <c r="H84" s="18"/>
      <c r="I84" s="24" t="s">
        <v>286</v>
      </c>
      <c r="J84" s="24" t="s">
        <v>286</v>
      </c>
      <c r="K84" s="24" t="s">
        <v>286</v>
      </c>
      <c r="L84" s="24" t="s">
        <v>286</v>
      </c>
      <c r="M84" s="8"/>
      <c r="N84" s="272"/>
    </row>
    <row r="85" spans="1:14" s="3" customFormat="1" ht="12.2" customHeight="1" x14ac:dyDescent="0.15">
      <c r="A85" s="30" t="s">
        <v>310</v>
      </c>
      <c r="C85" s="23"/>
      <c r="D85" s="23"/>
      <c r="E85" s="6">
        <v>1420</v>
      </c>
      <c r="F85" s="24" t="s">
        <v>286</v>
      </c>
      <c r="G85" s="24" t="s">
        <v>286</v>
      </c>
      <c r="H85" s="24" t="s">
        <v>286</v>
      </c>
      <c r="I85" s="24" t="s">
        <v>286</v>
      </c>
      <c r="J85" s="24" t="s">
        <v>286</v>
      </c>
      <c r="K85" s="24" t="s">
        <v>286</v>
      </c>
      <c r="L85" s="24" t="s">
        <v>286</v>
      </c>
      <c r="M85" s="8"/>
      <c r="N85" s="272"/>
    </row>
    <row r="86" spans="1:14" s="3" customFormat="1" ht="12.2" customHeight="1" x14ac:dyDescent="0.15">
      <c r="A86" s="1" t="s">
        <v>511</v>
      </c>
      <c r="B86" s="1" t="s">
        <v>313</v>
      </c>
      <c r="C86" s="6">
        <v>3</v>
      </c>
      <c r="D86" s="2" t="s">
        <v>428</v>
      </c>
      <c r="E86" s="6">
        <v>1421</v>
      </c>
      <c r="F86" s="18"/>
      <c r="G86" s="24" t="s">
        <v>286</v>
      </c>
      <c r="H86" s="18"/>
      <c r="I86" s="24" t="s">
        <v>286</v>
      </c>
      <c r="J86" s="24" t="s">
        <v>286</v>
      </c>
      <c r="K86" s="24" t="s">
        <v>286</v>
      </c>
      <c r="L86" s="24" t="s">
        <v>286</v>
      </c>
      <c r="M86" s="8"/>
      <c r="N86" s="272"/>
    </row>
    <row r="87" spans="1:14" s="3" customFormat="1" ht="12.2" customHeight="1" x14ac:dyDescent="0.15">
      <c r="A87" s="1" t="s">
        <v>513</v>
      </c>
      <c r="B87" s="2" t="s">
        <v>313</v>
      </c>
      <c r="C87" s="6">
        <v>4</v>
      </c>
      <c r="D87" s="2" t="s">
        <v>428</v>
      </c>
      <c r="E87" s="6">
        <v>1422</v>
      </c>
      <c r="F87" s="18"/>
      <c r="G87" s="24" t="s">
        <v>286</v>
      </c>
      <c r="H87" s="18"/>
      <c r="I87" s="24" t="s">
        <v>286</v>
      </c>
      <c r="J87" s="24" t="s">
        <v>286</v>
      </c>
      <c r="K87" s="24" t="s">
        <v>286</v>
      </c>
      <c r="L87" s="24" t="s">
        <v>286</v>
      </c>
      <c r="M87" s="8"/>
      <c r="N87" s="272"/>
    </row>
    <row r="88" spans="1:14" s="3" customFormat="1" ht="12.2" customHeight="1" x14ac:dyDescent="0.15">
      <c r="A88" s="1" t="s">
        <v>514</v>
      </c>
      <c r="B88" s="2" t="s">
        <v>313</v>
      </c>
      <c r="C88" s="6">
        <v>5</v>
      </c>
      <c r="D88" s="2" t="s">
        <v>428</v>
      </c>
      <c r="E88" s="6">
        <v>1423</v>
      </c>
      <c r="F88" s="18"/>
      <c r="G88" s="24" t="s">
        <v>286</v>
      </c>
      <c r="H88" s="18"/>
      <c r="I88" s="24" t="s">
        <v>286</v>
      </c>
      <c r="J88" s="24" t="s">
        <v>286</v>
      </c>
      <c r="K88" s="24" t="s">
        <v>286</v>
      </c>
      <c r="L88" s="24" t="s">
        <v>286</v>
      </c>
      <c r="M88" s="8"/>
      <c r="N88" s="272"/>
    </row>
    <row r="89" spans="1:14" s="3" customFormat="1" ht="12.2" customHeight="1" x14ac:dyDescent="0.15">
      <c r="A89" s="30" t="s">
        <v>314</v>
      </c>
      <c r="C89" s="23"/>
      <c r="D89" s="23"/>
      <c r="E89" s="6">
        <v>1430</v>
      </c>
      <c r="F89" s="24" t="s">
        <v>286</v>
      </c>
      <c r="G89" s="24" t="s">
        <v>286</v>
      </c>
      <c r="H89" s="24" t="s">
        <v>286</v>
      </c>
      <c r="I89" s="24" t="s">
        <v>286</v>
      </c>
      <c r="J89" s="24" t="s">
        <v>286</v>
      </c>
      <c r="K89" s="24" t="s">
        <v>286</v>
      </c>
      <c r="L89" s="24" t="s">
        <v>286</v>
      </c>
      <c r="M89" s="8"/>
      <c r="N89" s="272"/>
    </row>
    <row r="90" spans="1:14" s="3" customFormat="1" ht="12.2" customHeight="1" x14ac:dyDescent="0.15">
      <c r="A90" s="1" t="s">
        <v>511</v>
      </c>
      <c r="B90" s="2" t="s">
        <v>313</v>
      </c>
      <c r="C90" s="6">
        <v>6</v>
      </c>
      <c r="D90" s="2" t="s">
        <v>428</v>
      </c>
      <c r="E90" s="6">
        <v>1431</v>
      </c>
      <c r="F90" s="18"/>
      <c r="G90" s="24" t="s">
        <v>286</v>
      </c>
      <c r="H90" s="18"/>
      <c r="I90" s="24" t="s">
        <v>286</v>
      </c>
      <c r="J90" s="24" t="s">
        <v>286</v>
      </c>
      <c r="K90" s="24" t="s">
        <v>286</v>
      </c>
      <c r="L90" s="24" t="s">
        <v>286</v>
      </c>
      <c r="M90" s="8"/>
      <c r="N90" s="272"/>
    </row>
    <row r="91" spans="1:14" s="3" customFormat="1" ht="12.2" customHeight="1" x14ac:dyDescent="0.15">
      <c r="A91" s="1" t="s">
        <v>513</v>
      </c>
      <c r="B91" s="2" t="s">
        <v>313</v>
      </c>
      <c r="C91" s="6">
        <v>7</v>
      </c>
      <c r="D91" s="2" t="s">
        <v>428</v>
      </c>
      <c r="E91" s="6">
        <v>1432</v>
      </c>
      <c r="F91" s="18"/>
      <c r="G91" s="24" t="s">
        <v>286</v>
      </c>
      <c r="H91" s="18"/>
      <c r="I91" s="24" t="s">
        <v>286</v>
      </c>
      <c r="J91" s="24" t="s">
        <v>286</v>
      </c>
      <c r="K91" s="24" t="s">
        <v>286</v>
      </c>
      <c r="L91" s="24" t="s">
        <v>286</v>
      </c>
      <c r="M91" s="8"/>
      <c r="N91" s="272"/>
    </row>
    <row r="92" spans="1:14" s="3" customFormat="1" ht="12.2" customHeight="1" x14ac:dyDescent="0.15">
      <c r="A92" s="1" t="s">
        <v>514</v>
      </c>
      <c r="B92" s="2" t="s">
        <v>313</v>
      </c>
      <c r="C92" s="6">
        <v>8</v>
      </c>
      <c r="D92" s="2" t="s">
        <v>428</v>
      </c>
      <c r="E92" s="6">
        <v>1433</v>
      </c>
      <c r="F92" s="18"/>
      <c r="G92" s="24" t="s">
        <v>286</v>
      </c>
      <c r="H92" s="18"/>
      <c r="I92" s="24" t="s">
        <v>286</v>
      </c>
      <c r="J92" s="24" t="s">
        <v>286</v>
      </c>
      <c r="K92" s="24" t="s">
        <v>286</v>
      </c>
      <c r="L92" s="24" t="s">
        <v>286</v>
      </c>
      <c r="M92" s="8"/>
      <c r="N92" s="272"/>
    </row>
    <row r="93" spans="1:14" s="3" customFormat="1" ht="12.2" customHeight="1" thickBot="1" x14ac:dyDescent="0.2">
      <c r="A93" s="1" t="s">
        <v>517</v>
      </c>
      <c r="B93" s="2" t="s">
        <v>313</v>
      </c>
      <c r="C93" s="6">
        <v>9</v>
      </c>
      <c r="D93" s="2" t="s">
        <v>428</v>
      </c>
      <c r="E93" s="6">
        <v>1440</v>
      </c>
      <c r="F93" s="18"/>
      <c r="G93" s="24" t="s">
        <v>286</v>
      </c>
      <c r="H93" s="18"/>
      <c r="I93" s="24" t="s">
        <v>286</v>
      </c>
      <c r="J93" s="24" t="s">
        <v>286</v>
      </c>
      <c r="K93" s="24" t="s">
        <v>286</v>
      </c>
      <c r="L93" s="24" t="s">
        <v>286</v>
      </c>
      <c r="M93" s="8"/>
      <c r="N93" s="272"/>
    </row>
    <row r="94" spans="1:14" s="3" customFormat="1" ht="12.2" customHeight="1" thickTop="1" x14ac:dyDescent="0.15">
      <c r="A94" s="38" t="s">
        <v>411</v>
      </c>
      <c r="B94" s="39" t="s">
        <v>313</v>
      </c>
      <c r="C94" s="40">
        <v>10</v>
      </c>
      <c r="D94" s="39" t="s">
        <v>428</v>
      </c>
      <c r="E94" s="40">
        <v>1400</v>
      </c>
      <c r="F94" s="41">
        <f>SUM(F83:F93)</f>
        <v>0</v>
      </c>
      <c r="G94" s="45" t="s">
        <v>286</v>
      </c>
      <c r="H94" s="41">
        <f>SUM(H83:H93)</f>
        <v>0</v>
      </c>
      <c r="I94" s="45" t="s">
        <v>286</v>
      </c>
      <c r="J94" s="45" t="s">
        <v>286</v>
      </c>
      <c r="K94" s="45" t="s">
        <v>286</v>
      </c>
      <c r="L94" s="45" t="s">
        <v>286</v>
      </c>
      <c r="M94" s="8"/>
      <c r="N94" s="272"/>
    </row>
    <row r="95" spans="1:14" s="3" customFormat="1" ht="12.2" customHeight="1" x14ac:dyDescent="0.15">
      <c r="A95" s="30" t="s">
        <v>315</v>
      </c>
      <c r="B95" s="2" t="s">
        <v>284</v>
      </c>
      <c r="C95" s="6" t="s">
        <v>284</v>
      </c>
      <c r="D95" s="6"/>
      <c r="E95" s="6"/>
      <c r="F95" s="24" t="s">
        <v>286</v>
      </c>
      <c r="G95" s="24" t="s">
        <v>286</v>
      </c>
      <c r="H95" s="24" t="s">
        <v>286</v>
      </c>
      <c r="I95" s="24" t="s">
        <v>286</v>
      </c>
      <c r="J95" s="24" t="s">
        <v>286</v>
      </c>
      <c r="K95" s="24" t="s">
        <v>286</v>
      </c>
      <c r="L95" s="24" t="s">
        <v>286</v>
      </c>
      <c r="M95" s="8"/>
      <c r="N95" s="272"/>
    </row>
    <row r="96" spans="1:14" s="3" customFormat="1" ht="12.2" customHeight="1" x14ac:dyDescent="0.15">
      <c r="A96" s="1" t="s">
        <v>590</v>
      </c>
      <c r="B96" s="2" t="s">
        <v>313</v>
      </c>
      <c r="C96" s="6">
        <v>11</v>
      </c>
      <c r="D96" s="2" t="s">
        <v>428</v>
      </c>
      <c r="E96" s="6">
        <v>1500</v>
      </c>
      <c r="F96" s="18">
        <v>46077.36</v>
      </c>
      <c r="G96" s="18"/>
      <c r="H96" s="18"/>
      <c r="I96" s="18">
        <v>388996.14</v>
      </c>
      <c r="J96" s="18">
        <v>115</v>
      </c>
      <c r="K96" s="24" t="s">
        <v>286</v>
      </c>
      <c r="L96" s="24" t="s">
        <v>286</v>
      </c>
      <c r="M96" s="8"/>
      <c r="N96" s="272"/>
    </row>
    <row r="97" spans="1:14" s="3" customFormat="1" ht="12.2" customHeight="1" x14ac:dyDescent="0.15">
      <c r="A97" s="1" t="s">
        <v>501</v>
      </c>
      <c r="B97" s="2" t="s">
        <v>313</v>
      </c>
      <c r="C97" s="6">
        <v>12</v>
      </c>
      <c r="D97" s="2" t="s">
        <v>428</v>
      </c>
      <c r="E97" s="6">
        <v>1600</v>
      </c>
      <c r="F97" s="24" t="s">
        <v>286</v>
      </c>
      <c r="G97" s="18">
        <v>681459.39</v>
      </c>
      <c r="H97" s="24" t="s">
        <v>286</v>
      </c>
      <c r="I97" s="24" t="s">
        <v>286</v>
      </c>
      <c r="J97" s="24" t="s">
        <v>286</v>
      </c>
      <c r="K97" s="24" t="s">
        <v>286</v>
      </c>
      <c r="L97" s="24" t="s">
        <v>286</v>
      </c>
      <c r="M97" s="8"/>
      <c r="N97" s="272"/>
    </row>
    <row r="98" spans="1:14" s="3" customFormat="1" ht="12.2" customHeight="1" x14ac:dyDescent="0.15">
      <c r="A98" s="1" t="s">
        <v>502</v>
      </c>
      <c r="B98" s="2" t="s">
        <v>313</v>
      </c>
      <c r="C98" s="6">
        <v>13</v>
      </c>
      <c r="D98" s="2" t="s">
        <v>428</v>
      </c>
      <c r="E98" s="6">
        <v>1700</v>
      </c>
      <c r="F98" s="18"/>
      <c r="G98" s="24" t="s">
        <v>286</v>
      </c>
      <c r="H98" s="18">
        <v>25795</v>
      </c>
      <c r="I98" s="24" t="s">
        <v>286</v>
      </c>
      <c r="J98" s="24" t="s">
        <v>286</v>
      </c>
      <c r="K98" s="24" t="s">
        <v>286</v>
      </c>
      <c r="L98" s="24" t="s">
        <v>286</v>
      </c>
      <c r="M98" s="8"/>
      <c r="N98" s="272"/>
    </row>
    <row r="99" spans="1:14" s="3" customFormat="1" ht="12.2" customHeight="1" x14ac:dyDescent="0.15">
      <c r="A99" s="1" t="s">
        <v>585</v>
      </c>
      <c r="B99" s="2" t="s">
        <v>313</v>
      </c>
      <c r="C99" s="6">
        <v>14</v>
      </c>
      <c r="D99" s="2" t="s">
        <v>428</v>
      </c>
      <c r="E99" s="6">
        <v>1800</v>
      </c>
      <c r="F99" s="18"/>
      <c r="G99" s="18"/>
      <c r="H99" s="18"/>
      <c r="I99" s="24" t="s">
        <v>286</v>
      </c>
      <c r="J99" s="24" t="s">
        <v>286</v>
      </c>
      <c r="K99" s="24" t="s">
        <v>286</v>
      </c>
      <c r="L99" s="24" t="s">
        <v>286</v>
      </c>
      <c r="M99" s="8"/>
      <c r="N99" s="272"/>
    </row>
    <row r="100" spans="1:14" s="3" customFormat="1" ht="12.2" customHeight="1" x14ac:dyDescent="0.15">
      <c r="A100" s="30" t="s">
        <v>316</v>
      </c>
      <c r="B100" s="2"/>
      <c r="C100" s="6"/>
      <c r="D100" s="6"/>
      <c r="E100" s="6"/>
      <c r="F100" s="24" t="s">
        <v>286</v>
      </c>
      <c r="G100" s="24" t="s">
        <v>286</v>
      </c>
      <c r="H100" s="24" t="s">
        <v>286</v>
      </c>
      <c r="I100" s="24" t="s">
        <v>286</v>
      </c>
      <c r="J100" s="24" t="s">
        <v>286</v>
      </c>
      <c r="K100" s="24" t="s">
        <v>286</v>
      </c>
      <c r="L100" s="24" t="s">
        <v>286</v>
      </c>
      <c r="M100" s="8"/>
      <c r="N100" s="272"/>
    </row>
    <row r="101" spans="1:14" s="3" customFormat="1" ht="12.2" customHeight="1" x14ac:dyDescent="0.15">
      <c r="A101" s="1" t="s">
        <v>503</v>
      </c>
      <c r="B101" s="2" t="s">
        <v>313</v>
      </c>
      <c r="C101" s="6">
        <v>15</v>
      </c>
      <c r="D101" s="2" t="s">
        <v>428</v>
      </c>
      <c r="E101" s="6">
        <v>1910</v>
      </c>
      <c r="F101" s="18">
        <v>75470.75</v>
      </c>
      <c r="G101" s="18"/>
      <c r="H101" s="18"/>
      <c r="I101" s="18"/>
      <c r="J101" s="24" t="s">
        <v>286</v>
      </c>
      <c r="K101" s="24" t="s">
        <v>286</v>
      </c>
      <c r="L101" s="24" t="s">
        <v>286</v>
      </c>
      <c r="M101" s="8"/>
      <c r="N101" s="272"/>
    </row>
    <row r="102" spans="1:14" s="3" customFormat="1" ht="12.2" customHeight="1" x14ac:dyDescent="0.15">
      <c r="A102" s="1" t="s">
        <v>504</v>
      </c>
      <c r="B102" s="2" t="s">
        <v>313</v>
      </c>
      <c r="C102" s="6">
        <v>16</v>
      </c>
      <c r="D102" s="2" t="s">
        <v>428</v>
      </c>
      <c r="E102" s="6">
        <v>1920</v>
      </c>
      <c r="F102" s="18"/>
      <c r="G102" s="18"/>
      <c r="H102" s="18">
        <v>29186.97</v>
      </c>
      <c r="I102" s="18"/>
      <c r="J102" s="18"/>
      <c r="K102" s="24" t="s">
        <v>286</v>
      </c>
      <c r="L102" s="24" t="s">
        <v>286</v>
      </c>
      <c r="M102" s="8"/>
      <c r="N102" s="272"/>
    </row>
    <row r="103" spans="1:14" s="3" customFormat="1" ht="12.2" customHeight="1" x14ac:dyDescent="0.15">
      <c r="A103" s="1" t="s">
        <v>505</v>
      </c>
      <c r="B103" s="2" t="s">
        <v>313</v>
      </c>
      <c r="C103" s="6">
        <v>17</v>
      </c>
      <c r="D103" s="2" t="s">
        <v>428</v>
      </c>
      <c r="E103" s="6">
        <v>1930</v>
      </c>
      <c r="F103" s="18"/>
      <c r="G103" s="18"/>
      <c r="H103" s="18"/>
      <c r="I103" s="24" t="s">
        <v>286</v>
      </c>
      <c r="J103" s="24" t="s">
        <v>286</v>
      </c>
      <c r="K103" s="24" t="s">
        <v>286</v>
      </c>
      <c r="L103" s="24" t="s">
        <v>286</v>
      </c>
      <c r="M103" s="8"/>
      <c r="N103" s="272"/>
    </row>
    <row r="104" spans="1:14" s="3" customFormat="1" ht="12.2" customHeight="1" x14ac:dyDescent="0.15">
      <c r="A104" s="1" t="s">
        <v>586</v>
      </c>
      <c r="B104" s="2" t="s">
        <v>313</v>
      </c>
      <c r="C104" s="6">
        <v>18</v>
      </c>
      <c r="D104" s="2" t="s">
        <v>428</v>
      </c>
      <c r="E104" s="6">
        <v>1940</v>
      </c>
      <c r="F104" s="18"/>
      <c r="G104" s="24" t="s">
        <v>286</v>
      </c>
      <c r="H104" s="18"/>
      <c r="I104" s="24" t="s">
        <v>286</v>
      </c>
      <c r="J104" s="24" t="s">
        <v>286</v>
      </c>
      <c r="K104" s="24" t="s">
        <v>286</v>
      </c>
      <c r="L104" s="24" t="s">
        <v>286</v>
      </c>
      <c r="M104" s="8"/>
      <c r="N104" s="272"/>
    </row>
    <row r="105" spans="1:14" s="3" customFormat="1" ht="12.2" customHeight="1" x14ac:dyDescent="0.15">
      <c r="A105" s="1" t="s">
        <v>587</v>
      </c>
      <c r="B105" s="2" t="s">
        <v>313</v>
      </c>
      <c r="C105" s="6">
        <v>19</v>
      </c>
      <c r="D105" s="2" t="s">
        <v>428</v>
      </c>
      <c r="E105" s="6">
        <v>1951</v>
      </c>
      <c r="F105" s="18"/>
      <c r="G105" s="18"/>
      <c r="H105" s="18"/>
      <c r="I105" s="24" t="s">
        <v>286</v>
      </c>
      <c r="J105" s="24" t="s">
        <v>286</v>
      </c>
      <c r="K105" s="24" t="s">
        <v>286</v>
      </c>
      <c r="L105" s="24" t="s">
        <v>286</v>
      </c>
      <c r="M105" s="8"/>
      <c r="N105" s="272"/>
    </row>
    <row r="106" spans="1:14" s="3" customFormat="1" ht="12.2" customHeight="1" x14ac:dyDescent="0.15">
      <c r="A106" s="1" t="s">
        <v>588</v>
      </c>
      <c r="B106" s="2" t="s">
        <v>313</v>
      </c>
      <c r="C106" s="6">
        <v>20</v>
      </c>
      <c r="D106" s="2" t="s">
        <v>428</v>
      </c>
      <c r="E106" s="6">
        <v>1952</v>
      </c>
      <c r="F106" s="18"/>
      <c r="G106" s="18"/>
      <c r="H106" s="18"/>
      <c r="I106" s="24" t="s">
        <v>286</v>
      </c>
      <c r="J106" s="24" t="s">
        <v>286</v>
      </c>
      <c r="K106" s="24" t="s">
        <v>286</v>
      </c>
      <c r="L106" s="24" t="s">
        <v>286</v>
      </c>
      <c r="M106" s="8"/>
      <c r="N106" s="272"/>
    </row>
    <row r="107" spans="1:14" s="3" customFormat="1" ht="12.2" customHeight="1" x14ac:dyDescent="0.15">
      <c r="A107" s="1" t="s">
        <v>506</v>
      </c>
      <c r="B107" s="2" t="s">
        <v>313</v>
      </c>
      <c r="C107" s="6">
        <v>21</v>
      </c>
      <c r="D107" s="2" t="s">
        <v>428</v>
      </c>
      <c r="E107" s="6">
        <v>1953</v>
      </c>
      <c r="F107" s="18"/>
      <c r="G107" s="18"/>
      <c r="H107" s="18"/>
      <c r="I107" s="18"/>
      <c r="J107" s="24" t="s">
        <v>286</v>
      </c>
      <c r="K107" s="24" t="s">
        <v>286</v>
      </c>
      <c r="L107" s="24" t="s">
        <v>286</v>
      </c>
      <c r="M107" s="8"/>
      <c r="N107" s="272"/>
    </row>
    <row r="108" spans="1:14" s="3" customFormat="1" ht="12.2" customHeight="1" x14ac:dyDescent="0.15">
      <c r="A108" s="1" t="s">
        <v>589</v>
      </c>
      <c r="B108" s="2" t="s">
        <v>313</v>
      </c>
      <c r="C108" s="6">
        <v>22</v>
      </c>
      <c r="D108" s="2" t="s">
        <v>428</v>
      </c>
      <c r="E108" s="6">
        <v>1960</v>
      </c>
      <c r="F108" s="18"/>
      <c r="G108" s="18"/>
      <c r="H108" s="18"/>
      <c r="I108" s="18"/>
      <c r="J108" s="24" t="s">
        <v>286</v>
      </c>
      <c r="K108" s="24" t="s">
        <v>286</v>
      </c>
      <c r="L108" s="24" t="s">
        <v>286</v>
      </c>
      <c r="M108" s="8"/>
      <c r="N108" s="272"/>
    </row>
    <row r="109" spans="1:14" s="3" customFormat="1" ht="12.2" customHeight="1" x14ac:dyDescent="0.15">
      <c r="A109" s="1" t="s">
        <v>507</v>
      </c>
      <c r="B109" s="2" t="s">
        <v>313</v>
      </c>
      <c r="C109" s="6">
        <v>23</v>
      </c>
      <c r="D109" s="2" t="s">
        <v>428</v>
      </c>
      <c r="E109" s="6">
        <v>1980</v>
      </c>
      <c r="F109" s="18"/>
      <c r="G109" s="18"/>
      <c r="H109" s="18"/>
      <c r="I109" s="18"/>
      <c r="J109" s="24" t="s">
        <v>286</v>
      </c>
      <c r="K109" s="24" t="s">
        <v>286</v>
      </c>
      <c r="L109" s="24" t="s">
        <v>286</v>
      </c>
      <c r="M109" s="8"/>
      <c r="N109" s="272"/>
    </row>
    <row r="110" spans="1:14" s="3" customFormat="1" ht="12.2" customHeight="1" thickBot="1" x14ac:dyDescent="0.2">
      <c r="A110" s="1" t="s">
        <v>508</v>
      </c>
      <c r="B110" s="2" t="s">
        <v>313</v>
      </c>
      <c r="C110" s="6">
        <v>24</v>
      </c>
      <c r="D110" s="2" t="s">
        <v>428</v>
      </c>
      <c r="E110" s="6">
        <v>1990</v>
      </c>
      <c r="F110" s="18">
        <v>323219.7</v>
      </c>
      <c r="G110" s="18">
        <v>10002.049999999999</v>
      </c>
      <c r="H110" s="18">
        <v>61450.42</v>
      </c>
      <c r="I110" s="18"/>
      <c r="J110" s="18"/>
      <c r="K110" s="24" t="s">
        <v>286</v>
      </c>
      <c r="L110" s="24" t="s">
        <v>286</v>
      </c>
      <c r="M110" s="8"/>
      <c r="N110" s="272"/>
    </row>
    <row r="111" spans="1:14" ht="12.2" customHeight="1" thickTop="1" thickBot="1" x14ac:dyDescent="0.25">
      <c r="A111" s="38" t="s">
        <v>431</v>
      </c>
      <c r="B111" s="39" t="s">
        <v>313</v>
      </c>
      <c r="C111" s="40">
        <v>25</v>
      </c>
      <c r="D111" s="39" t="s">
        <v>428</v>
      </c>
      <c r="E111" s="40"/>
      <c r="F111" s="41">
        <f>SUM(F96:F110)</f>
        <v>444767.81</v>
      </c>
      <c r="G111" s="41">
        <f>SUM(G96:G110)</f>
        <v>691461.44000000006</v>
      </c>
      <c r="H111" s="41">
        <f>SUM(H96:H110)</f>
        <v>116432.39</v>
      </c>
      <c r="I111" s="41">
        <f>SUM(I96:I110)</f>
        <v>388996.14</v>
      </c>
      <c r="J111" s="41">
        <f>SUM(J96:J110)</f>
        <v>115</v>
      </c>
      <c r="K111" s="45" t="s">
        <v>286</v>
      </c>
      <c r="L111" s="45" t="s">
        <v>286</v>
      </c>
      <c r="N111" s="270"/>
    </row>
    <row r="112" spans="1:14" s="3" customFormat="1" ht="12.2" customHeight="1" thickTop="1" x14ac:dyDescent="0.15">
      <c r="A112" s="38" t="s">
        <v>412</v>
      </c>
      <c r="B112" s="39" t="s">
        <v>313</v>
      </c>
      <c r="C112" s="40">
        <v>26</v>
      </c>
      <c r="D112" s="39" t="s">
        <v>428</v>
      </c>
      <c r="E112" s="40">
        <v>1000</v>
      </c>
      <c r="F112" s="41">
        <f>F60+F79+F94+F111</f>
        <v>31748647.809999999</v>
      </c>
      <c r="G112" s="41">
        <f>G60+G111</f>
        <v>691461.44000000006</v>
      </c>
      <c r="H112" s="41">
        <f>H60+H79+H94+H111</f>
        <v>204785.39</v>
      </c>
      <c r="I112" s="41">
        <f>I60+I111</f>
        <v>388996.14</v>
      </c>
      <c r="J112" s="41">
        <f>J60+J111</f>
        <v>115</v>
      </c>
      <c r="K112" s="45" t="s">
        <v>286</v>
      </c>
      <c r="L112" s="45" t="s">
        <v>286</v>
      </c>
      <c r="M112" s="8"/>
      <c r="N112" s="272"/>
    </row>
    <row r="113" spans="1:14" s="3" customFormat="1" ht="12.2" customHeight="1" x14ac:dyDescent="0.2">
      <c r="A113"/>
      <c r="B113"/>
      <c r="C113"/>
      <c r="D113"/>
      <c r="E113"/>
      <c r="F113" s="23" t="s">
        <v>271</v>
      </c>
      <c r="G113" s="23" t="s">
        <v>272</v>
      </c>
      <c r="H113" s="23" t="s">
        <v>273</v>
      </c>
      <c r="I113" s="23" t="s">
        <v>274</v>
      </c>
      <c r="J113" s="23" t="s">
        <v>275</v>
      </c>
      <c r="K113" s="20"/>
      <c r="L113" s="20"/>
      <c r="M113" s="8"/>
      <c r="N113" s="272"/>
    </row>
    <row r="114" spans="1:14" s="3" customFormat="1" ht="12.2" customHeight="1" x14ac:dyDescent="0.2">
      <c r="A114" s="29" t="s">
        <v>317</v>
      </c>
      <c r="H114" s="23" t="s">
        <v>280</v>
      </c>
      <c r="K114" s="20"/>
      <c r="L114" s="20"/>
      <c r="M114" s="8"/>
      <c r="N114" s="272"/>
    </row>
    <row r="115" spans="1:14" s="3" customFormat="1" ht="12.2" customHeight="1" x14ac:dyDescent="0.2">
      <c r="A115" s="28" t="s">
        <v>318</v>
      </c>
      <c r="F115" s="16" t="s">
        <v>278</v>
      </c>
      <c r="G115" s="14" t="s">
        <v>279</v>
      </c>
      <c r="H115" s="16" t="s">
        <v>766</v>
      </c>
      <c r="I115" s="16" t="s">
        <v>281</v>
      </c>
      <c r="J115" s="16" t="s">
        <v>282</v>
      </c>
      <c r="K115" s="20"/>
      <c r="L115" s="20"/>
      <c r="M115" s="8"/>
      <c r="N115" s="272"/>
    </row>
    <row r="116" spans="1:14" s="3" customFormat="1" ht="12.2" customHeight="1" x14ac:dyDescent="0.15">
      <c r="A116" s="30" t="s">
        <v>321</v>
      </c>
      <c r="B116" s="7"/>
      <c r="C116" s="7"/>
      <c r="D116" s="7"/>
      <c r="E116" s="7"/>
      <c r="F116" s="24" t="s">
        <v>286</v>
      </c>
      <c r="G116" s="24" t="s">
        <v>286</v>
      </c>
      <c r="H116" s="24" t="s">
        <v>286</v>
      </c>
      <c r="I116" s="24" t="s">
        <v>286</v>
      </c>
      <c r="J116" s="24" t="s">
        <v>286</v>
      </c>
      <c r="K116" s="24" t="s">
        <v>286</v>
      </c>
      <c r="L116" s="24" t="s">
        <v>286</v>
      </c>
      <c r="M116" s="8"/>
      <c r="N116" s="272"/>
    </row>
    <row r="117" spans="1:14" s="3" customFormat="1" ht="12.2" customHeight="1" x14ac:dyDescent="0.15">
      <c r="A117" s="1" t="s">
        <v>843</v>
      </c>
      <c r="B117" s="2" t="s">
        <v>319</v>
      </c>
      <c r="C117" s="6">
        <v>1</v>
      </c>
      <c r="D117" s="2" t="s">
        <v>428</v>
      </c>
      <c r="E117" s="6">
        <v>3111</v>
      </c>
      <c r="F117" s="18">
        <v>6083541.21</v>
      </c>
      <c r="G117" s="24" t="s">
        <v>286</v>
      </c>
      <c r="H117" s="24" t="s">
        <v>286</v>
      </c>
      <c r="I117" s="24" t="s">
        <v>286</v>
      </c>
      <c r="J117" s="24" t="s">
        <v>286</v>
      </c>
      <c r="K117" s="24" t="s">
        <v>286</v>
      </c>
      <c r="L117" s="24" t="s">
        <v>286</v>
      </c>
      <c r="M117" s="8"/>
      <c r="N117" s="272"/>
    </row>
    <row r="118" spans="1:14" s="3" customFormat="1" ht="12.2" customHeight="1" x14ac:dyDescent="0.15">
      <c r="A118" s="1" t="s">
        <v>767</v>
      </c>
      <c r="B118" s="2" t="s">
        <v>319</v>
      </c>
      <c r="C118" s="6">
        <v>2</v>
      </c>
      <c r="D118" s="2" t="s">
        <v>428</v>
      </c>
      <c r="E118" s="6">
        <v>3112</v>
      </c>
      <c r="F118" s="18">
        <v>5377756</v>
      </c>
      <c r="G118" s="24" t="s">
        <v>286</v>
      </c>
      <c r="H118" s="24" t="s">
        <v>286</v>
      </c>
      <c r="I118" s="24" t="s">
        <v>286</v>
      </c>
      <c r="J118" s="24" t="s">
        <v>286</v>
      </c>
      <c r="K118" s="24" t="s">
        <v>286</v>
      </c>
      <c r="L118" s="24" t="s">
        <v>286</v>
      </c>
      <c r="M118" s="8"/>
      <c r="N118" s="272"/>
    </row>
    <row r="119" spans="1:14" s="3" customFormat="1" ht="12.2" customHeight="1" x14ac:dyDescent="0.15">
      <c r="A119" s="3" t="s">
        <v>882</v>
      </c>
      <c r="B119" s="2" t="s">
        <v>319</v>
      </c>
      <c r="C119" s="6">
        <v>3</v>
      </c>
      <c r="D119" s="2" t="s">
        <v>428</v>
      </c>
      <c r="E119" s="6">
        <v>3119</v>
      </c>
      <c r="F119" s="24" t="s">
        <v>286</v>
      </c>
      <c r="G119" s="24" t="s">
        <v>286</v>
      </c>
      <c r="H119" s="24" t="s">
        <v>286</v>
      </c>
      <c r="I119" s="24" t="s">
        <v>286</v>
      </c>
      <c r="J119" s="24" t="s">
        <v>286</v>
      </c>
      <c r="K119" s="24" t="s">
        <v>286</v>
      </c>
      <c r="L119" s="24" t="s">
        <v>286</v>
      </c>
      <c r="M119" s="8"/>
      <c r="N119" s="272"/>
    </row>
    <row r="120" spans="1:14" s="3" customFormat="1" ht="12.2" customHeight="1" thickBot="1" x14ac:dyDescent="0.2">
      <c r="A120" s="3" t="s">
        <v>500</v>
      </c>
      <c r="B120" s="2" t="s">
        <v>319</v>
      </c>
      <c r="C120" s="6">
        <v>4</v>
      </c>
      <c r="D120" s="2" t="s">
        <v>428</v>
      </c>
      <c r="E120" s="6">
        <v>3190</v>
      </c>
      <c r="F120" s="18">
        <v>31876.97</v>
      </c>
      <c r="G120" s="18"/>
      <c r="H120" s="18"/>
      <c r="I120" s="18"/>
      <c r="J120" s="18"/>
      <c r="K120" s="24" t="s">
        <v>286</v>
      </c>
      <c r="L120" s="24" t="s">
        <v>286</v>
      </c>
      <c r="M120" s="8"/>
      <c r="N120" s="272"/>
    </row>
    <row r="121" spans="1:14" s="3" customFormat="1" ht="12.2" customHeight="1" thickTop="1" x14ac:dyDescent="0.15">
      <c r="A121" s="38" t="s">
        <v>646</v>
      </c>
      <c r="B121" s="39" t="s">
        <v>319</v>
      </c>
      <c r="C121" s="40">
        <v>5</v>
      </c>
      <c r="D121" s="39" t="s">
        <v>428</v>
      </c>
      <c r="E121" s="40">
        <v>3100</v>
      </c>
      <c r="F121" s="41">
        <f>SUM(F117:F120)</f>
        <v>11493174.180000002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286</v>
      </c>
      <c r="L121" s="45" t="s">
        <v>286</v>
      </c>
      <c r="M121" s="8"/>
      <c r="N121" s="272"/>
    </row>
    <row r="122" spans="1:14" s="3" customFormat="1" ht="12.2" customHeight="1" x14ac:dyDescent="0.15">
      <c r="A122" s="30" t="s">
        <v>323</v>
      </c>
      <c r="F122" s="24" t="s">
        <v>286</v>
      </c>
      <c r="G122" s="24" t="s">
        <v>286</v>
      </c>
      <c r="H122" s="24" t="s">
        <v>286</v>
      </c>
      <c r="I122" s="24" t="s">
        <v>286</v>
      </c>
      <c r="J122" s="24" t="s">
        <v>286</v>
      </c>
      <c r="K122" s="24" t="s">
        <v>286</v>
      </c>
      <c r="L122" s="24" t="s">
        <v>286</v>
      </c>
      <c r="M122" s="8"/>
      <c r="N122" s="272"/>
    </row>
    <row r="123" spans="1:14" s="3" customFormat="1" ht="12.2" customHeight="1" x14ac:dyDescent="0.15">
      <c r="A123" s="1" t="s">
        <v>494</v>
      </c>
      <c r="B123" s="2" t="s">
        <v>319</v>
      </c>
      <c r="C123" s="6">
        <v>6</v>
      </c>
      <c r="D123" s="2" t="s">
        <v>428</v>
      </c>
      <c r="E123" s="6">
        <v>3210</v>
      </c>
      <c r="F123" s="18">
        <v>721925.96</v>
      </c>
      <c r="G123" s="24" t="s">
        <v>286</v>
      </c>
      <c r="H123" s="24" t="s">
        <v>286</v>
      </c>
      <c r="I123" s="18"/>
      <c r="J123" s="24" t="s">
        <v>286</v>
      </c>
      <c r="K123" s="24" t="s">
        <v>286</v>
      </c>
      <c r="L123" s="24" t="s">
        <v>286</v>
      </c>
      <c r="M123" s="8"/>
      <c r="N123" s="272"/>
    </row>
    <row r="124" spans="1:14" s="3" customFormat="1" ht="12.2" customHeight="1" x14ac:dyDescent="0.15">
      <c r="A124" s="1" t="s">
        <v>495</v>
      </c>
      <c r="B124" s="2" t="s">
        <v>319</v>
      </c>
      <c r="C124" s="6">
        <v>7</v>
      </c>
      <c r="D124" s="2" t="s">
        <v>428</v>
      </c>
      <c r="E124" s="6">
        <v>3215</v>
      </c>
      <c r="F124" s="24" t="s">
        <v>286</v>
      </c>
      <c r="G124" s="24"/>
      <c r="H124" s="24"/>
      <c r="I124" s="24" t="s">
        <v>286</v>
      </c>
      <c r="J124" s="24"/>
      <c r="K124" s="24"/>
      <c r="L124" s="24"/>
      <c r="M124" s="8"/>
      <c r="N124" s="272"/>
    </row>
    <row r="125" spans="1:14" s="3" customFormat="1" ht="12.2" customHeight="1" x14ac:dyDescent="0.15">
      <c r="A125" s="1" t="s">
        <v>900</v>
      </c>
      <c r="B125" s="2" t="s">
        <v>319</v>
      </c>
      <c r="C125" s="6">
        <v>8</v>
      </c>
      <c r="D125" s="2" t="s">
        <v>428</v>
      </c>
      <c r="E125" s="6">
        <v>3220</v>
      </c>
      <c r="F125" s="18"/>
      <c r="G125" s="24" t="s">
        <v>286</v>
      </c>
      <c r="H125" s="24" t="s">
        <v>286</v>
      </c>
      <c r="I125" s="24" t="s">
        <v>286</v>
      </c>
      <c r="J125" s="24" t="s">
        <v>286</v>
      </c>
      <c r="K125" s="24" t="s">
        <v>286</v>
      </c>
      <c r="L125" s="24" t="s">
        <v>286</v>
      </c>
      <c r="M125" s="8"/>
      <c r="N125" s="272"/>
    </row>
    <row r="126" spans="1:14" s="3" customFormat="1" ht="12.2" customHeight="1" x14ac:dyDescent="0.15">
      <c r="A126" s="1" t="s">
        <v>898</v>
      </c>
      <c r="B126" s="2" t="s">
        <v>319</v>
      </c>
      <c r="C126" s="6">
        <v>9</v>
      </c>
      <c r="D126" s="2" t="s">
        <v>428</v>
      </c>
      <c r="E126" s="6">
        <v>3230</v>
      </c>
      <c r="F126" s="18">
        <v>228969.74</v>
      </c>
      <c r="G126" s="24" t="s">
        <v>286</v>
      </c>
      <c r="H126" s="24" t="s">
        <v>286</v>
      </c>
      <c r="I126" s="24" t="s">
        <v>286</v>
      </c>
      <c r="J126" s="24" t="s">
        <v>286</v>
      </c>
      <c r="K126" s="24" t="s">
        <v>286</v>
      </c>
      <c r="L126" s="24" t="s">
        <v>286</v>
      </c>
      <c r="M126" s="8"/>
      <c r="N126" s="272"/>
    </row>
    <row r="127" spans="1:14" s="3" customFormat="1" ht="12.2" customHeight="1" x14ac:dyDescent="0.15">
      <c r="A127" s="1" t="s">
        <v>591</v>
      </c>
      <c r="B127" s="2" t="s">
        <v>319</v>
      </c>
      <c r="C127" s="6">
        <v>10</v>
      </c>
      <c r="D127" s="2" t="s">
        <v>428</v>
      </c>
      <c r="E127" s="6">
        <v>3241</v>
      </c>
      <c r="F127" s="18"/>
      <c r="G127" s="24" t="s">
        <v>286</v>
      </c>
      <c r="H127" s="18"/>
      <c r="I127" s="24" t="s">
        <v>286</v>
      </c>
      <c r="J127" s="24" t="s">
        <v>286</v>
      </c>
      <c r="K127" s="24" t="s">
        <v>286</v>
      </c>
      <c r="L127" s="24" t="s">
        <v>286</v>
      </c>
      <c r="M127" s="8"/>
      <c r="N127" s="272"/>
    </row>
    <row r="128" spans="1:14" s="3" customFormat="1" ht="12.2" customHeight="1" x14ac:dyDescent="0.15">
      <c r="A128" s="1" t="s">
        <v>592</v>
      </c>
      <c r="B128" s="2" t="s">
        <v>319</v>
      </c>
      <c r="C128" s="6">
        <v>11</v>
      </c>
      <c r="D128" s="2" t="s">
        <v>428</v>
      </c>
      <c r="E128" s="6">
        <v>3242</v>
      </c>
      <c r="F128" s="18">
        <v>11180.2</v>
      </c>
      <c r="G128" s="24" t="s">
        <v>286</v>
      </c>
      <c r="H128" s="18"/>
      <c r="I128" s="24" t="s">
        <v>286</v>
      </c>
      <c r="J128" s="24" t="s">
        <v>286</v>
      </c>
      <c r="K128" s="24" t="s">
        <v>286</v>
      </c>
      <c r="L128" s="24" t="s">
        <v>286</v>
      </c>
      <c r="M128" s="8"/>
      <c r="N128" s="272"/>
    </row>
    <row r="129" spans="1:14" s="3" customFormat="1" ht="12.2" customHeight="1" x14ac:dyDescent="0.15">
      <c r="A129" s="1" t="s">
        <v>593</v>
      </c>
      <c r="B129" s="2" t="s">
        <v>319</v>
      </c>
      <c r="C129" s="6">
        <v>12</v>
      </c>
      <c r="D129" s="2" t="s">
        <v>428</v>
      </c>
      <c r="E129" s="6">
        <v>3243</v>
      </c>
      <c r="F129" s="18"/>
      <c r="G129" s="24" t="s">
        <v>286</v>
      </c>
      <c r="H129" s="18"/>
      <c r="I129" s="24" t="s">
        <v>286</v>
      </c>
      <c r="J129" s="24" t="s">
        <v>286</v>
      </c>
      <c r="K129" s="24" t="s">
        <v>286</v>
      </c>
      <c r="L129" s="24" t="s">
        <v>286</v>
      </c>
      <c r="M129" s="8"/>
      <c r="N129" s="272"/>
    </row>
    <row r="130" spans="1:14" s="3" customFormat="1" ht="12.2" customHeight="1" x14ac:dyDescent="0.15">
      <c r="A130" s="1" t="s">
        <v>902</v>
      </c>
      <c r="B130" s="2" t="s">
        <v>319</v>
      </c>
      <c r="C130" s="6">
        <v>13</v>
      </c>
      <c r="D130" s="2" t="s">
        <v>428</v>
      </c>
      <c r="E130" s="6">
        <v>3249</v>
      </c>
      <c r="F130" s="18"/>
      <c r="G130" s="24" t="s">
        <v>286</v>
      </c>
      <c r="H130" s="18"/>
      <c r="I130" s="24" t="s">
        <v>286</v>
      </c>
      <c r="J130" s="24" t="s">
        <v>286</v>
      </c>
      <c r="K130" s="24" t="s">
        <v>286</v>
      </c>
      <c r="L130" s="24" t="s">
        <v>286</v>
      </c>
      <c r="M130" s="8"/>
      <c r="N130" s="272"/>
    </row>
    <row r="131" spans="1:14" s="3" customFormat="1" ht="12.2" customHeight="1" x14ac:dyDescent="0.15">
      <c r="A131" s="1" t="s">
        <v>325</v>
      </c>
      <c r="B131" s="2" t="s">
        <v>319</v>
      </c>
      <c r="C131" s="6">
        <v>14</v>
      </c>
      <c r="D131" s="2" t="s">
        <v>428</v>
      </c>
      <c r="E131" s="6">
        <v>3250</v>
      </c>
      <c r="F131" s="18"/>
      <c r="G131" s="24" t="s">
        <v>286</v>
      </c>
      <c r="H131" s="18"/>
      <c r="I131" s="24" t="s">
        <v>286</v>
      </c>
      <c r="J131" s="24" t="s">
        <v>286</v>
      </c>
      <c r="K131" s="24" t="s">
        <v>286</v>
      </c>
      <c r="L131" s="24" t="s">
        <v>286</v>
      </c>
      <c r="M131" s="8"/>
      <c r="N131" s="272"/>
    </row>
    <row r="132" spans="1:14" s="3" customFormat="1" ht="12.2" customHeight="1" x14ac:dyDescent="0.15">
      <c r="A132" s="1" t="s">
        <v>496</v>
      </c>
      <c r="B132" s="2" t="s">
        <v>319</v>
      </c>
      <c r="C132" s="6">
        <v>15</v>
      </c>
      <c r="D132" s="2" t="s">
        <v>428</v>
      </c>
      <c r="E132" s="6">
        <v>3260</v>
      </c>
      <c r="F132" s="24" t="s">
        <v>286</v>
      </c>
      <c r="G132" s="18">
        <v>10086.92</v>
      </c>
      <c r="H132" s="24" t="s">
        <v>286</v>
      </c>
      <c r="I132" s="24" t="s">
        <v>286</v>
      </c>
      <c r="J132" s="24" t="s">
        <v>286</v>
      </c>
      <c r="K132" s="24" t="s">
        <v>286</v>
      </c>
      <c r="L132" s="24" t="s">
        <v>286</v>
      </c>
      <c r="M132" s="8"/>
      <c r="N132" s="272"/>
    </row>
    <row r="133" spans="1:14" s="3" customFormat="1" ht="12.2" customHeight="1" x14ac:dyDescent="0.15">
      <c r="A133" s="1" t="s">
        <v>497</v>
      </c>
      <c r="B133" s="2" t="s">
        <v>319</v>
      </c>
      <c r="C133" s="6">
        <v>16</v>
      </c>
      <c r="D133" s="2" t="s">
        <v>428</v>
      </c>
      <c r="E133" s="6">
        <v>3270</v>
      </c>
      <c r="F133" s="18"/>
      <c r="G133" s="24" t="s">
        <v>286</v>
      </c>
      <c r="H133" s="18"/>
      <c r="I133" s="24" t="s">
        <v>286</v>
      </c>
      <c r="J133" s="24" t="s">
        <v>286</v>
      </c>
      <c r="K133" s="24" t="s">
        <v>286</v>
      </c>
      <c r="L133" s="24" t="s">
        <v>286</v>
      </c>
      <c r="M133" s="8"/>
      <c r="N133" s="272"/>
    </row>
    <row r="134" spans="1:14" s="3" customFormat="1" ht="12.2" customHeight="1" x14ac:dyDescent="0.15">
      <c r="A134" s="1" t="s">
        <v>498</v>
      </c>
      <c r="B134" s="6">
        <v>4</v>
      </c>
      <c r="C134" s="6">
        <v>17</v>
      </c>
      <c r="D134" s="2"/>
      <c r="E134" s="6">
        <v>3280</v>
      </c>
      <c r="F134" s="24" t="s">
        <v>286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.2" customHeight="1" thickBot="1" x14ac:dyDescent="0.2">
      <c r="A135" s="1" t="s">
        <v>499</v>
      </c>
      <c r="B135" s="2" t="s">
        <v>319</v>
      </c>
      <c r="C135" s="6">
        <v>18</v>
      </c>
      <c r="D135" s="2" t="s">
        <v>428</v>
      </c>
      <c r="E135" s="6">
        <v>3290</v>
      </c>
      <c r="F135" s="18"/>
      <c r="G135" s="18"/>
      <c r="H135" s="18"/>
      <c r="I135" s="18"/>
      <c r="J135" s="18"/>
      <c r="K135" s="24" t="s">
        <v>286</v>
      </c>
      <c r="L135" s="24" t="s">
        <v>286</v>
      </c>
      <c r="M135" s="8"/>
      <c r="N135" s="272"/>
    </row>
    <row r="136" spans="1:14" s="3" customFormat="1" ht="12.2" customHeight="1" thickTop="1" x14ac:dyDescent="0.15">
      <c r="A136" s="38" t="s">
        <v>432</v>
      </c>
      <c r="B136" s="39" t="s">
        <v>319</v>
      </c>
      <c r="C136" s="40">
        <v>19</v>
      </c>
      <c r="D136" s="39" t="s">
        <v>428</v>
      </c>
      <c r="E136" s="40">
        <v>3200</v>
      </c>
      <c r="F136" s="41">
        <f>SUM(F123:F135)</f>
        <v>962075.89999999991</v>
      </c>
      <c r="G136" s="41">
        <f>SUM(G123:G135)</f>
        <v>10086.92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286</v>
      </c>
      <c r="L136" s="45" t="s">
        <v>286</v>
      </c>
      <c r="M136" s="8"/>
      <c r="N136" s="272"/>
    </row>
    <row r="137" spans="1:14" s="3" customFormat="1" ht="12.2" customHeight="1" x14ac:dyDescent="0.15">
      <c r="A137" s="3" t="s">
        <v>320</v>
      </c>
      <c r="B137" s="1" t="s">
        <v>319</v>
      </c>
      <c r="C137" s="6">
        <v>20</v>
      </c>
      <c r="D137" s="2" t="s">
        <v>428</v>
      </c>
      <c r="E137" s="6">
        <v>3700</v>
      </c>
      <c r="F137" s="18"/>
      <c r="G137" s="18"/>
      <c r="H137" s="18"/>
      <c r="I137" s="24" t="s">
        <v>286</v>
      </c>
      <c r="J137" s="24" t="s">
        <v>286</v>
      </c>
      <c r="K137" s="24" t="s">
        <v>286</v>
      </c>
      <c r="L137" s="24" t="s">
        <v>286</v>
      </c>
      <c r="M137" s="8"/>
      <c r="N137" s="272"/>
    </row>
    <row r="138" spans="1:14" s="3" customFormat="1" ht="12.2" customHeight="1" x14ac:dyDescent="0.15">
      <c r="A138" s="1" t="s">
        <v>594</v>
      </c>
      <c r="B138" s="1" t="s">
        <v>319</v>
      </c>
      <c r="C138" s="6">
        <v>21</v>
      </c>
      <c r="D138" s="2" t="s">
        <v>428</v>
      </c>
      <c r="E138" s="6">
        <v>3800</v>
      </c>
      <c r="F138" s="18"/>
      <c r="G138" s="24" t="s">
        <v>286</v>
      </c>
      <c r="H138" s="18"/>
      <c r="I138" s="24" t="s">
        <v>286</v>
      </c>
      <c r="J138" s="24" t="s">
        <v>286</v>
      </c>
      <c r="K138" s="24" t="s">
        <v>286</v>
      </c>
      <c r="L138" s="24" t="s">
        <v>286</v>
      </c>
      <c r="M138" s="8"/>
      <c r="N138" s="272"/>
    </row>
    <row r="139" spans="1:14" s="3" customFormat="1" ht="12.2" customHeight="1" thickBot="1" x14ac:dyDescent="0.2">
      <c r="A139" s="1" t="s">
        <v>595</v>
      </c>
      <c r="B139" s="1" t="s">
        <v>319</v>
      </c>
      <c r="C139" s="6">
        <v>22</v>
      </c>
      <c r="D139" s="2" t="s">
        <v>428</v>
      </c>
      <c r="E139" s="6">
        <v>3900</v>
      </c>
      <c r="F139" s="24" t="s">
        <v>286</v>
      </c>
      <c r="G139" s="24" t="s">
        <v>286</v>
      </c>
      <c r="H139" s="24" t="s">
        <v>286</v>
      </c>
      <c r="I139" s="24" t="s">
        <v>286</v>
      </c>
      <c r="J139" s="24" t="s">
        <v>286</v>
      </c>
      <c r="K139" s="24" t="s">
        <v>286</v>
      </c>
      <c r="L139" s="24" t="s">
        <v>286</v>
      </c>
      <c r="M139" s="8"/>
      <c r="N139" s="272"/>
    </row>
    <row r="140" spans="1:14" s="3" customFormat="1" ht="12.2" customHeight="1" thickTop="1" x14ac:dyDescent="0.15">
      <c r="A140" s="38" t="s">
        <v>413</v>
      </c>
      <c r="B140" s="39" t="s">
        <v>319</v>
      </c>
      <c r="C140" s="40">
        <v>23</v>
      </c>
      <c r="D140" s="39" t="s">
        <v>428</v>
      </c>
      <c r="E140" s="40">
        <v>3000</v>
      </c>
      <c r="F140" s="41">
        <f>F121+SUM(F136:F139)</f>
        <v>12455250.080000002</v>
      </c>
      <c r="G140" s="41">
        <f>G121+SUM(G136:G137)</f>
        <v>10086.92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286</v>
      </c>
      <c r="L140" s="45" t="s">
        <v>286</v>
      </c>
      <c r="M140" s="8"/>
      <c r="N140" s="272"/>
    </row>
    <row r="141" spans="1:14" s="3" customFormat="1" ht="12.2" customHeight="1" x14ac:dyDescent="0.2">
      <c r="A141" s="70"/>
      <c r="B141" s="36"/>
      <c r="C141" s="37"/>
      <c r="D141" s="37"/>
      <c r="E141" s="37"/>
      <c r="F141" s="23" t="s">
        <v>271</v>
      </c>
      <c r="G141" s="23" t="s">
        <v>272</v>
      </c>
      <c r="H141" s="23" t="s">
        <v>273</v>
      </c>
      <c r="I141" s="23" t="s">
        <v>274</v>
      </c>
      <c r="J141" s="23" t="s">
        <v>275</v>
      </c>
      <c r="K141" s="20"/>
      <c r="L141" s="20"/>
      <c r="M141" s="8"/>
      <c r="N141" s="272"/>
    </row>
    <row r="142" spans="1:14" s="3" customFormat="1" ht="12.2" customHeight="1" x14ac:dyDescent="0.2">
      <c r="A142" s="29" t="s">
        <v>317</v>
      </c>
      <c r="F142" s="23"/>
      <c r="G142" s="23"/>
      <c r="H142" s="16" t="s">
        <v>280</v>
      </c>
      <c r="I142" s="23"/>
      <c r="J142" s="23"/>
      <c r="K142" s="20"/>
      <c r="L142" s="20"/>
      <c r="M142" s="8"/>
      <c r="N142" s="272"/>
    </row>
    <row r="143" spans="1:14" s="3" customFormat="1" ht="12.2" customHeight="1" x14ac:dyDescent="0.2">
      <c r="A143" s="28" t="s">
        <v>454</v>
      </c>
      <c r="F143" s="16" t="s">
        <v>278</v>
      </c>
      <c r="G143" s="16" t="s">
        <v>279</v>
      </c>
      <c r="H143" s="224" t="s">
        <v>766</v>
      </c>
      <c r="I143" s="16" t="s">
        <v>281</v>
      </c>
      <c r="J143" s="16" t="s">
        <v>282</v>
      </c>
      <c r="K143" s="20"/>
      <c r="L143" s="20"/>
      <c r="M143" s="8"/>
      <c r="N143" s="272"/>
    </row>
    <row r="144" spans="1:14" s="3" customFormat="1" ht="12.2" customHeight="1" x14ac:dyDescent="0.15">
      <c r="A144" s="30" t="s">
        <v>321</v>
      </c>
      <c r="F144" s="24" t="s">
        <v>286</v>
      </c>
      <c r="G144" s="24" t="s">
        <v>286</v>
      </c>
      <c r="H144" s="24" t="s">
        <v>286</v>
      </c>
      <c r="I144" s="24" t="s">
        <v>286</v>
      </c>
      <c r="J144" s="24" t="s">
        <v>286</v>
      </c>
      <c r="K144" s="24" t="s">
        <v>286</v>
      </c>
      <c r="L144" s="24" t="s">
        <v>286</v>
      </c>
      <c r="M144" s="8"/>
      <c r="N144" s="272"/>
    </row>
    <row r="145" spans="1:14" s="3" customFormat="1" ht="12.2" customHeight="1" x14ac:dyDescent="0.15">
      <c r="A145" s="1" t="s">
        <v>597</v>
      </c>
      <c r="B145" s="2" t="s">
        <v>322</v>
      </c>
      <c r="C145" s="6">
        <v>1</v>
      </c>
      <c r="D145" s="2" t="s">
        <v>428</v>
      </c>
      <c r="E145" s="6">
        <v>4100</v>
      </c>
      <c r="F145" s="18"/>
      <c r="G145" s="18"/>
      <c r="H145" s="18"/>
      <c r="I145" s="18"/>
      <c r="J145" s="24" t="s">
        <v>286</v>
      </c>
      <c r="K145" s="24" t="s">
        <v>286</v>
      </c>
      <c r="L145" s="24" t="s">
        <v>286</v>
      </c>
      <c r="M145" s="8"/>
      <c r="N145" s="272"/>
    </row>
    <row r="146" spans="1:14" s="3" customFormat="1" ht="12.2" customHeight="1" thickBot="1" x14ac:dyDescent="0.2">
      <c r="A146" s="1" t="s">
        <v>596</v>
      </c>
      <c r="B146" s="2" t="s">
        <v>322</v>
      </c>
      <c r="C146" s="6">
        <v>2</v>
      </c>
      <c r="D146" s="2" t="s">
        <v>428</v>
      </c>
      <c r="E146" s="6">
        <v>4200</v>
      </c>
      <c r="F146" s="18"/>
      <c r="G146" s="18"/>
      <c r="H146" s="18"/>
      <c r="I146" s="18"/>
      <c r="J146" s="24" t="s">
        <v>286</v>
      </c>
      <c r="K146" s="24" t="s">
        <v>286</v>
      </c>
      <c r="L146" s="24" t="s">
        <v>286</v>
      </c>
      <c r="M146" s="8"/>
      <c r="N146" s="272"/>
    </row>
    <row r="147" spans="1:14" s="3" customFormat="1" ht="12.2" customHeight="1" thickTop="1" x14ac:dyDescent="0.15">
      <c r="A147" s="38" t="s">
        <v>433</v>
      </c>
      <c r="B147" s="39" t="s">
        <v>322</v>
      </c>
      <c r="C147" s="40">
        <v>3</v>
      </c>
      <c r="D147" s="39" t="s">
        <v>428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286</v>
      </c>
      <c r="K147" s="45" t="s">
        <v>286</v>
      </c>
      <c r="L147" s="45" t="s">
        <v>286</v>
      </c>
      <c r="M147" s="8"/>
      <c r="N147" s="272"/>
    </row>
    <row r="148" spans="1:14" s="3" customFormat="1" ht="12.2" customHeight="1" x14ac:dyDescent="0.15">
      <c r="A148" s="30" t="s">
        <v>323</v>
      </c>
      <c r="B148" s="2"/>
      <c r="C148" s="2"/>
      <c r="D148" s="2"/>
      <c r="E148" s="2"/>
      <c r="F148" s="24" t="s">
        <v>286</v>
      </c>
      <c r="G148" s="24" t="s">
        <v>286</v>
      </c>
      <c r="H148" s="24" t="s">
        <v>286</v>
      </c>
      <c r="I148" s="24" t="s">
        <v>286</v>
      </c>
      <c r="J148" s="24" t="s">
        <v>286</v>
      </c>
      <c r="K148" s="24" t="s">
        <v>286</v>
      </c>
      <c r="L148" s="24" t="s">
        <v>286</v>
      </c>
      <c r="M148" s="8"/>
      <c r="N148" s="272"/>
    </row>
    <row r="149" spans="1:14" s="3" customFormat="1" ht="12.2" customHeight="1" x14ac:dyDescent="0.15">
      <c r="A149" s="1" t="s">
        <v>598</v>
      </c>
      <c r="C149" s="1" t="s">
        <v>324</v>
      </c>
      <c r="D149" s="1"/>
      <c r="E149" s="6">
        <v>4300</v>
      </c>
      <c r="F149" s="24" t="s">
        <v>286</v>
      </c>
      <c r="G149" s="24" t="s">
        <v>286</v>
      </c>
      <c r="H149" s="24" t="s">
        <v>286</v>
      </c>
      <c r="I149" s="24" t="s">
        <v>286</v>
      </c>
      <c r="J149" s="24" t="s">
        <v>286</v>
      </c>
      <c r="K149" s="24" t="s">
        <v>286</v>
      </c>
      <c r="L149" s="24" t="s">
        <v>286</v>
      </c>
      <c r="M149" s="8"/>
      <c r="N149" s="272"/>
    </row>
    <row r="150" spans="1:14" s="3" customFormat="1" ht="12.2" customHeight="1" x14ac:dyDescent="0.15">
      <c r="A150" s="3" t="s">
        <v>647</v>
      </c>
      <c r="B150" s="2" t="s">
        <v>322</v>
      </c>
      <c r="C150" s="6">
        <v>4</v>
      </c>
      <c r="D150" s="2" t="s">
        <v>428</v>
      </c>
      <c r="E150" s="6">
        <v>4310</v>
      </c>
      <c r="F150" s="18"/>
      <c r="G150" s="24" t="s">
        <v>286</v>
      </c>
      <c r="H150" s="18"/>
      <c r="I150" s="18"/>
      <c r="J150" s="24" t="s">
        <v>286</v>
      </c>
      <c r="K150" s="24" t="s">
        <v>286</v>
      </c>
      <c r="L150" s="24" t="s">
        <v>286</v>
      </c>
      <c r="M150" s="8"/>
      <c r="N150" s="272"/>
    </row>
    <row r="151" spans="1:14" s="3" customFormat="1" ht="12.2" customHeight="1" x14ac:dyDescent="0.15">
      <c r="A151" s="1" t="s">
        <v>483</v>
      </c>
      <c r="B151" s="2" t="s">
        <v>322</v>
      </c>
      <c r="C151" s="6">
        <v>5</v>
      </c>
      <c r="D151" s="2" t="s">
        <v>428</v>
      </c>
      <c r="E151" s="6">
        <v>4330</v>
      </c>
      <c r="F151" s="18"/>
      <c r="G151" s="24" t="s">
        <v>286</v>
      </c>
      <c r="H151" s="18"/>
      <c r="I151" s="18"/>
      <c r="J151" s="24" t="s">
        <v>286</v>
      </c>
      <c r="K151" s="24" t="s">
        <v>286</v>
      </c>
      <c r="L151" s="24" t="s">
        <v>286</v>
      </c>
      <c r="M151" s="8"/>
      <c r="N151" s="272"/>
    </row>
    <row r="152" spans="1:14" s="3" customFormat="1" ht="12.2" customHeight="1" x14ac:dyDescent="0.15">
      <c r="A152" s="1" t="s">
        <v>484</v>
      </c>
      <c r="B152" s="2" t="s">
        <v>322</v>
      </c>
      <c r="C152" s="6">
        <v>6</v>
      </c>
      <c r="D152" s="2" t="s">
        <v>428</v>
      </c>
      <c r="E152" s="6">
        <v>4350</v>
      </c>
      <c r="F152" s="18"/>
      <c r="G152" s="24" t="s">
        <v>286</v>
      </c>
      <c r="H152" s="18"/>
      <c r="I152" s="18"/>
      <c r="J152" s="24" t="s">
        <v>286</v>
      </c>
      <c r="K152" s="24" t="s">
        <v>286</v>
      </c>
      <c r="L152" s="24" t="s">
        <v>286</v>
      </c>
      <c r="M152" s="8"/>
      <c r="N152" s="272"/>
    </row>
    <row r="153" spans="1:14" s="3" customFormat="1" ht="12.2" customHeight="1" x14ac:dyDescent="0.15">
      <c r="A153" s="1" t="s">
        <v>485</v>
      </c>
      <c r="B153" s="2"/>
      <c r="C153" s="6"/>
      <c r="D153" s="6"/>
      <c r="E153" s="6">
        <v>4500</v>
      </c>
      <c r="F153" s="24" t="s">
        <v>286</v>
      </c>
      <c r="G153" s="24" t="s">
        <v>286</v>
      </c>
      <c r="H153" s="24" t="s">
        <v>286</v>
      </c>
      <c r="I153" s="24" t="s">
        <v>286</v>
      </c>
      <c r="J153" s="24" t="s">
        <v>286</v>
      </c>
      <c r="K153" s="24" t="s">
        <v>286</v>
      </c>
      <c r="L153" s="24" t="s">
        <v>286</v>
      </c>
      <c r="M153" s="8"/>
      <c r="N153" s="272"/>
    </row>
    <row r="154" spans="1:14" s="3" customFormat="1" ht="12.2" customHeight="1" x14ac:dyDescent="0.15">
      <c r="A154" s="1" t="s">
        <v>644</v>
      </c>
      <c r="B154" s="2" t="s">
        <v>322</v>
      </c>
      <c r="C154" s="6">
        <v>7</v>
      </c>
      <c r="D154" s="2" t="s">
        <v>428</v>
      </c>
      <c r="E154" s="6">
        <v>4520</v>
      </c>
      <c r="F154" s="24" t="s">
        <v>286</v>
      </c>
      <c r="G154" s="24" t="s">
        <v>286</v>
      </c>
      <c r="H154" s="18">
        <v>41468.67</v>
      </c>
      <c r="I154" s="24" t="s">
        <v>286</v>
      </c>
      <c r="J154" s="24" t="s">
        <v>286</v>
      </c>
      <c r="K154" s="24" t="s">
        <v>286</v>
      </c>
      <c r="L154" s="24" t="s">
        <v>286</v>
      </c>
      <c r="M154" s="8"/>
      <c r="N154" s="272"/>
    </row>
    <row r="155" spans="1:14" s="3" customFormat="1" ht="12.2" customHeight="1" x14ac:dyDescent="0.15">
      <c r="A155" s="1" t="s">
        <v>645</v>
      </c>
      <c r="B155" s="2" t="s">
        <v>322</v>
      </c>
      <c r="C155" s="6">
        <v>8</v>
      </c>
      <c r="D155" s="2" t="s">
        <v>428</v>
      </c>
      <c r="E155" s="6">
        <v>4530</v>
      </c>
      <c r="F155" s="24" t="s">
        <v>286</v>
      </c>
      <c r="G155" s="24" t="s">
        <v>286</v>
      </c>
      <c r="H155" s="18">
        <v>32917.56</v>
      </c>
      <c r="I155" s="24" t="s">
        <v>286</v>
      </c>
      <c r="J155" s="24" t="s">
        <v>286</v>
      </c>
      <c r="K155" s="24" t="s">
        <v>286</v>
      </c>
      <c r="L155" s="24" t="s">
        <v>286</v>
      </c>
      <c r="M155" s="8"/>
      <c r="N155" s="272"/>
    </row>
    <row r="156" spans="1:14" s="3" customFormat="1" ht="12.2" customHeight="1" x14ac:dyDescent="0.15">
      <c r="A156" s="1" t="s">
        <v>486</v>
      </c>
      <c r="B156" s="2" t="s">
        <v>322</v>
      </c>
      <c r="C156" s="6">
        <v>9</v>
      </c>
      <c r="D156" s="2" t="s">
        <v>428</v>
      </c>
      <c r="E156" s="6">
        <v>4540</v>
      </c>
      <c r="F156" s="24" t="s">
        <v>286</v>
      </c>
      <c r="G156" s="24" t="s">
        <v>286</v>
      </c>
      <c r="H156" s="18"/>
      <c r="I156" s="24" t="s">
        <v>286</v>
      </c>
      <c r="J156" s="24" t="s">
        <v>286</v>
      </c>
      <c r="K156" s="24" t="s">
        <v>286</v>
      </c>
      <c r="L156" s="24" t="s">
        <v>286</v>
      </c>
      <c r="M156" s="8"/>
      <c r="N156" s="272"/>
    </row>
    <row r="157" spans="1:14" s="3" customFormat="1" ht="12.2" customHeight="1" x14ac:dyDescent="0.15">
      <c r="A157" s="1" t="s">
        <v>487</v>
      </c>
      <c r="B157" s="2" t="s">
        <v>322</v>
      </c>
      <c r="C157" s="6">
        <v>10</v>
      </c>
      <c r="D157" s="2" t="s">
        <v>428</v>
      </c>
      <c r="E157" s="6">
        <v>4550</v>
      </c>
      <c r="F157" s="18"/>
      <c r="G157" s="24" t="s">
        <v>286</v>
      </c>
      <c r="H157" s="18"/>
      <c r="I157" s="24" t="s">
        <v>286</v>
      </c>
      <c r="J157" s="24" t="s">
        <v>286</v>
      </c>
      <c r="K157" s="24" t="s">
        <v>286</v>
      </c>
      <c r="L157" s="24" t="s">
        <v>286</v>
      </c>
      <c r="M157" s="8"/>
      <c r="N157" s="272"/>
    </row>
    <row r="158" spans="1:14" s="3" customFormat="1" ht="12.2" customHeight="1" x14ac:dyDescent="0.15">
      <c r="A158" s="1" t="s">
        <v>488</v>
      </c>
      <c r="B158" s="2" t="s">
        <v>322</v>
      </c>
      <c r="C158" s="6">
        <v>11</v>
      </c>
      <c r="D158" s="2" t="s">
        <v>428</v>
      </c>
      <c r="E158" s="6">
        <v>4560</v>
      </c>
      <c r="F158" s="24" t="s">
        <v>286</v>
      </c>
      <c r="G158" s="18">
        <v>144051.16</v>
      </c>
      <c r="H158" s="24" t="s">
        <v>286</v>
      </c>
      <c r="I158" s="24" t="s">
        <v>286</v>
      </c>
      <c r="J158" s="24" t="s">
        <v>286</v>
      </c>
      <c r="K158" s="24" t="s">
        <v>286</v>
      </c>
      <c r="L158" s="24" t="s">
        <v>286</v>
      </c>
      <c r="M158" s="8"/>
      <c r="N158" s="272"/>
    </row>
    <row r="159" spans="1:14" s="3" customFormat="1" ht="12.2" customHeight="1" x14ac:dyDescent="0.15">
      <c r="A159" s="1" t="s">
        <v>484</v>
      </c>
      <c r="B159" s="2" t="s">
        <v>322</v>
      </c>
      <c r="C159" s="6">
        <v>12</v>
      </c>
      <c r="D159" s="2" t="s">
        <v>428</v>
      </c>
      <c r="E159" s="6">
        <v>4570</v>
      </c>
      <c r="F159" s="18"/>
      <c r="G159" s="24" t="s">
        <v>286</v>
      </c>
      <c r="H159" s="18">
        <v>554541.9</v>
      </c>
      <c r="I159" s="24" t="s">
        <v>286</v>
      </c>
      <c r="J159" s="24" t="s">
        <v>286</v>
      </c>
      <c r="K159" s="24" t="s">
        <v>286</v>
      </c>
      <c r="L159" s="24" t="s">
        <v>286</v>
      </c>
      <c r="M159" s="8"/>
      <c r="N159" s="272"/>
    </row>
    <row r="160" spans="1:14" s="3" customFormat="1" ht="12.2" customHeight="1" x14ac:dyDescent="0.15">
      <c r="A160" s="1" t="s">
        <v>489</v>
      </c>
      <c r="B160" s="2" t="s">
        <v>322</v>
      </c>
      <c r="C160" s="6">
        <v>13</v>
      </c>
      <c r="D160" s="2" t="s">
        <v>428</v>
      </c>
      <c r="E160" s="6">
        <v>4580</v>
      </c>
      <c r="F160" s="18">
        <v>205264.36</v>
      </c>
      <c r="G160" s="24" t="s">
        <v>286</v>
      </c>
      <c r="H160" s="18"/>
      <c r="I160" s="24" t="s">
        <v>286</v>
      </c>
      <c r="J160" s="24" t="s">
        <v>286</v>
      </c>
      <c r="K160" s="24" t="s">
        <v>286</v>
      </c>
      <c r="L160" s="24" t="s">
        <v>286</v>
      </c>
      <c r="M160" s="8"/>
      <c r="N160" s="272"/>
    </row>
    <row r="161" spans="1:14" s="3" customFormat="1" ht="12.2" customHeight="1" thickBot="1" x14ac:dyDescent="0.2">
      <c r="A161" s="1" t="s">
        <v>490</v>
      </c>
      <c r="B161" s="2" t="s">
        <v>322</v>
      </c>
      <c r="C161" s="6">
        <v>14</v>
      </c>
      <c r="D161" s="2" t="s">
        <v>428</v>
      </c>
      <c r="E161" s="6">
        <v>4590</v>
      </c>
      <c r="F161" s="18"/>
      <c r="G161" s="18"/>
      <c r="H161" s="18"/>
      <c r="I161" s="18"/>
      <c r="J161" s="24" t="s">
        <v>286</v>
      </c>
      <c r="K161" s="24" t="s">
        <v>286</v>
      </c>
      <c r="L161" s="24" t="s">
        <v>286</v>
      </c>
      <c r="M161" s="8"/>
      <c r="N161" s="272"/>
    </row>
    <row r="162" spans="1:14" s="3" customFormat="1" ht="12.2" customHeight="1" thickTop="1" x14ac:dyDescent="0.15">
      <c r="A162" s="38" t="s">
        <v>434</v>
      </c>
      <c r="B162" s="39" t="s">
        <v>322</v>
      </c>
      <c r="C162" s="40">
        <v>15</v>
      </c>
      <c r="D162" s="39" t="s">
        <v>428</v>
      </c>
      <c r="E162" s="40"/>
      <c r="F162" s="41">
        <f>SUM(F150:F161)</f>
        <v>205264.36</v>
      </c>
      <c r="G162" s="41">
        <f>SUM(G150:G161)</f>
        <v>144051.16</v>
      </c>
      <c r="H162" s="41">
        <f>SUM(H150:H161)</f>
        <v>628928.13</v>
      </c>
      <c r="I162" s="41">
        <f>SUM(I150:I161)</f>
        <v>0</v>
      </c>
      <c r="J162" s="45" t="s">
        <v>286</v>
      </c>
      <c r="K162" s="45" t="s">
        <v>286</v>
      </c>
      <c r="L162" s="45" t="s">
        <v>286</v>
      </c>
      <c r="M162" s="8"/>
      <c r="N162" s="272"/>
    </row>
    <row r="163" spans="1:14" s="3" customFormat="1" ht="12.2" customHeight="1" x14ac:dyDescent="0.15">
      <c r="A163" s="3" t="s">
        <v>677</v>
      </c>
      <c r="B163" s="2" t="s">
        <v>322</v>
      </c>
      <c r="C163" s="6">
        <v>16</v>
      </c>
      <c r="D163" s="2" t="s">
        <v>428</v>
      </c>
      <c r="E163" s="6">
        <v>4700</v>
      </c>
      <c r="F163" s="18"/>
      <c r="G163" s="18"/>
      <c r="H163" s="18"/>
      <c r="I163" s="18"/>
      <c r="J163" s="24" t="s">
        <v>286</v>
      </c>
      <c r="K163" s="24" t="s">
        <v>286</v>
      </c>
      <c r="L163" s="24" t="s">
        <v>286</v>
      </c>
      <c r="M163" s="8"/>
      <c r="N163" s="272"/>
    </row>
    <row r="164" spans="1:14" s="3" customFormat="1" ht="12.2" customHeight="1" x14ac:dyDescent="0.15">
      <c r="A164" s="30" t="s">
        <v>326</v>
      </c>
      <c r="E164" s="6"/>
      <c r="F164" s="24" t="s">
        <v>286</v>
      </c>
      <c r="G164" s="24" t="s">
        <v>286</v>
      </c>
      <c r="H164" s="24" t="s">
        <v>286</v>
      </c>
      <c r="I164" s="24" t="s">
        <v>286</v>
      </c>
      <c r="J164" s="24" t="s">
        <v>286</v>
      </c>
      <c r="K164" s="24" t="s">
        <v>286</v>
      </c>
      <c r="L164" s="24" t="s">
        <v>286</v>
      </c>
      <c r="M164" s="8"/>
      <c r="N164" s="272"/>
    </row>
    <row r="165" spans="1:14" s="3" customFormat="1" ht="12.2" customHeight="1" x14ac:dyDescent="0.15">
      <c r="A165" s="1" t="s">
        <v>491</v>
      </c>
      <c r="B165" s="2" t="s">
        <v>322</v>
      </c>
      <c r="C165" s="6">
        <v>17</v>
      </c>
      <c r="D165" s="2" t="s">
        <v>428</v>
      </c>
      <c r="E165" s="6">
        <v>4810</v>
      </c>
      <c r="F165" s="18"/>
      <c r="G165" s="24" t="s">
        <v>286</v>
      </c>
      <c r="H165" s="24" t="s">
        <v>286</v>
      </c>
      <c r="I165" s="24" t="s">
        <v>286</v>
      </c>
      <c r="J165" s="24" t="s">
        <v>286</v>
      </c>
      <c r="K165" s="24" t="s">
        <v>286</v>
      </c>
      <c r="L165" s="24" t="s">
        <v>286</v>
      </c>
      <c r="M165" s="8"/>
      <c r="N165" s="272"/>
    </row>
    <row r="166" spans="1:14" s="3" customFormat="1" ht="12.2" customHeight="1" x14ac:dyDescent="0.15">
      <c r="A166" s="1" t="s">
        <v>492</v>
      </c>
      <c r="B166" s="2" t="s">
        <v>322</v>
      </c>
      <c r="C166" s="6">
        <v>18</v>
      </c>
      <c r="D166" s="2" t="s">
        <v>428</v>
      </c>
      <c r="E166" s="6">
        <v>4890</v>
      </c>
      <c r="F166" s="18"/>
      <c r="G166" s="24" t="s">
        <v>286</v>
      </c>
      <c r="H166" s="24" t="s">
        <v>286</v>
      </c>
      <c r="I166" s="24" t="s">
        <v>286</v>
      </c>
      <c r="J166" s="24" t="s">
        <v>286</v>
      </c>
      <c r="K166" s="24" t="s">
        <v>286</v>
      </c>
      <c r="L166" s="24" t="s">
        <v>286</v>
      </c>
      <c r="M166" s="8"/>
      <c r="N166" s="272"/>
    </row>
    <row r="167" spans="1:14" s="3" customFormat="1" ht="12.2" customHeight="1" x14ac:dyDescent="0.15">
      <c r="A167" s="30" t="s">
        <v>680</v>
      </c>
      <c r="B167" s="2"/>
      <c r="C167" s="6"/>
      <c r="D167" s="2"/>
      <c r="E167" s="6"/>
      <c r="F167" s="24" t="s">
        <v>286</v>
      </c>
      <c r="G167" s="24" t="s">
        <v>286</v>
      </c>
      <c r="H167" s="24" t="s">
        <v>286</v>
      </c>
      <c r="I167" s="24" t="s">
        <v>286</v>
      </c>
      <c r="J167" s="24" t="s">
        <v>286</v>
      </c>
      <c r="K167" s="24" t="s">
        <v>286</v>
      </c>
      <c r="L167" s="24" t="s">
        <v>286</v>
      </c>
      <c r="M167" s="8"/>
      <c r="N167" s="272"/>
    </row>
    <row r="168" spans="1:14" s="3" customFormat="1" ht="12.2" customHeight="1" thickBot="1" x14ac:dyDescent="0.2">
      <c r="A168" s="1" t="s">
        <v>493</v>
      </c>
      <c r="B168" s="2" t="s">
        <v>322</v>
      </c>
      <c r="C168" s="6">
        <v>19</v>
      </c>
      <c r="D168" s="2" t="s">
        <v>428</v>
      </c>
      <c r="E168" s="6">
        <v>4900</v>
      </c>
      <c r="F168" s="18"/>
      <c r="G168" s="18"/>
      <c r="H168" s="18"/>
      <c r="I168" s="24" t="s">
        <v>286</v>
      </c>
      <c r="J168" s="24" t="s">
        <v>286</v>
      </c>
      <c r="K168" s="24" t="s">
        <v>286</v>
      </c>
      <c r="L168" s="24" t="s">
        <v>286</v>
      </c>
      <c r="M168" s="8"/>
      <c r="N168" s="272"/>
    </row>
    <row r="169" spans="1:14" s="3" customFormat="1" ht="12.2" customHeight="1" thickTop="1" x14ac:dyDescent="0.15">
      <c r="A169" s="38" t="s">
        <v>456</v>
      </c>
      <c r="B169" s="39" t="s">
        <v>322</v>
      </c>
      <c r="C169" s="40">
        <v>20</v>
      </c>
      <c r="D169" s="39" t="s">
        <v>428</v>
      </c>
      <c r="E169" s="44">
        <v>4000</v>
      </c>
      <c r="F169" s="41">
        <f>F147+F162+SUM(F163:F168)</f>
        <v>205264.36</v>
      </c>
      <c r="G169" s="41">
        <f>G147+G162+SUM(G163:G168)</f>
        <v>144051.16</v>
      </c>
      <c r="H169" s="41">
        <f>H147+H162+SUM(H163:H168)</f>
        <v>628928.13</v>
      </c>
      <c r="I169" s="41">
        <f>I147+I162+SUM(I163:I168)</f>
        <v>0</v>
      </c>
      <c r="J169" s="45" t="s">
        <v>286</v>
      </c>
      <c r="K169" s="45" t="s">
        <v>286</v>
      </c>
      <c r="L169" s="45" t="s">
        <v>286</v>
      </c>
      <c r="M169" s="8"/>
      <c r="N169" s="272"/>
    </row>
    <row r="170" spans="1:14" s="3" customFormat="1" ht="12.2" customHeight="1" x14ac:dyDescent="0.2">
      <c r="A170" s="70"/>
      <c r="B170" s="36"/>
      <c r="C170" s="75"/>
      <c r="D170" s="75"/>
      <c r="E170" s="75"/>
      <c r="F170" s="23" t="s">
        <v>271</v>
      </c>
      <c r="G170" s="23" t="s">
        <v>272</v>
      </c>
      <c r="H170" s="23" t="s">
        <v>273</v>
      </c>
      <c r="I170" s="23" t="s">
        <v>274</v>
      </c>
      <c r="J170" s="23" t="s">
        <v>275</v>
      </c>
      <c r="K170" s="20"/>
      <c r="L170" s="20"/>
      <c r="M170" s="8"/>
      <c r="N170" s="272"/>
    </row>
    <row r="171" spans="1:14" s="3" customFormat="1" ht="12.2" customHeight="1" x14ac:dyDescent="0.2">
      <c r="A171" s="29" t="s">
        <v>678</v>
      </c>
      <c r="F171" s="23"/>
      <c r="G171" s="23"/>
      <c r="H171" s="16" t="s">
        <v>280</v>
      </c>
      <c r="I171" s="23"/>
      <c r="J171" s="23"/>
      <c r="K171" s="20"/>
      <c r="L171" s="20"/>
      <c r="M171" s="8"/>
      <c r="N171" s="272"/>
    </row>
    <row r="172" spans="1:14" s="3" customFormat="1" ht="12.2" customHeight="1" x14ac:dyDescent="0.2">
      <c r="A172" s="27" t="s">
        <v>327</v>
      </c>
      <c r="B172" s="7"/>
      <c r="C172" s="7"/>
      <c r="D172" s="7"/>
      <c r="E172" s="7"/>
      <c r="F172" s="16" t="s">
        <v>278</v>
      </c>
      <c r="G172" s="16" t="s">
        <v>279</v>
      </c>
      <c r="H172" s="224" t="s">
        <v>766</v>
      </c>
      <c r="I172" s="16" t="s">
        <v>281</v>
      </c>
      <c r="J172" s="16" t="s">
        <v>282</v>
      </c>
      <c r="K172" s="20"/>
      <c r="L172" s="20"/>
      <c r="M172" s="8"/>
      <c r="N172" s="272"/>
    </row>
    <row r="173" spans="1:14" s="3" customFormat="1" ht="12.2" customHeight="1" x14ac:dyDescent="0.15">
      <c r="A173" s="1" t="s">
        <v>518</v>
      </c>
      <c r="B173" s="2" t="s">
        <v>328</v>
      </c>
      <c r="C173" s="6">
        <v>1</v>
      </c>
      <c r="D173" s="2" t="s">
        <v>428</v>
      </c>
      <c r="E173" s="6">
        <v>5110</v>
      </c>
      <c r="F173" s="18"/>
      <c r="G173" s="24" t="s">
        <v>286</v>
      </c>
      <c r="H173" s="24" t="s">
        <v>286</v>
      </c>
      <c r="I173" s="18">
        <v>38107102</v>
      </c>
      <c r="J173" s="24" t="s">
        <v>286</v>
      </c>
      <c r="K173" s="24" t="s">
        <v>286</v>
      </c>
      <c r="L173" s="24" t="s">
        <v>286</v>
      </c>
      <c r="M173" s="8"/>
      <c r="N173" s="272"/>
    </row>
    <row r="174" spans="1:14" s="3" customFormat="1" ht="12.2" customHeight="1" x14ac:dyDescent="0.15">
      <c r="A174" s="1" t="s">
        <v>519</v>
      </c>
      <c r="B174" s="6">
        <v>6</v>
      </c>
      <c r="C174" s="6">
        <v>2</v>
      </c>
      <c r="D174" s="2" t="s">
        <v>428</v>
      </c>
      <c r="E174" s="6">
        <v>5120</v>
      </c>
      <c r="F174" s="18"/>
      <c r="G174" s="24" t="s">
        <v>286</v>
      </c>
      <c r="H174" s="24" t="s">
        <v>286</v>
      </c>
      <c r="I174" s="18"/>
      <c r="J174" s="24" t="s">
        <v>286</v>
      </c>
      <c r="K174" s="24" t="s">
        <v>286</v>
      </c>
      <c r="L174" s="24" t="s">
        <v>286</v>
      </c>
      <c r="M174" s="8"/>
      <c r="N174" s="272"/>
    </row>
    <row r="175" spans="1:14" s="3" customFormat="1" ht="12.2" customHeight="1" x14ac:dyDescent="0.15">
      <c r="A175" s="1" t="s">
        <v>521</v>
      </c>
      <c r="B175" s="2" t="s">
        <v>328</v>
      </c>
      <c r="C175" s="6">
        <v>3</v>
      </c>
      <c r="D175" s="2" t="s">
        <v>428</v>
      </c>
      <c r="E175" s="6">
        <v>5130</v>
      </c>
      <c r="F175" s="18"/>
      <c r="G175" s="24" t="s">
        <v>286</v>
      </c>
      <c r="H175" s="24" t="s">
        <v>286</v>
      </c>
      <c r="I175" s="18"/>
      <c r="J175" s="24" t="s">
        <v>286</v>
      </c>
      <c r="K175" s="24" t="s">
        <v>286</v>
      </c>
      <c r="L175" s="24" t="s">
        <v>286</v>
      </c>
      <c r="M175" s="8"/>
      <c r="N175" s="272"/>
    </row>
    <row r="176" spans="1:14" s="3" customFormat="1" ht="12.2" customHeight="1" thickBot="1" x14ac:dyDescent="0.2">
      <c r="A176" s="1" t="s">
        <v>520</v>
      </c>
      <c r="B176" s="2" t="s">
        <v>328</v>
      </c>
      <c r="C176" s="6">
        <v>4</v>
      </c>
      <c r="D176" s="2" t="s">
        <v>428</v>
      </c>
      <c r="E176" s="6">
        <v>5140</v>
      </c>
      <c r="F176" s="18"/>
      <c r="G176" s="24" t="s">
        <v>286</v>
      </c>
      <c r="H176" s="24" t="s">
        <v>286</v>
      </c>
      <c r="I176" s="18"/>
      <c r="J176" s="24" t="s">
        <v>286</v>
      </c>
      <c r="K176" s="24" t="s">
        <v>286</v>
      </c>
      <c r="L176" s="24" t="s">
        <v>286</v>
      </c>
      <c r="M176" s="8"/>
      <c r="N176" s="272"/>
    </row>
    <row r="177" spans="1:14" s="3" customFormat="1" ht="12.2" customHeight="1" thickTop="1" x14ac:dyDescent="0.15">
      <c r="A177" s="38" t="s">
        <v>435</v>
      </c>
      <c r="B177" s="39" t="s">
        <v>328</v>
      </c>
      <c r="C177" s="44">
        <v>5</v>
      </c>
      <c r="D177" s="39" t="s">
        <v>428</v>
      </c>
      <c r="E177" s="44">
        <v>5100</v>
      </c>
      <c r="F177" s="41">
        <f>SUM(F173:F176)</f>
        <v>0</v>
      </c>
      <c r="G177" s="41" t="s">
        <v>286</v>
      </c>
      <c r="H177" s="41" t="s">
        <v>286</v>
      </c>
      <c r="I177" s="41">
        <f>SUM(I173:I176)</f>
        <v>38107102</v>
      </c>
      <c r="J177" s="45" t="s">
        <v>286</v>
      </c>
      <c r="K177" s="45" t="s">
        <v>286</v>
      </c>
      <c r="L177" s="45" t="s">
        <v>286</v>
      </c>
      <c r="M177" s="8"/>
      <c r="N177" s="272"/>
    </row>
    <row r="178" spans="1:14" s="3" customFormat="1" ht="12.2" customHeight="1" x14ac:dyDescent="0.15">
      <c r="A178" s="30" t="s">
        <v>329</v>
      </c>
      <c r="B178" s="2"/>
      <c r="C178" s="2"/>
      <c r="D178" s="2"/>
      <c r="E178" s="2"/>
      <c r="F178" s="24" t="s">
        <v>286</v>
      </c>
      <c r="G178" s="24" t="s">
        <v>286</v>
      </c>
      <c r="H178" s="24" t="s">
        <v>286</v>
      </c>
      <c r="I178" s="24" t="s">
        <v>286</v>
      </c>
      <c r="J178" s="24" t="s">
        <v>286</v>
      </c>
      <c r="K178" s="24" t="s">
        <v>286</v>
      </c>
      <c r="L178" s="24" t="s">
        <v>286</v>
      </c>
      <c r="M178" s="8"/>
      <c r="N178" s="272"/>
    </row>
    <row r="179" spans="1:14" s="3" customFormat="1" ht="12.2" customHeight="1" x14ac:dyDescent="0.15">
      <c r="A179" s="1" t="s">
        <v>522</v>
      </c>
      <c r="B179" s="2" t="s">
        <v>328</v>
      </c>
      <c r="C179" s="6">
        <v>6</v>
      </c>
      <c r="D179" s="2" t="s">
        <v>428</v>
      </c>
      <c r="E179" s="6">
        <v>5210</v>
      </c>
      <c r="F179" s="24" t="s">
        <v>286</v>
      </c>
      <c r="G179" s="18"/>
      <c r="H179" s="18"/>
      <c r="I179" s="18"/>
      <c r="J179" s="18">
        <v>100000</v>
      </c>
      <c r="K179" s="24" t="s">
        <v>286</v>
      </c>
      <c r="L179" s="24" t="s">
        <v>286</v>
      </c>
      <c r="M179" s="8"/>
      <c r="N179" s="272"/>
    </row>
    <row r="180" spans="1:14" s="3" customFormat="1" ht="12.2" customHeight="1" x14ac:dyDescent="0.15">
      <c r="A180" s="1" t="s">
        <v>523</v>
      </c>
      <c r="B180" s="2" t="s">
        <v>328</v>
      </c>
      <c r="C180" s="6">
        <v>7</v>
      </c>
      <c r="D180" s="2" t="s">
        <v>428</v>
      </c>
      <c r="E180" s="6">
        <v>5221</v>
      </c>
      <c r="F180" s="18"/>
      <c r="G180" s="24" t="s">
        <v>286</v>
      </c>
      <c r="H180" s="18"/>
      <c r="I180" s="18"/>
      <c r="J180" s="18"/>
      <c r="K180" s="24" t="s">
        <v>286</v>
      </c>
      <c r="L180" s="24" t="s">
        <v>286</v>
      </c>
      <c r="M180" s="8"/>
      <c r="N180" s="272"/>
    </row>
    <row r="181" spans="1:14" s="3" customFormat="1" ht="12.2" customHeight="1" x14ac:dyDescent="0.15">
      <c r="A181" s="3" t="s">
        <v>524</v>
      </c>
      <c r="B181" s="2" t="s">
        <v>328</v>
      </c>
      <c r="C181" s="6">
        <v>8</v>
      </c>
      <c r="D181" s="2" t="s">
        <v>428</v>
      </c>
      <c r="E181" s="6">
        <v>5222</v>
      </c>
      <c r="F181" s="18"/>
      <c r="G181" s="18"/>
      <c r="H181" s="24" t="s">
        <v>286</v>
      </c>
      <c r="I181" s="18"/>
      <c r="J181" s="18"/>
      <c r="K181" s="24" t="s">
        <v>286</v>
      </c>
      <c r="L181" s="24" t="s">
        <v>286</v>
      </c>
      <c r="M181" s="8"/>
      <c r="N181" s="272"/>
    </row>
    <row r="182" spans="1:14" s="3" customFormat="1" ht="12.2" customHeight="1" thickBot="1" x14ac:dyDescent="0.2">
      <c r="A182" s="3" t="s">
        <v>525</v>
      </c>
      <c r="B182" s="2" t="s">
        <v>328</v>
      </c>
      <c r="C182" s="6">
        <v>9</v>
      </c>
      <c r="D182" s="2" t="s">
        <v>428</v>
      </c>
      <c r="E182" s="6">
        <v>5230</v>
      </c>
      <c r="F182" s="18"/>
      <c r="G182" s="18"/>
      <c r="H182" s="18"/>
      <c r="I182" s="24" t="s">
        <v>286</v>
      </c>
      <c r="J182" s="18"/>
      <c r="K182" s="24" t="s">
        <v>286</v>
      </c>
      <c r="L182" s="24" t="s">
        <v>286</v>
      </c>
      <c r="M182" s="8"/>
      <c r="N182" s="272"/>
    </row>
    <row r="183" spans="1:14" s="3" customFormat="1" ht="12.2" customHeight="1" thickTop="1" x14ac:dyDescent="0.15">
      <c r="A183" s="38" t="s">
        <v>414</v>
      </c>
      <c r="B183" s="39" t="s">
        <v>328</v>
      </c>
      <c r="C183" s="44">
        <v>10</v>
      </c>
      <c r="D183" s="39" t="s">
        <v>428</v>
      </c>
      <c r="E183" s="44">
        <v>5200</v>
      </c>
      <c r="F183" s="41">
        <f>SUM(F179:F182)</f>
        <v>0</v>
      </c>
      <c r="G183" s="41">
        <f>SUM(G179:G182)</f>
        <v>0</v>
      </c>
      <c r="H183" s="41">
        <f>SUM(H179:H182)</f>
        <v>0</v>
      </c>
      <c r="I183" s="41">
        <f>SUM(I179:I182)</f>
        <v>0</v>
      </c>
      <c r="J183" s="41">
        <f>SUM(J179:J182)</f>
        <v>100000</v>
      </c>
      <c r="K183" s="45" t="s">
        <v>286</v>
      </c>
      <c r="L183" s="45" t="s">
        <v>286</v>
      </c>
      <c r="M183" s="8"/>
      <c r="N183" s="272"/>
    </row>
    <row r="184" spans="1:14" s="3" customFormat="1" ht="12.2" customHeight="1" x14ac:dyDescent="0.15">
      <c r="A184" s="30" t="s">
        <v>330</v>
      </c>
      <c r="B184" s="2"/>
      <c r="C184" s="6"/>
      <c r="D184" s="6"/>
      <c r="E184" s="6"/>
      <c r="F184" s="24" t="s">
        <v>286</v>
      </c>
      <c r="G184" s="24" t="s">
        <v>286</v>
      </c>
      <c r="H184" s="24" t="s">
        <v>286</v>
      </c>
      <c r="I184" s="24" t="s">
        <v>286</v>
      </c>
      <c r="J184" s="24" t="s">
        <v>286</v>
      </c>
      <c r="K184" s="24" t="s">
        <v>286</v>
      </c>
      <c r="L184" s="24" t="s">
        <v>286</v>
      </c>
      <c r="M184" s="8"/>
      <c r="N184" s="272"/>
    </row>
    <row r="185" spans="1:14" s="3" customFormat="1" ht="12.2" customHeight="1" x14ac:dyDescent="0.15">
      <c r="A185" s="1" t="s">
        <v>526</v>
      </c>
      <c r="B185" s="2" t="s">
        <v>328</v>
      </c>
      <c r="C185" s="6">
        <v>11</v>
      </c>
      <c r="D185" s="2" t="s">
        <v>428</v>
      </c>
      <c r="E185" s="6">
        <v>5251</v>
      </c>
      <c r="F185" s="18"/>
      <c r="G185" s="18"/>
      <c r="H185" s="18"/>
      <c r="I185" s="18">
        <v>800000</v>
      </c>
      <c r="J185" s="24" t="s">
        <v>286</v>
      </c>
      <c r="K185" s="24" t="s">
        <v>286</v>
      </c>
      <c r="L185" s="24" t="s">
        <v>286</v>
      </c>
      <c r="M185" s="8"/>
      <c r="N185" s="272"/>
    </row>
    <row r="186" spans="1:14" s="3" customFormat="1" ht="12.2" customHeight="1" x14ac:dyDescent="0.15">
      <c r="A186" s="1" t="s">
        <v>527</v>
      </c>
      <c r="B186" s="2" t="s">
        <v>328</v>
      </c>
      <c r="C186" s="6">
        <v>12</v>
      </c>
      <c r="D186" s="2" t="s">
        <v>428</v>
      </c>
      <c r="E186" s="6">
        <v>5252</v>
      </c>
      <c r="F186" s="18">
        <v>490000</v>
      </c>
      <c r="G186" s="18"/>
      <c r="H186" s="18"/>
      <c r="I186" s="18"/>
      <c r="J186" s="24" t="s">
        <v>286</v>
      </c>
      <c r="K186" s="24" t="s">
        <v>286</v>
      </c>
      <c r="L186" s="24" t="s">
        <v>286</v>
      </c>
      <c r="M186" s="8"/>
      <c r="N186" s="272"/>
    </row>
    <row r="187" spans="1:14" ht="12.2" customHeight="1" thickBot="1" x14ac:dyDescent="0.25">
      <c r="A187" s="1" t="s">
        <v>528</v>
      </c>
      <c r="B187" s="2" t="s">
        <v>328</v>
      </c>
      <c r="C187" s="6">
        <v>13</v>
      </c>
      <c r="D187" s="2" t="s">
        <v>428</v>
      </c>
      <c r="E187" s="6">
        <v>5253</v>
      </c>
      <c r="F187" s="18"/>
      <c r="G187" s="18"/>
      <c r="H187" s="18"/>
      <c r="I187" s="18"/>
      <c r="J187" s="24" t="s">
        <v>286</v>
      </c>
      <c r="K187" s="24" t="s">
        <v>286</v>
      </c>
      <c r="L187" s="24" t="s">
        <v>286</v>
      </c>
      <c r="N187" s="270"/>
    </row>
    <row r="188" spans="1:14" ht="12.2" customHeight="1" thickTop="1" x14ac:dyDescent="0.2">
      <c r="A188" s="38" t="s">
        <v>415</v>
      </c>
      <c r="B188" s="39" t="s">
        <v>328</v>
      </c>
      <c r="C188" s="40">
        <v>14</v>
      </c>
      <c r="D188" s="39" t="s">
        <v>428</v>
      </c>
      <c r="E188" s="44">
        <v>5250</v>
      </c>
      <c r="F188" s="41">
        <f>SUM(F185:F187)</f>
        <v>490000</v>
      </c>
      <c r="G188" s="41">
        <f>SUM(G185:G187)</f>
        <v>0</v>
      </c>
      <c r="H188" s="41">
        <f>SUM(H185:H187)</f>
        <v>0</v>
      </c>
      <c r="I188" s="41">
        <f>SUM(I185:I187)</f>
        <v>800000</v>
      </c>
      <c r="J188" s="45" t="s">
        <v>286</v>
      </c>
      <c r="K188" s="45" t="s">
        <v>286</v>
      </c>
      <c r="L188" s="45" t="s">
        <v>286</v>
      </c>
      <c r="N188" s="270"/>
    </row>
    <row r="189" spans="1:14" s="3" customFormat="1" ht="12.2" customHeight="1" x14ac:dyDescent="0.15">
      <c r="A189" s="3" t="s">
        <v>331</v>
      </c>
      <c r="B189" s="2" t="s">
        <v>328</v>
      </c>
      <c r="C189" s="6">
        <v>15</v>
      </c>
      <c r="D189" s="2" t="s">
        <v>428</v>
      </c>
      <c r="E189" s="6">
        <v>5300</v>
      </c>
      <c r="F189" s="18"/>
      <c r="G189" s="18"/>
      <c r="H189" s="18"/>
      <c r="I189" s="18"/>
      <c r="J189" s="24" t="s">
        <v>286</v>
      </c>
      <c r="K189" s="24" t="s">
        <v>286</v>
      </c>
      <c r="L189" s="24" t="s">
        <v>286</v>
      </c>
      <c r="M189" s="8"/>
      <c r="N189" s="272"/>
    </row>
    <row r="190" spans="1:14" s="3" customFormat="1" ht="12.2" customHeight="1" x14ac:dyDescent="0.15">
      <c r="A190" s="3" t="s">
        <v>332</v>
      </c>
      <c r="B190" s="2" t="s">
        <v>328</v>
      </c>
      <c r="C190" s="6">
        <v>16</v>
      </c>
      <c r="D190" s="2" t="s">
        <v>428</v>
      </c>
      <c r="E190" s="6">
        <v>5500</v>
      </c>
      <c r="F190" s="18"/>
      <c r="G190" s="18"/>
      <c r="H190" s="18"/>
      <c r="I190" s="18"/>
      <c r="J190" s="24" t="s">
        <v>286</v>
      </c>
      <c r="K190" s="24" t="s">
        <v>286</v>
      </c>
      <c r="L190" s="24" t="s">
        <v>286</v>
      </c>
      <c r="M190" s="8"/>
      <c r="N190" s="272"/>
    </row>
    <row r="191" spans="1:14" s="3" customFormat="1" ht="12.2" customHeight="1" thickBot="1" x14ac:dyDescent="0.2">
      <c r="A191" s="1" t="s">
        <v>333</v>
      </c>
      <c r="B191" s="2" t="s">
        <v>328</v>
      </c>
      <c r="C191" s="6">
        <v>17</v>
      </c>
      <c r="D191" s="2" t="s">
        <v>428</v>
      </c>
      <c r="E191" s="6">
        <v>5600</v>
      </c>
      <c r="F191" s="18"/>
      <c r="G191" s="18"/>
      <c r="H191" s="18"/>
      <c r="I191" s="18"/>
      <c r="J191" s="24" t="s">
        <v>286</v>
      </c>
      <c r="K191" s="24" t="s">
        <v>286</v>
      </c>
      <c r="L191" s="24" t="s">
        <v>286</v>
      </c>
      <c r="M191" s="8"/>
      <c r="N191" s="272"/>
    </row>
    <row r="192" spans="1:14" s="3" customFormat="1" ht="12.2" customHeight="1" thickTop="1" thickBot="1" x14ac:dyDescent="0.25">
      <c r="A192" s="38" t="s">
        <v>416</v>
      </c>
      <c r="B192" s="39" t="s">
        <v>328</v>
      </c>
      <c r="C192" s="40">
        <v>18</v>
      </c>
      <c r="D192" s="156" t="s">
        <v>428</v>
      </c>
      <c r="E192" s="51">
        <v>5000</v>
      </c>
      <c r="F192" s="41">
        <f>F177+F183+SUM(F188:F191)</f>
        <v>490000</v>
      </c>
      <c r="G192" s="41">
        <f>G183+SUM(G188:G191)</f>
        <v>0</v>
      </c>
      <c r="H192" s="41">
        <f>+H183+SUM(H188:H191)</f>
        <v>0</v>
      </c>
      <c r="I192" s="41">
        <f>I177+I183+SUM(I188:I191)</f>
        <v>38907102</v>
      </c>
      <c r="J192" s="41">
        <f>J183</f>
        <v>100000</v>
      </c>
      <c r="K192" s="45" t="s">
        <v>286</v>
      </c>
      <c r="L192" s="45" t="s">
        <v>286</v>
      </c>
      <c r="M192" s="8"/>
      <c r="N192" s="272"/>
    </row>
    <row r="193" spans="1:14" s="3" customFormat="1" ht="12.2" customHeight="1" thickTop="1" x14ac:dyDescent="0.2">
      <c r="A193" s="46" t="s">
        <v>455</v>
      </c>
      <c r="B193" s="39" t="s">
        <v>328</v>
      </c>
      <c r="C193" s="40">
        <v>19</v>
      </c>
      <c r="D193" s="157" t="s">
        <v>428</v>
      </c>
      <c r="E193" s="44"/>
      <c r="F193" s="47">
        <f>F112+F140+F169+F192</f>
        <v>44899162.25</v>
      </c>
      <c r="G193" s="47">
        <f>G112+G140+G169+G192</f>
        <v>845599.52000000014</v>
      </c>
      <c r="H193" s="47">
        <f>H112+H140+H169+H192</f>
        <v>833713.52</v>
      </c>
      <c r="I193" s="47">
        <f>I112+I140+I169+I192</f>
        <v>39296098.140000001</v>
      </c>
      <c r="J193" s="47">
        <f>J112+J140+J192</f>
        <v>100115</v>
      </c>
      <c r="K193" s="45" t="s">
        <v>286</v>
      </c>
      <c r="L193" s="45" t="s">
        <v>286</v>
      </c>
      <c r="M193" s="8"/>
      <c r="N193" s="272"/>
    </row>
    <row r="194" spans="1:14" s="3" customFormat="1" ht="12.2" customHeight="1" x14ac:dyDescent="0.15">
      <c r="A194" s="55" t="s">
        <v>463</v>
      </c>
      <c r="B194" s="36"/>
      <c r="C194" s="58"/>
      <c r="D194" s="58"/>
      <c r="E194" s="58"/>
      <c r="F194" s="177" t="s">
        <v>687</v>
      </c>
      <c r="G194" s="177" t="s">
        <v>688</v>
      </c>
      <c r="H194" s="177" t="s">
        <v>689</v>
      </c>
      <c r="I194" s="177" t="s">
        <v>690</v>
      </c>
      <c r="J194" s="177" t="s">
        <v>691</v>
      </c>
      <c r="K194" s="177" t="s">
        <v>692</v>
      </c>
      <c r="L194" s="56"/>
      <c r="M194" s="8"/>
      <c r="N194" s="272"/>
    </row>
    <row r="195" spans="1:14" s="3" customFormat="1" ht="12.2" customHeight="1" x14ac:dyDescent="0.15">
      <c r="A195" s="29" t="s">
        <v>449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.2" customHeight="1" x14ac:dyDescent="0.15">
      <c r="A196" s="30" t="s">
        <v>529</v>
      </c>
      <c r="F196" s="24" t="s">
        <v>286</v>
      </c>
      <c r="G196" s="24" t="s">
        <v>286</v>
      </c>
      <c r="H196" s="24" t="s">
        <v>286</v>
      </c>
      <c r="I196" s="24" t="s">
        <v>286</v>
      </c>
      <c r="J196" s="24" t="s">
        <v>286</v>
      </c>
      <c r="K196" s="24" t="s">
        <v>286</v>
      </c>
      <c r="L196" s="24" t="s">
        <v>286</v>
      </c>
      <c r="M196" s="8"/>
      <c r="N196" s="272"/>
    </row>
    <row r="197" spans="1:14" s="3" customFormat="1" ht="12.2" customHeight="1" x14ac:dyDescent="0.15">
      <c r="A197" s="1" t="s">
        <v>436</v>
      </c>
      <c r="B197" s="2" t="s">
        <v>339</v>
      </c>
      <c r="C197" s="2" t="s">
        <v>288</v>
      </c>
      <c r="D197" s="2" t="s">
        <v>429</v>
      </c>
      <c r="E197" s="6">
        <v>1100</v>
      </c>
      <c r="F197" s="18">
        <v>7861117.6500000004</v>
      </c>
      <c r="G197" s="18">
        <v>4031072.2</v>
      </c>
      <c r="H197" s="18">
        <v>24476.400000000001</v>
      </c>
      <c r="I197" s="18">
        <v>420810.29</v>
      </c>
      <c r="J197" s="18">
        <v>49764.44</v>
      </c>
      <c r="K197" s="18">
        <v>1095</v>
      </c>
      <c r="L197" s="19">
        <f>SUM(F197:K197)</f>
        <v>12388335.98</v>
      </c>
      <c r="M197" s="8"/>
      <c r="N197" s="272"/>
    </row>
    <row r="198" spans="1:14" s="3" customFormat="1" ht="12.2" customHeight="1" x14ac:dyDescent="0.15">
      <c r="A198" s="1" t="s">
        <v>437</v>
      </c>
      <c r="B198" s="2" t="s">
        <v>339</v>
      </c>
      <c r="C198" s="2" t="s">
        <v>289</v>
      </c>
      <c r="D198" s="2" t="s">
        <v>429</v>
      </c>
      <c r="E198" s="6">
        <v>1200</v>
      </c>
      <c r="F198" s="18">
        <v>2726677.04</v>
      </c>
      <c r="G198" s="18">
        <v>1394297.46</v>
      </c>
      <c r="H198" s="18">
        <v>908259.21</v>
      </c>
      <c r="I198" s="18">
        <v>18216.849999999999</v>
      </c>
      <c r="J198" s="18">
        <v>6005.88</v>
      </c>
      <c r="K198" s="18">
        <v>11538.93</v>
      </c>
      <c r="L198" s="19">
        <f>SUM(F198:K198)</f>
        <v>5064995.3699999992</v>
      </c>
      <c r="M198" s="8"/>
      <c r="N198" s="272"/>
    </row>
    <row r="199" spans="1:14" s="3" customFormat="1" ht="12.2" customHeight="1" x14ac:dyDescent="0.15">
      <c r="A199" s="1" t="s">
        <v>438</v>
      </c>
      <c r="B199" s="2" t="s">
        <v>339</v>
      </c>
      <c r="C199" s="2" t="s">
        <v>290</v>
      </c>
      <c r="D199" s="2" t="s">
        <v>429</v>
      </c>
      <c r="E199" s="6">
        <v>1300</v>
      </c>
      <c r="F199" s="18">
        <v>0</v>
      </c>
      <c r="G199" s="18">
        <v>0</v>
      </c>
      <c r="H199" s="18">
        <v>0</v>
      </c>
      <c r="I199" s="18">
        <v>0</v>
      </c>
      <c r="J199" s="18">
        <v>0</v>
      </c>
      <c r="K199" s="18">
        <v>0</v>
      </c>
      <c r="L199" s="19">
        <f>SUM(F199:K199)</f>
        <v>0</v>
      </c>
      <c r="M199" s="8"/>
      <c r="N199" s="272"/>
    </row>
    <row r="200" spans="1:14" s="3" customFormat="1" ht="12.2" customHeight="1" x14ac:dyDescent="0.15">
      <c r="A200" s="1" t="s">
        <v>439</v>
      </c>
      <c r="B200" s="2" t="s">
        <v>339</v>
      </c>
      <c r="C200" s="2" t="s">
        <v>291</v>
      </c>
      <c r="D200" s="2" t="s">
        <v>429</v>
      </c>
      <c r="E200" s="6">
        <v>1400</v>
      </c>
      <c r="F200" s="18">
        <v>171794.75</v>
      </c>
      <c r="G200" s="18">
        <v>153749.20000000001</v>
      </c>
      <c r="H200" s="18">
        <v>10169</v>
      </c>
      <c r="I200" s="18">
        <v>11204.72</v>
      </c>
      <c r="J200" s="18"/>
      <c r="K200" s="18">
        <v>2575</v>
      </c>
      <c r="L200" s="19">
        <f>SUM(F200:K200)</f>
        <v>349492.67</v>
      </c>
      <c r="M200" s="8"/>
      <c r="N200" s="272"/>
    </row>
    <row r="201" spans="1:14" s="3" customFormat="1" ht="12.2" customHeight="1" x14ac:dyDescent="0.15">
      <c r="A201" s="30" t="s">
        <v>340</v>
      </c>
      <c r="E201" s="6"/>
      <c r="F201" s="24" t="s">
        <v>286</v>
      </c>
      <c r="G201" s="24" t="s">
        <v>286</v>
      </c>
      <c r="H201" s="24" t="s">
        <v>286</v>
      </c>
      <c r="I201" s="24" t="s">
        <v>286</v>
      </c>
      <c r="J201" s="24" t="s">
        <v>286</v>
      </c>
      <c r="K201" s="24" t="s">
        <v>286</v>
      </c>
      <c r="L201" s="24" t="s">
        <v>286</v>
      </c>
      <c r="M201" s="8"/>
      <c r="N201" s="272"/>
    </row>
    <row r="202" spans="1:14" s="3" customFormat="1" ht="12.2" customHeight="1" x14ac:dyDescent="0.15">
      <c r="A202" s="1" t="s">
        <v>440</v>
      </c>
      <c r="B202" s="2" t="s">
        <v>339</v>
      </c>
      <c r="C202" s="2" t="s">
        <v>292</v>
      </c>
      <c r="D202" s="2" t="s">
        <v>429</v>
      </c>
      <c r="E202" s="6">
        <v>2100</v>
      </c>
      <c r="F202" s="18">
        <v>1577747.69</v>
      </c>
      <c r="G202" s="18">
        <v>793087.11</v>
      </c>
      <c r="H202" s="18">
        <v>268231.21999999997</v>
      </c>
      <c r="I202" s="18">
        <v>24314.17</v>
      </c>
      <c r="J202" s="18">
        <v>21504.19</v>
      </c>
      <c r="K202" s="18">
        <v>5065.6099999999997</v>
      </c>
      <c r="L202" s="19">
        <f t="shared" ref="L202:L208" si="0">SUM(F202:K202)</f>
        <v>2689949.9899999993</v>
      </c>
      <c r="M202" s="8"/>
      <c r="N202" s="272"/>
    </row>
    <row r="203" spans="1:14" s="3" customFormat="1" ht="12.2" customHeight="1" x14ac:dyDescent="0.15">
      <c r="A203" s="1" t="s">
        <v>441</v>
      </c>
      <c r="B203" s="2" t="s">
        <v>339</v>
      </c>
      <c r="C203" s="2" t="s">
        <v>293</v>
      </c>
      <c r="D203" s="2" t="s">
        <v>429</v>
      </c>
      <c r="E203" s="6">
        <v>2200</v>
      </c>
      <c r="F203" s="18">
        <v>760369.75</v>
      </c>
      <c r="G203" s="18">
        <v>448218.32</v>
      </c>
      <c r="H203" s="18">
        <v>86810.26</v>
      </c>
      <c r="I203" s="18">
        <v>310482.88</v>
      </c>
      <c r="J203" s="18">
        <v>268031.68</v>
      </c>
      <c r="K203" s="18">
        <v>0</v>
      </c>
      <c r="L203" s="19">
        <f t="shared" si="0"/>
        <v>1873912.89</v>
      </c>
      <c r="M203" s="8"/>
      <c r="N203" s="272"/>
    </row>
    <row r="204" spans="1:14" s="3" customFormat="1" ht="12.2" customHeight="1" x14ac:dyDescent="0.15">
      <c r="A204" s="1" t="s">
        <v>442</v>
      </c>
      <c r="B204" s="2" t="s">
        <v>339</v>
      </c>
      <c r="C204" s="2" t="s">
        <v>294</v>
      </c>
      <c r="D204" s="2" t="s">
        <v>429</v>
      </c>
      <c r="E204" s="6">
        <v>2300</v>
      </c>
      <c r="F204" s="18">
        <v>821929.06</v>
      </c>
      <c r="G204" s="18">
        <v>346166.49</v>
      </c>
      <c r="H204" s="18">
        <v>116839.29</v>
      </c>
      <c r="I204" s="18">
        <v>17984.66</v>
      </c>
      <c r="J204" s="18">
        <v>2273.16</v>
      </c>
      <c r="K204" s="18">
        <v>21403.41</v>
      </c>
      <c r="L204" s="19">
        <f t="shared" si="0"/>
        <v>1326596.0699999998</v>
      </c>
      <c r="M204" s="8"/>
      <c r="N204" s="272"/>
    </row>
    <row r="205" spans="1:14" s="3" customFormat="1" ht="12.2" customHeight="1" x14ac:dyDescent="0.15">
      <c r="A205" s="1" t="s">
        <v>443</v>
      </c>
      <c r="B205" s="2" t="s">
        <v>339</v>
      </c>
      <c r="C205" s="2" t="s">
        <v>295</v>
      </c>
      <c r="D205" s="2" t="s">
        <v>429</v>
      </c>
      <c r="E205" s="6">
        <v>2400</v>
      </c>
      <c r="F205" s="18">
        <v>902482.8</v>
      </c>
      <c r="G205" s="18">
        <v>458896.26</v>
      </c>
      <c r="H205" s="18">
        <v>51770.3</v>
      </c>
      <c r="I205" s="18">
        <v>7834.72</v>
      </c>
      <c r="J205" s="18">
        <v>11766.62</v>
      </c>
      <c r="K205" s="18">
        <v>10806.51</v>
      </c>
      <c r="L205" s="19">
        <f t="shared" si="0"/>
        <v>1443557.2100000002</v>
      </c>
      <c r="M205" s="8"/>
      <c r="N205" s="272"/>
    </row>
    <row r="206" spans="1:14" s="3" customFormat="1" ht="12.2" customHeight="1" x14ac:dyDescent="0.15">
      <c r="A206" s="1" t="s">
        <v>444</v>
      </c>
      <c r="B206" s="2" t="s">
        <v>339</v>
      </c>
      <c r="C206" s="2" t="s">
        <v>296</v>
      </c>
      <c r="D206" s="2" t="s">
        <v>429</v>
      </c>
      <c r="E206" s="6">
        <v>2500</v>
      </c>
      <c r="F206" s="18">
        <v>288382.08000000002</v>
      </c>
      <c r="G206" s="18">
        <v>255681.33</v>
      </c>
      <c r="H206" s="18">
        <v>4468.1000000000004</v>
      </c>
      <c r="I206" s="18">
        <v>2328.8000000000002</v>
      </c>
      <c r="J206" s="18">
        <v>0</v>
      </c>
      <c r="K206" s="18">
        <v>4337.55</v>
      </c>
      <c r="L206" s="19">
        <f t="shared" si="0"/>
        <v>555197.8600000001</v>
      </c>
      <c r="M206" s="8"/>
      <c r="N206" s="272"/>
    </row>
    <row r="207" spans="1:14" s="3" customFormat="1" ht="12.2" customHeight="1" x14ac:dyDescent="0.15">
      <c r="A207" s="1" t="s">
        <v>445</v>
      </c>
      <c r="B207" s="2" t="s">
        <v>339</v>
      </c>
      <c r="C207" s="2" t="s">
        <v>297</v>
      </c>
      <c r="D207" s="2" t="s">
        <v>429</v>
      </c>
      <c r="E207" s="6">
        <v>2600</v>
      </c>
      <c r="F207" s="18">
        <v>667290.74</v>
      </c>
      <c r="G207" s="18">
        <v>367117.01</v>
      </c>
      <c r="H207" s="18">
        <v>385328.06</v>
      </c>
      <c r="I207" s="18">
        <v>416518.97</v>
      </c>
      <c r="J207" s="18">
        <v>48212.5</v>
      </c>
      <c r="K207" s="18">
        <v>0</v>
      </c>
      <c r="L207" s="19">
        <f t="shared" si="0"/>
        <v>1884467.28</v>
      </c>
      <c r="M207" s="8"/>
      <c r="N207" s="272"/>
    </row>
    <row r="208" spans="1:14" s="3" customFormat="1" ht="12.2" customHeight="1" x14ac:dyDescent="0.15">
      <c r="A208" s="1" t="s">
        <v>446</v>
      </c>
      <c r="B208" s="2" t="s">
        <v>339</v>
      </c>
      <c r="C208" s="2" t="s">
        <v>298</v>
      </c>
      <c r="D208" s="2" t="s">
        <v>429</v>
      </c>
      <c r="E208" s="6">
        <v>2700</v>
      </c>
      <c r="F208" s="18">
        <v>0</v>
      </c>
      <c r="G208" s="18">
        <v>0</v>
      </c>
      <c r="H208" s="18">
        <v>1543144.47</v>
      </c>
      <c r="I208" s="18">
        <v>70662.25</v>
      </c>
      <c r="J208" s="18"/>
      <c r="K208" s="18">
        <v>0</v>
      </c>
      <c r="L208" s="19">
        <f t="shared" si="0"/>
        <v>1613806.72</v>
      </c>
      <c r="M208" s="8"/>
      <c r="N208" s="272"/>
    </row>
    <row r="209" spans="1:14" s="3" customFormat="1" ht="12.2" customHeight="1" x14ac:dyDescent="0.15">
      <c r="A209" s="1" t="s">
        <v>447</v>
      </c>
      <c r="B209" s="2" t="s">
        <v>339</v>
      </c>
      <c r="C209" s="2" t="s">
        <v>341</v>
      </c>
      <c r="D209" s="2" t="s">
        <v>429</v>
      </c>
      <c r="E209" s="6">
        <v>2800</v>
      </c>
      <c r="F209" s="18">
        <v>0</v>
      </c>
      <c r="G209" s="18">
        <v>0</v>
      </c>
      <c r="H209" s="18">
        <v>53272.73</v>
      </c>
      <c r="I209" s="18"/>
      <c r="J209" s="18"/>
      <c r="K209" s="18"/>
      <c r="L209" s="19">
        <f>SUM(F209:K209)</f>
        <v>53272.73</v>
      </c>
      <c r="M209" s="8"/>
      <c r="N209" s="272"/>
    </row>
    <row r="210" spans="1:14" s="3" customFormat="1" ht="12.2" customHeight="1" thickBot="1" x14ac:dyDescent="0.2">
      <c r="A210" s="1" t="s">
        <v>448</v>
      </c>
      <c r="B210" s="2" t="s">
        <v>339</v>
      </c>
      <c r="C210" s="2" t="s">
        <v>342</v>
      </c>
      <c r="D210" s="2" t="s">
        <v>429</v>
      </c>
      <c r="E210" s="6">
        <v>2900</v>
      </c>
      <c r="F210" s="24" t="s">
        <v>286</v>
      </c>
      <c r="G210" s="24" t="s">
        <v>286</v>
      </c>
      <c r="H210" s="24" t="s">
        <v>286</v>
      </c>
      <c r="I210" s="24" t="s">
        <v>286</v>
      </c>
      <c r="J210" s="24" t="s">
        <v>286</v>
      </c>
      <c r="K210" s="24" t="s">
        <v>286</v>
      </c>
      <c r="L210" s="24" t="s">
        <v>286</v>
      </c>
      <c r="M210" s="8"/>
      <c r="N210" s="272"/>
    </row>
    <row r="211" spans="1:14" s="3" customFormat="1" ht="12.2" customHeight="1" thickTop="1" x14ac:dyDescent="0.15">
      <c r="A211" s="38" t="s">
        <v>417</v>
      </c>
      <c r="B211" s="39" t="s">
        <v>339</v>
      </c>
      <c r="C211" s="39" t="s">
        <v>343</v>
      </c>
      <c r="D211" s="39" t="s">
        <v>429</v>
      </c>
      <c r="E211" s="39"/>
      <c r="F211" s="41">
        <f t="shared" ref="F211:L211" si="1">SUM(F197:F210)</f>
        <v>15777791.560000002</v>
      </c>
      <c r="G211" s="41">
        <f t="shared" si="1"/>
        <v>8248285.3800000008</v>
      </c>
      <c r="H211" s="41">
        <f t="shared" si="1"/>
        <v>3452769.0400000005</v>
      </c>
      <c r="I211" s="41">
        <f t="shared" si="1"/>
        <v>1300358.31</v>
      </c>
      <c r="J211" s="41">
        <f t="shared" si="1"/>
        <v>407558.47</v>
      </c>
      <c r="K211" s="41">
        <f t="shared" si="1"/>
        <v>56822.01</v>
      </c>
      <c r="L211" s="41">
        <f t="shared" si="1"/>
        <v>29243584.770000003</v>
      </c>
      <c r="M211" s="8"/>
      <c r="N211" s="272"/>
    </row>
    <row r="212" spans="1:14" s="3" customFormat="1" ht="12.2" customHeight="1" x14ac:dyDescent="0.15">
      <c r="A212" s="55" t="s">
        <v>463</v>
      </c>
      <c r="B212" s="36"/>
      <c r="C212" s="36"/>
      <c r="D212" s="36"/>
      <c r="E212" s="36"/>
      <c r="F212" s="177" t="s">
        <v>687</v>
      </c>
      <c r="G212" s="177" t="s">
        <v>688</v>
      </c>
      <c r="H212" s="177" t="s">
        <v>689</v>
      </c>
      <c r="I212" s="177" t="s">
        <v>690</v>
      </c>
      <c r="J212" s="177" t="s">
        <v>691</v>
      </c>
      <c r="K212" s="177" t="s">
        <v>692</v>
      </c>
      <c r="L212" s="67"/>
      <c r="M212" s="8"/>
      <c r="N212" s="272"/>
    </row>
    <row r="213" spans="1:14" s="3" customFormat="1" ht="12.2" customHeight="1" x14ac:dyDescent="0.15">
      <c r="A213" s="29" t="s">
        <v>450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.2" customHeight="1" x14ac:dyDescent="0.15">
      <c r="A214" s="30" t="s">
        <v>529</v>
      </c>
      <c r="F214" s="24" t="s">
        <v>286</v>
      </c>
      <c r="G214" s="24" t="s">
        <v>286</v>
      </c>
      <c r="H214" s="24" t="s">
        <v>286</v>
      </c>
      <c r="I214" s="24" t="s">
        <v>286</v>
      </c>
      <c r="J214" s="24" t="s">
        <v>286</v>
      </c>
      <c r="K214" s="24" t="s">
        <v>286</v>
      </c>
      <c r="L214" s="24" t="s">
        <v>286</v>
      </c>
      <c r="M214" s="8"/>
      <c r="N214" s="272"/>
    </row>
    <row r="215" spans="1:14" s="3" customFormat="1" ht="12.2" customHeight="1" x14ac:dyDescent="0.15">
      <c r="A215" s="1" t="s">
        <v>436</v>
      </c>
      <c r="B215" s="2" t="s">
        <v>344</v>
      </c>
      <c r="C215" s="2" t="s">
        <v>288</v>
      </c>
      <c r="D215" s="2" t="s">
        <v>429</v>
      </c>
      <c r="E215" s="6">
        <v>1100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  <c r="N215" s="272"/>
    </row>
    <row r="216" spans="1:14" s="3" customFormat="1" ht="12.2" customHeight="1" x14ac:dyDescent="0.15">
      <c r="A216" s="1" t="s">
        <v>437</v>
      </c>
      <c r="B216" s="2" t="s">
        <v>344</v>
      </c>
      <c r="C216" s="2" t="s">
        <v>289</v>
      </c>
      <c r="D216" s="2" t="s">
        <v>429</v>
      </c>
      <c r="E216" s="6">
        <v>1200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.2" customHeight="1" x14ac:dyDescent="0.15">
      <c r="A217" s="1" t="s">
        <v>438</v>
      </c>
      <c r="B217" s="2" t="s">
        <v>344</v>
      </c>
      <c r="C217" s="2" t="s">
        <v>290</v>
      </c>
      <c r="D217" s="2" t="s">
        <v>429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.2" customHeight="1" x14ac:dyDescent="0.15">
      <c r="A218" s="1" t="s">
        <v>439</v>
      </c>
      <c r="B218" s="2" t="s">
        <v>344</v>
      </c>
      <c r="C218" s="2" t="s">
        <v>291</v>
      </c>
      <c r="D218" s="2" t="s">
        <v>429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2"/>
    </row>
    <row r="219" spans="1:14" s="3" customFormat="1" ht="12.2" customHeight="1" x14ac:dyDescent="0.15">
      <c r="A219" s="30" t="s">
        <v>340</v>
      </c>
      <c r="B219" s="1" t="s">
        <v>299</v>
      </c>
      <c r="E219" s="6"/>
      <c r="F219" s="24" t="s">
        <v>286</v>
      </c>
      <c r="G219" s="24" t="s">
        <v>286</v>
      </c>
      <c r="H219" s="24" t="s">
        <v>286</v>
      </c>
      <c r="I219" s="24" t="s">
        <v>286</v>
      </c>
      <c r="J219" s="24" t="s">
        <v>286</v>
      </c>
      <c r="K219" s="24" t="s">
        <v>286</v>
      </c>
      <c r="L219" s="24" t="s">
        <v>286</v>
      </c>
      <c r="M219" s="8"/>
      <c r="N219" s="272"/>
    </row>
    <row r="220" spans="1:14" s="3" customFormat="1" ht="12.2" customHeight="1" x14ac:dyDescent="0.15">
      <c r="A220" s="1" t="s">
        <v>440</v>
      </c>
      <c r="B220" s="2" t="s">
        <v>344</v>
      </c>
      <c r="C220" s="2" t="s">
        <v>292</v>
      </c>
      <c r="D220" s="2" t="s">
        <v>429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2"/>
    </row>
    <row r="221" spans="1:14" s="3" customFormat="1" ht="12.2" customHeight="1" x14ac:dyDescent="0.15">
      <c r="A221" s="1" t="s">
        <v>441</v>
      </c>
      <c r="B221" s="2" t="s">
        <v>344</v>
      </c>
      <c r="C221" s="2" t="s">
        <v>293</v>
      </c>
      <c r="D221" s="2" t="s">
        <v>429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.2" customHeight="1" x14ac:dyDescent="0.15">
      <c r="A222" s="1" t="s">
        <v>442</v>
      </c>
      <c r="B222" s="2" t="s">
        <v>344</v>
      </c>
      <c r="C222" s="2" t="s">
        <v>294</v>
      </c>
      <c r="D222" s="2" t="s">
        <v>429</v>
      </c>
      <c r="E222" s="6">
        <v>2300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.2" customHeight="1" x14ac:dyDescent="0.15">
      <c r="A223" s="1" t="s">
        <v>443</v>
      </c>
      <c r="B223" s="2" t="s">
        <v>344</v>
      </c>
      <c r="C223" s="2" t="s">
        <v>295</v>
      </c>
      <c r="D223" s="2" t="s">
        <v>429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.2" customHeight="1" x14ac:dyDescent="0.15">
      <c r="A224" s="1" t="s">
        <v>444</v>
      </c>
      <c r="B224" s="2" t="s">
        <v>344</v>
      </c>
      <c r="C224" s="2" t="s">
        <v>296</v>
      </c>
      <c r="D224" s="2" t="s">
        <v>429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.2" customHeight="1" x14ac:dyDescent="0.15">
      <c r="A225" s="1" t="s">
        <v>445</v>
      </c>
      <c r="B225" s="2" t="s">
        <v>344</v>
      </c>
      <c r="C225" s="2" t="s">
        <v>297</v>
      </c>
      <c r="D225" s="2" t="s">
        <v>429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.2" customHeight="1" x14ac:dyDescent="0.15">
      <c r="A226" s="1" t="s">
        <v>446</v>
      </c>
      <c r="B226" s="2" t="s">
        <v>344</v>
      </c>
      <c r="C226" s="2" t="s">
        <v>298</v>
      </c>
      <c r="D226" s="2" t="s">
        <v>429</v>
      </c>
      <c r="E226" s="6">
        <v>2700</v>
      </c>
      <c r="F226" s="18"/>
      <c r="G226" s="18"/>
      <c r="H226" s="18"/>
      <c r="I226" s="18"/>
      <c r="J226" s="18"/>
      <c r="K226" s="18"/>
      <c r="L226" s="19">
        <f t="shared" si="2"/>
        <v>0</v>
      </c>
      <c r="M226" s="8"/>
      <c r="N226" s="272"/>
    </row>
    <row r="227" spans="1:14" s="3" customFormat="1" ht="12.2" customHeight="1" x14ac:dyDescent="0.15">
      <c r="A227" s="1" t="s">
        <v>447</v>
      </c>
      <c r="B227" s="2" t="s">
        <v>344</v>
      </c>
      <c r="C227" s="2" t="s">
        <v>341</v>
      </c>
      <c r="D227" s="2" t="s">
        <v>429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.2" customHeight="1" thickBot="1" x14ac:dyDescent="0.2">
      <c r="A228" s="1" t="s">
        <v>448</v>
      </c>
      <c r="B228" s="2" t="s">
        <v>344</v>
      </c>
      <c r="C228" s="2" t="s">
        <v>342</v>
      </c>
      <c r="D228" s="2" t="s">
        <v>429</v>
      </c>
      <c r="E228" s="6">
        <v>2900</v>
      </c>
      <c r="F228" s="24" t="s">
        <v>286</v>
      </c>
      <c r="G228" s="24" t="s">
        <v>286</v>
      </c>
      <c r="H228" s="24" t="s">
        <v>286</v>
      </c>
      <c r="I228" s="24" t="s">
        <v>286</v>
      </c>
      <c r="J228" s="24" t="s">
        <v>286</v>
      </c>
      <c r="K228" s="24" t="s">
        <v>286</v>
      </c>
      <c r="L228" s="24" t="s">
        <v>286</v>
      </c>
      <c r="M228" s="8"/>
      <c r="N228" s="272"/>
    </row>
    <row r="229" spans="1:14" s="3" customFormat="1" ht="12.2" customHeight="1" thickTop="1" x14ac:dyDescent="0.15">
      <c r="A229" s="38" t="s">
        <v>457</v>
      </c>
      <c r="B229" s="39" t="s">
        <v>344</v>
      </c>
      <c r="C229" s="39" t="s">
        <v>343</v>
      </c>
      <c r="D229" s="39" t="s">
        <v>429</v>
      </c>
      <c r="E229" s="44"/>
      <c r="F229" s="41">
        <f t="shared" ref="F229:L229" si="3">SUM(F215:F228)</f>
        <v>0</v>
      </c>
      <c r="G229" s="41">
        <f>SUM(G215:G228)</f>
        <v>0</v>
      </c>
      <c r="H229" s="41">
        <f>SUM(H215:H228)</f>
        <v>0</v>
      </c>
      <c r="I229" s="41">
        <f>SUM(I215:I228)</f>
        <v>0</v>
      </c>
      <c r="J229" s="41">
        <f>SUM(J215:J228)</f>
        <v>0</v>
      </c>
      <c r="K229" s="41">
        <f t="shared" si="3"/>
        <v>0</v>
      </c>
      <c r="L229" s="41">
        <f t="shared" si="3"/>
        <v>0</v>
      </c>
      <c r="M229" s="8"/>
      <c r="N229" s="272"/>
    </row>
    <row r="230" spans="1:14" s="3" customFormat="1" ht="12.2" customHeight="1" x14ac:dyDescent="0.15">
      <c r="A230" s="55" t="s">
        <v>463</v>
      </c>
      <c r="B230" s="36"/>
      <c r="C230" s="75"/>
      <c r="D230" s="75"/>
      <c r="E230" s="75"/>
      <c r="F230" s="177" t="s">
        <v>687</v>
      </c>
      <c r="G230" s="177" t="s">
        <v>688</v>
      </c>
      <c r="H230" s="177" t="s">
        <v>689</v>
      </c>
      <c r="I230" s="177" t="s">
        <v>690</v>
      </c>
      <c r="J230" s="177" t="s">
        <v>691</v>
      </c>
      <c r="K230" s="177" t="s">
        <v>692</v>
      </c>
      <c r="L230" s="67"/>
      <c r="M230" s="8"/>
      <c r="N230" s="272"/>
    </row>
    <row r="231" spans="1:14" s="3" customFormat="1" ht="12.2" customHeight="1" x14ac:dyDescent="0.15">
      <c r="A231" s="29" t="s">
        <v>451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.2" customHeight="1" x14ac:dyDescent="0.15">
      <c r="A232" s="30" t="s">
        <v>195</v>
      </c>
      <c r="F232" s="24" t="s">
        <v>286</v>
      </c>
      <c r="G232" s="24" t="s">
        <v>286</v>
      </c>
      <c r="H232" s="24" t="s">
        <v>286</v>
      </c>
      <c r="I232" s="24" t="s">
        <v>286</v>
      </c>
      <c r="J232" s="24" t="s">
        <v>286</v>
      </c>
      <c r="K232" s="24" t="s">
        <v>286</v>
      </c>
      <c r="L232" s="24" t="s">
        <v>286</v>
      </c>
      <c r="M232" s="8"/>
      <c r="N232" s="272"/>
    </row>
    <row r="233" spans="1:14" s="3" customFormat="1" ht="12.2" customHeight="1" x14ac:dyDescent="0.15">
      <c r="A233" s="1" t="s">
        <v>436</v>
      </c>
      <c r="B233" s="2" t="s">
        <v>348</v>
      </c>
      <c r="C233" s="2" t="s">
        <v>288</v>
      </c>
      <c r="D233" s="2" t="s">
        <v>429</v>
      </c>
      <c r="E233" s="6">
        <v>1100</v>
      </c>
      <c r="F233" s="18">
        <v>3699349.48</v>
      </c>
      <c r="G233" s="18">
        <v>1896975.15</v>
      </c>
      <c r="H233" s="18">
        <v>11518.31</v>
      </c>
      <c r="I233" s="18">
        <v>204020.77</v>
      </c>
      <c r="J233" s="18">
        <v>84068.88</v>
      </c>
      <c r="K233" s="18">
        <v>5043</v>
      </c>
      <c r="L233" s="19">
        <f>SUM(F233:K233)</f>
        <v>5900975.5899999989</v>
      </c>
      <c r="M233" s="8"/>
      <c r="N233" s="272"/>
    </row>
    <row r="234" spans="1:14" s="3" customFormat="1" ht="12.2" customHeight="1" x14ac:dyDescent="0.15">
      <c r="A234" s="1" t="s">
        <v>437</v>
      </c>
      <c r="B234" s="2" t="s">
        <v>348</v>
      </c>
      <c r="C234" s="2" t="s">
        <v>289</v>
      </c>
      <c r="D234" s="2" t="s">
        <v>429</v>
      </c>
      <c r="E234" s="6">
        <v>1200</v>
      </c>
      <c r="F234" s="18">
        <v>1283142.1399999999</v>
      </c>
      <c r="G234" s="18">
        <v>656139.98</v>
      </c>
      <c r="H234" s="18">
        <v>435265.11</v>
      </c>
      <c r="I234" s="18">
        <v>7705.2</v>
      </c>
      <c r="J234" s="18">
        <v>3400.89</v>
      </c>
      <c r="K234" s="18">
        <v>5430.08</v>
      </c>
      <c r="L234" s="19">
        <f>SUM(F234:K234)</f>
        <v>2391083.4000000004</v>
      </c>
      <c r="M234" s="8"/>
      <c r="N234" s="272"/>
    </row>
    <row r="235" spans="1:14" s="3" customFormat="1" ht="12.2" customHeight="1" x14ac:dyDescent="0.15">
      <c r="A235" s="1" t="s">
        <v>438</v>
      </c>
      <c r="B235" s="2" t="s">
        <v>348</v>
      </c>
      <c r="C235" s="2" t="s">
        <v>290</v>
      </c>
      <c r="D235" s="2" t="s">
        <v>429</v>
      </c>
      <c r="E235" s="6">
        <v>1300</v>
      </c>
      <c r="F235" s="18">
        <v>0</v>
      </c>
      <c r="G235" s="18">
        <v>0</v>
      </c>
      <c r="H235" s="18">
        <v>120084.99</v>
      </c>
      <c r="I235" s="18">
        <v>0</v>
      </c>
      <c r="J235" s="18">
        <v>0</v>
      </c>
      <c r="K235" s="18">
        <v>0</v>
      </c>
      <c r="L235" s="19">
        <f>SUM(F235:K235)</f>
        <v>120084.99</v>
      </c>
      <c r="M235" s="8"/>
      <c r="N235" s="272"/>
    </row>
    <row r="236" spans="1:14" s="3" customFormat="1" ht="12.2" customHeight="1" x14ac:dyDescent="0.15">
      <c r="A236" s="1" t="s">
        <v>439</v>
      </c>
      <c r="B236" s="2" t="s">
        <v>348</v>
      </c>
      <c r="C236" s="2" t="s">
        <v>291</v>
      </c>
      <c r="D236" s="2" t="s">
        <v>429</v>
      </c>
      <c r="E236" s="6">
        <v>1400</v>
      </c>
      <c r="F236" s="18">
        <v>312584.3</v>
      </c>
      <c r="G236" s="18">
        <v>72352.56</v>
      </c>
      <c r="H236" s="18">
        <v>77985.84</v>
      </c>
      <c r="I236" s="18">
        <v>26209.13</v>
      </c>
      <c r="J236" s="18">
        <v>33547.5</v>
      </c>
      <c r="K236" s="18">
        <v>88779.29</v>
      </c>
      <c r="L236" s="19">
        <f>SUM(F236:K236)</f>
        <v>611458.62</v>
      </c>
      <c r="M236" s="8"/>
      <c r="N236" s="272"/>
    </row>
    <row r="237" spans="1:14" s="3" customFormat="1" ht="12.2" customHeight="1" x14ac:dyDescent="0.15">
      <c r="A237" s="30" t="s">
        <v>340</v>
      </c>
      <c r="C237" s="23"/>
      <c r="E237" s="6"/>
      <c r="F237" s="24" t="s">
        <v>286</v>
      </c>
      <c r="G237" s="24" t="s">
        <v>286</v>
      </c>
      <c r="H237" s="24" t="s">
        <v>286</v>
      </c>
      <c r="I237" s="24" t="s">
        <v>286</v>
      </c>
      <c r="J237" s="24" t="s">
        <v>286</v>
      </c>
      <c r="K237" s="24" t="s">
        <v>286</v>
      </c>
      <c r="L237" s="24" t="s">
        <v>286</v>
      </c>
      <c r="M237" s="8"/>
      <c r="N237" s="272"/>
    </row>
    <row r="238" spans="1:14" s="3" customFormat="1" ht="12.2" customHeight="1" x14ac:dyDescent="0.15">
      <c r="A238" s="1" t="s">
        <v>440</v>
      </c>
      <c r="B238" s="2" t="s">
        <v>348</v>
      </c>
      <c r="C238" s="2" t="s">
        <v>292</v>
      </c>
      <c r="D238" s="2" t="s">
        <v>429</v>
      </c>
      <c r="E238" s="6">
        <v>2100</v>
      </c>
      <c r="F238" s="18">
        <v>684895.27</v>
      </c>
      <c r="G238" s="18">
        <v>373217.46</v>
      </c>
      <c r="H238" s="18">
        <v>127360.95</v>
      </c>
      <c r="I238" s="18">
        <v>13163.88</v>
      </c>
      <c r="J238" s="18">
        <v>13764.94</v>
      </c>
      <c r="K238" s="18">
        <v>233.48</v>
      </c>
      <c r="L238" s="19">
        <f t="shared" ref="L238:L244" si="4">SUM(F238:K238)</f>
        <v>1212635.9799999997</v>
      </c>
      <c r="M238" s="8"/>
      <c r="N238" s="272"/>
    </row>
    <row r="239" spans="1:14" s="3" customFormat="1" ht="12.2" customHeight="1" x14ac:dyDescent="0.15">
      <c r="A239" s="1" t="s">
        <v>441</v>
      </c>
      <c r="B239" s="2" t="s">
        <v>348</v>
      </c>
      <c r="C239" s="2" t="s">
        <v>293</v>
      </c>
      <c r="D239" s="2" t="s">
        <v>429</v>
      </c>
      <c r="E239" s="6">
        <v>2200</v>
      </c>
      <c r="F239" s="18">
        <v>312369.63</v>
      </c>
      <c r="G239" s="18">
        <v>210926.27</v>
      </c>
      <c r="H239" s="18">
        <v>63024.72</v>
      </c>
      <c r="I239" s="18">
        <v>127471.57</v>
      </c>
      <c r="J239" s="18">
        <v>392639.29</v>
      </c>
      <c r="K239" s="18">
        <v>0</v>
      </c>
      <c r="L239" s="19">
        <f t="shared" si="4"/>
        <v>1106431.48</v>
      </c>
      <c r="M239" s="8"/>
      <c r="N239" s="272"/>
    </row>
    <row r="240" spans="1:14" s="3" customFormat="1" ht="12.2" customHeight="1" x14ac:dyDescent="0.15">
      <c r="A240" s="1" t="s">
        <v>442</v>
      </c>
      <c r="B240" s="2" t="s">
        <v>348</v>
      </c>
      <c r="C240" s="2" t="s">
        <v>294</v>
      </c>
      <c r="D240" s="2" t="s">
        <v>429</v>
      </c>
      <c r="E240" s="6">
        <v>2300</v>
      </c>
      <c r="F240" s="18">
        <v>386790.14</v>
      </c>
      <c r="G240" s="18">
        <v>162901.88</v>
      </c>
      <c r="H240" s="18">
        <v>54983.199999999997</v>
      </c>
      <c r="I240" s="18">
        <v>8463.3700000000008</v>
      </c>
      <c r="J240" s="18">
        <v>1069.72</v>
      </c>
      <c r="K240" s="18">
        <v>10072.200000000001</v>
      </c>
      <c r="L240" s="19">
        <f t="shared" si="4"/>
        <v>624280.50999999989</v>
      </c>
      <c r="M240" s="8"/>
      <c r="N240" s="272"/>
    </row>
    <row r="241" spans="1:14" s="3" customFormat="1" ht="12.2" customHeight="1" x14ac:dyDescent="0.15">
      <c r="A241" s="1" t="s">
        <v>443</v>
      </c>
      <c r="B241" s="2" t="s">
        <v>348</v>
      </c>
      <c r="C241" s="2" t="s">
        <v>295</v>
      </c>
      <c r="D241" s="2" t="s">
        <v>429</v>
      </c>
      <c r="E241" s="6">
        <v>2400</v>
      </c>
      <c r="F241" s="18">
        <v>309460.11</v>
      </c>
      <c r="G241" s="18">
        <v>215951.18</v>
      </c>
      <c r="H241" s="18">
        <v>21160.23</v>
      </c>
      <c r="I241" s="18">
        <v>2184.54</v>
      </c>
      <c r="J241" s="18">
        <v>9286.4599999999991</v>
      </c>
      <c r="K241" s="18">
        <v>32268.28</v>
      </c>
      <c r="L241" s="19">
        <f t="shared" si="4"/>
        <v>590310.80000000005</v>
      </c>
      <c r="M241" s="8"/>
      <c r="N241" s="272"/>
    </row>
    <row r="242" spans="1:14" s="3" customFormat="1" ht="12.2" customHeight="1" x14ac:dyDescent="0.15">
      <c r="A242" s="1" t="s">
        <v>444</v>
      </c>
      <c r="B242" s="2" t="s">
        <v>348</v>
      </c>
      <c r="C242" s="2" t="s">
        <v>296</v>
      </c>
      <c r="D242" s="2" t="s">
        <v>429</v>
      </c>
      <c r="E242" s="6">
        <v>2500</v>
      </c>
      <c r="F242" s="18">
        <v>135709.21</v>
      </c>
      <c r="G242" s="18">
        <v>120320.63</v>
      </c>
      <c r="H242" s="18">
        <v>2102.63</v>
      </c>
      <c r="I242" s="18">
        <v>1095.9000000000001</v>
      </c>
      <c r="J242" s="18"/>
      <c r="K242" s="18">
        <v>2041.2</v>
      </c>
      <c r="L242" s="19">
        <f t="shared" si="4"/>
        <v>261269.57</v>
      </c>
      <c r="M242" s="8"/>
      <c r="N242" s="272"/>
    </row>
    <row r="243" spans="1:14" s="3" customFormat="1" ht="12.2" customHeight="1" x14ac:dyDescent="0.15">
      <c r="A243" s="1" t="s">
        <v>445</v>
      </c>
      <c r="B243" s="2" t="s">
        <v>348</v>
      </c>
      <c r="C243" s="2" t="s">
        <v>297</v>
      </c>
      <c r="D243" s="2" t="s">
        <v>429</v>
      </c>
      <c r="E243" s="6">
        <v>2600</v>
      </c>
      <c r="F243" s="18">
        <v>380380.94</v>
      </c>
      <c r="G243" s="18">
        <v>172760.95</v>
      </c>
      <c r="H243" s="18">
        <v>335800.96</v>
      </c>
      <c r="I243" s="18">
        <v>294384.53000000003</v>
      </c>
      <c r="J243" s="18">
        <v>19499.900000000001</v>
      </c>
      <c r="K243" s="18"/>
      <c r="L243" s="19">
        <f t="shared" si="4"/>
        <v>1202827.28</v>
      </c>
      <c r="M243" s="8"/>
      <c r="N243" s="272"/>
    </row>
    <row r="244" spans="1:14" s="3" customFormat="1" ht="12.2" customHeight="1" x14ac:dyDescent="0.15">
      <c r="A244" s="1" t="s">
        <v>446</v>
      </c>
      <c r="B244" s="2" t="s">
        <v>348</v>
      </c>
      <c r="C244" s="2" t="s">
        <v>298</v>
      </c>
      <c r="D244" s="2" t="s">
        <v>429</v>
      </c>
      <c r="E244" s="6">
        <v>2700</v>
      </c>
      <c r="F244" s="18"/>
      <c r="G244" s="18"/>
      <c r="H244" s="18">
        <v>810737.33</v>
      </c>
      <c r="I244" s="18">
        <v>33252.83</v>
      </c>
      <c r="J244" s="18"/>
      <c r="K244" s="18"/>
      <c r="L244" s="19">
        <f t="shared" si="4"/>
        <v>843990.15999999992</v>
      </c>
      <c r="M244" s="8"/>
      <c r="N244" s="272"/>
    </row>
    <row r="245" spans="1:14" s="3" customFormat="1" ht="12.2" customHeight="1" x14ac:dyDescent="0.15">
      <c r="A245" s="1" t="s">
        <v>447</v>
      </c>
      <c r="B245" s="2" t="s">
        <v>348</v>
      </c>
      <c r="C245" s="2" t="s">
        <v>341</v>
      </c>
      <c r="D245" s="2" t="s">
        <v>429</v>
      </c>
      <c r="E245" s="6">
        <v>2800</v>
      </c>
      <c r="F245" s="18"/>
      <c r="G245" s="18"/>
      <c r="H245" s="18">
        <v>25069.52</v>
      </c>
      <c r="I245" s="18"/>
      <c r="J245" s="18"/>
      <c r="K245" s="18"/>
      <c r="L245" s="19">
        <f>SUM(F245:K245)</f>
        <v>25069.52</v>
      </c>
      <c r="M245" s="8"/>
      <c r="N245" s="272"/>
    </row>
    <row r="246" spans="1:14" s="3" customFormat="1" ht="12.2" customHeight="1" thickBot="1" x14ac:dyDescent="0.2">
      <c r="A246" s="1" t="s">
        <v>448</v>
      </c>
      <c r="B246" s="2" t="s">
        <v>348</v>
      </c>
      <c r="C246" s="2" t="s">
        <v>342</v>
      </c>
      <c r="D246" s="2" t="s">
        <v>429</v>
      </c>
      <c r="E246" s="6">
        <v>2900</v>
      </c>
      <c r="F246" s="24" t="s">
        <v>286</v>
      </c>
      <c r="G246" s="24" t="s">
        <v>286</v>
      </c>
      <c r="H246" s="24" t="s">
        <v>286</v>
      </c>
      <c r="I246" s="24" t="s">
        <v>286</v>
      </c>
      <c r="J246" s="24" t="s">
        <v>286</v>
      </c>
      <c r="K246" s="24" t="s">
        <v>286</v>
      </c>
      <c r="L246" s="24" t="s">
        <v>286</v>
      </c>
      <c r="M246" s="8"/>
      <c r="N246" s="272"/>
    </row>
    <row r="247" spans="1:14" s="3" customFormat="1" ht="12.2" customHeight="1" thickTop="1" x14ac:dyDescent="0.15">
      <c r="A247" s="38" t="s">
        <v>679</v>
      </c>
      <c r="B247" s="39" t="s">
        <v>348</v>
      </c>
      <c r="C247" s="40">
        <v>14</v>
      </c>
      <c r="D247" s="39" t="s">
        <v>429</v>
      </c>
      <c r="E247" s="40"/>
      <c r="F247" s="41">
        <f t="shared" ref="F247:L247" si="5">SUM(F233:F246)</f>
        <v>7504681.2199999997</v>
      </c>
      <c r="G247" s="41">
        <f t="shared" si="5"/>
        <v>3881546.06</v>
      </c>
      <c r="H247" s="41">
        <f t="shared" si="5"/>
        <v>2085093.79</v>
      </c>
      <c r="I247" s="41">
        <f t="shared" si="5"/>
        <v>717951.72000000009</v>
      </c>
      <c r="J247" s="41">
        <f t="shared" si="5"/>
        <v>557277.57999999996</v>
      </c>
      <c r="K247" s="41">
        <f t="shared" si="5"/>
        <v>143867.53</v>
      </c>
      <c r="L247" s="41">
        <f t="shared" si="5"/>
        <v>14890417.899999999</v>
      </c>
      <c r="M247" s="8"/>
      <c r="N247" s="272"/>
    </row>
    <row r="248" spans="1:14" s="3" customFormat="1" ht="12.2" customHeight="1" x14ac:dyDescent="0.15">
      <c r="A248" s="70"/>
      <c r="B248" s="36"/>
      <c r="C248" s="37"/>
      <c r="D248" s="37"/>
      <c r="E248" s="37"/>
      <c r="F248" s="177" t="s">
        <v>687</v>
      </c>
      <c r="G248" s="177" t="s">
        <v>688</v>
      </c>
      <c r="H248" s="177" t="s">
        <v>689</v>
      </c>
      <c r="I248" s="177" t="s">
        <v>690</v>
      </c>
      <c r="J248" s="177" t="s">
        <v>691</v>
      </c>
      <c r="K248" s="177" t="s">
        <v>692</v>
      </c>
      <c r="L248" s="67"/>
      <c r="M248" s="8"/>
      <c r="N248" s="272"/>
    </row>
    <row r="249" spans="1:14" s="3" customFormat="1" ht="12.2" customHeight="1" x14ac:dyDescent="0.15">
      <c r="A249" s="29" t="s">
        <v>349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.2" customHeight="1" x14ac:dyDescent="0.15">
      <c r="A250" s="1" t="s">
        <v>654</v>
      </c>
      <c r="B250" s="2" t="s">
        <v>350</v>
      </c>
      <c r="C250" s="2" t="s">
        <v>287</v>
      </c>
      <c r="D250" s="2" t="s">
        <v>429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.2" customHeight="1" x14ac:dyDescent="0.15">
      <c r="A251" s="1" t="s">
        <v>351</v>
      </c>
      <c r="B251" s="2" t="s">
        <v>350</v>
      </c>
      <c r="C251" s="2" t="s">
        <v>307</v>
      </c>
      <c r="D251" s="2" t="s">
        <v>429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.2" customHeight="1" x14ac:dyDescent="0.15">
      <c r="A252" s="1" t="s">
        <v>580</v>
      </c>
      <c r="B252" s="2" t="s">
        <v>350</v>
      </c>
      <c r="C252" s="2" t="s">
        <v>313</v>
      </c>
      <c r="D252" s="2" t="s">
        <v>429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.2" customHeight="1" x14ac:dyDescent="0.15">
      <c r="A253" s="1" t="s">
        <v>581</v>
      </c>
      <c r="B253" s="2" t="s">
        <v>350</v>
      </c>
      <c r="C253" s="2" t="s">
        <v>319</v>
      </c>
      <c r="D253" s="2" t="s">
        <v>429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.2" customHeight="1" x14ac:dyDescent="0.15">
      <c r="A254" s="1" t="s">
        <v>389</v>
      </c>
      <c r="B254" s="2" t="s">
        <v>350</v>
      </c>
      <c r="C254" s="2" t="s">
        <v>322</v>
      </c>
      <c r="D254" s="2" t="s">
        <v>429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.2" customHeight="1" thickBot="1" x14ac:dyDescent="0.2">
      <c r="A255" s="1" t="s">
        <v>582</v>
      </c>
      <c r="B255" s="2" t="s">
        <v>350</v>
      </c>
      <c r="C255" s="6">
        <v>6</v>
      </c>
      <c r="D255" s="2" t="s">
        <v>429</v>
      </c>
      <c r="E255" s="6">
        <v>4000</v>
      </c>
      <c r="F255" s="18"/>
      <c r="G255" s="18"/>
      <c r="H255" s="18">
        <v>20500</v>
      </c>
      <c r="I255" s="18"/>
      <c r="J255" s="18"/>
      <c r="K255" s="18"/>
      <c r="L255" s="19">
        <f t="shared" si="6"/>
        <v>20500</v>
      </c>
      <c r="M255" s="8"/>
      <c r="N255" s="272"/>
    </row>
    <row r="256" spans="1:14" s="3" customFormat="1" ht="12.2" customHeight="1" thickTop="1" thickBot="1" x14ac:dyDescent="0.2">
      <c r="A256" s="38" t="s">
        <v>459</v>
      </c>
      <c r="B256" s="40">
        <v>10</v>
      </c>
      <c r="C256" s="40">
        <v>7</v>
      </c>
      <c r="D256" s="39" t="s">
        <v>429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20500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20500</v>
      </c>
      <c r="M256" s="8"/>
      <c r="N256" s="272"/>
    </row>
    <row r="257" spans="1:14" s="3" customFormat="1" ht="12.2" customHeight="1" thickTop="1" x14ac:dyDescent="0.15">
      <c r="A257" s="38" t="s">
        <v>460</v>
      </c>
      <c r="B257" s="40">
        <v>10</v>
      </c>
      <c r="C257" s="40">
        <v>8</v>
      </c>
      <c r="D257" s="39" t="s">
        <v>429</v>
      </c>
      <c r="E257" s="40"/>
      <c r="F257" s="41">
        <f t="shared" ref="F257:L257" si="8">F211+F229+F247+F256</f>
        <v>23282472.780000001</v>
      </c>
      <c r="G257" s="41">
        <f t="shared" si="8"/>
        <v>12129831.440000001</v>
      </c>
      <c r="H257" s="41">
        <f t="shared" si="8"/>
        <v>5558362.8300000001</v>
      </c>
      <c r="I257" s="41">
        <f t="shared" si="8"/>
        <v>2018310.0300000003</v>
      </c>
      <c r="J257" s="41">
        <f t="shared" si="8"/>
        <v>964836.04999999993</v>
      </c>
      <c r="K257" s="41">
        <f t="shared" si="8"/>
        <v>200689.54</v>
      </c>
      <c r="L257" s="41">
        <f t="shared" si="8"/>
        <v>44154502.670000002</v>
      </c>
      <c r="M257" s="8"/>
      <c r="N257" s="272"/>
    </row>
    <row r="258" spans="1:14" s="3" customFormat="1" ht="12.2" customHeight="1" x14ac:dyDescent="0.15">
      <c r="A258" s="34" t="s">
        <v>352</v>
      </c>
      <c r="F258" s="13"/>
      <c r="G258" s="13"/>
      <c r="H258" s="13"/>
      <c r="I258" s="13"/>
      <c r="J258" s="13"/>
      <c r="K258" s="14" t="s">
        <v>284</v>
      </c>
      <c r="L258" s="14" t="s">
        <v>353</v>
      </c>
      <c r="M258" s="8"/>
      <c r="N258" s="272"/>
    </row>
    <row r="259" spans="1:14" s="3" customFormat="1" ht="12.2" customHeight="1" x14ac:dyDescent="0.15">
      <c r="A259" s="30" t="s">
        <v>461</v>
      </c>
      <c r="E259" s="6">
        <v>5100</v>
      </c>
      <c r="F259" s="24" t="s">
        <v>286</v>
      </c>
      <c r="G259" s="24" t="s">
        <v>286</v>
      </c>
      <c r="H259" s="24" t="s">
        <v>286</v>
      </c>
      <c r="I259" s="24" t="s">
        <v>286</v>
      </c>
      <c r="J259" s="24" t="s">
        <v>286</v>
      </c>
      <c r="K259" s="24" t="s">
        <v>286</v>
      </c>
      <c r="L259" s="24" t="s">
        <v>286</v>
      </c>
      <c r="M259" s="8"/>
      <c r="N259" s="272"/>
    </row>
    <row r="260" spans="1:14" s="3" customFormat="1" ht="12.2" customHeight="1" x14ac:dyDescent="0.15">
      <c r="A260" s="1" t="s">
        <v>518</v>
      </c>
      <c r="B260" s="2" t="s">
        <v>350</v>
      </c>
      <c r="C260" s="6">
        <v>9</v>
      </c>
      <c r="D260" s="2" t="s">
        <v>429</v>
      </c>
      <c r="E260" s="6">
        <v>5110</v>
      </c>
      <c r="F260" s="24" t="s">
        <v>286</v>
      </c>
      <c r="G260" s="24" t="s">
        <v>286</v>
      </c>
      <c r="H260" s="24" t="s">
        <v>286</v>
      </c>
      <c r="I260" s="24" t="s">
        <v>286</v>
      </c>
      <c r="J260" s="24" t="s">
        <v>286</v>
      </c>
      <c r="K260" s="18">
        <v>1815000</v>
      </c>
      <c r="L260" s="19">
        <f>SUM(F260:K260)</f>
        <v>1815000</v>
      </c>
      <c r="M260" s="8"/>
      <c r="N260" s="272"/>
    </row>
    <row r="261" spans="1:14" ht="12.2" customHeight="1" x14ac:dyDescent="0.2">
      <c r="A261" s="1" t="s">
        <v>530</v>
      </c>
      <c r="B261" s="2" t="s">
        <v>350</v>
      </c>
      <c r="C261" s="6">
        <v>10</v>
      </c>
      <c r="D261" s="2" t="s">
        <v>429</v>
      </c>
      <c r="E261" s="6">
        <v>5120</v>
      </c>
      <c r="F261" s="24" t="s">
        <v>286</v>
      </c>
      <c r="G261" s="24" t="s">
        <v>286</v>
      </c>
      <c r="H261" s="24" t="s">
        <v>286</v>
      </c>
      <c r="I261" s="24" t="s">
        <v>286</v>
      </c>
      <c r="J261" s="24" t="s">
        <v>286</v>
      </c>
      <c r="K261" s="18">
        <v>1388837.2</v>
      </c>
      <c r="L261" s="19">
        <f>SUM(F261:K261)</f>
        <v>1388837.2</v>
      </c>
      <c r="N261" s="270"/>
    </row>
    <row r="262" spans="1:14" ht="12.2" customHeight="1" x14ac:dyDescent="0.2">
      <c r="A262" s="30" t="s">
        <v>354</v>
      </c>
      <c r="B262" s="3"/>
      <c r="C262" s="3"/>
      <c r="D262" s="3"/>
      <c r="E262" s="6">
        <v>5200</v>
      </c>
      <c r="F262" s="24" t="s">
        <v>286</v>
      </c>
      <c r="G262" s="24" t="s">
        <v>286</v>
      </c>
      <c r="H262" s="24" t="s">
        <v>286</v>
      </c>
      <c r="I262" s="24" t="s">
        <v>286</v>
      </c>
      <c r="J262" s="24" t="s">
        <v>286</v>
      </c>
      <c r="K262" s="24" t="s">
        <v>286</v>
      </c>
      <c r="L262" s="24" t="s">
        <v>286</v>
      </c>
      <c r="N262" s="270"/>
    </row>
    <row r="263" spans="1:14" ht="12.2" customHeight="1" x14ac:dyDescent="0.2">
      <c r="A263" s="3" t="s">
        <v>531</v>
      </c>
      <c r="B263" s="6">
        <v>10</v>
      </c>
      <c r="C263" s="6">
        <v>11</v>
      </c>
      <c r="D263" s="2" t="s">
        <v>429</v>
      </c>
      <c r="E263" s="6">
        <v>5221</v>
      </c>
      <c r="F263" s="24" t="s">
        <v>286</v>
      </c>
      <c r="G263" s="24" t="s">
        <v>286</v>
      </c>
      <c r="H263" s="24" t="s">
        <v>286</v>
      </c>
      <c r="I263" s="24" t="s">
        <v>286</v>
      </c>
      <c r="J263" s="24" t="s">
        <v>286</v>
      </c>
      <c r="K263" s="18"/>
      <c r="L263" s="19">
        <f>SUM(F263:K263)</f>
        <v>0</v>
      </c>
      <c r="N263" s="270"/>
    </row>
    <row r="264" spans="1:14" ht="12.2" customHeight="1" x14ac:dyDescent="0.2">
      <c r="A264" s="3" t="s">
        <v>599</v>
      </c>
      <c r="B264" s="6">
        <v>10</v>
      </c>
      <c r="C264" s="6">
        <v>12</v>
      </c>
      <c r="D264" s="2" t="s">
        <v>429</v>
      </c>
      <c r="E264" s="6">
        <v>5222</v>
      </c>
      <c r="F264" s="24" t="s">
        <v>286</v>
      </c>
      <c r="G264" s="24" t="s">
        <v>286</v>
      </c>
      <c r="H264" s="24" t="s">
        <v>286</v>
      </c>
      <c r="I264" s="24" t="s">
        <v>286</v>
      </c>
      <c r="J264" s="24" t="s">
        <v>286</v>
      </c>
      <c r="K264" s="18"/>
      <c r="L264" s="19">
        <f t="shared" ref="L264:L270" si="9">SUM(F264:K264)</f>
        <v>0</v>
      </c>
      <c r="N264" s="270"/>
    </row>
    <row r="265" spans="1:14" ht="12.2" customHeight="1" x14ac:dyDescent="0.2">
      <c r="A265" s="3" t="s">
        <v>532</v>
      </c>
      <c r="B265" s="6">
        <v>10</v>
      </c>
      <c r="C265" s="6">
        <v>13</v>
      </c>
      <c r="D265" s="2" t="s">
        <v>429</v>
      </c>
      <c r="E265" s="6">
        <v>5230</v>
      </c>
      <c r="F265" s="24" t="s">
        <v>286</v>
      </c>
      <c r="G265" s="24" t="s">
        <v>286</v>
      </c>
      <c r="H265" s="24" t="s">
        <v>286</v>
      </c>
      <c r="I265" s="24" t="s">
        <v>286</v>
      </c>
      <c r="J265" s="24" t="s">
        <v>286</v>
      </c>
      <c r="K265" s="18"/>
      <c r="L265" s="19">
        <f t="shared" si="9"/>
        <v>0</v>
      </c>
      <c r="N265" s="270"/>
    </row>
    <row r="266" spans="1:14" ht="12.2" customHeight="1" x14ac:dyDescent="0.2">
      <c r="A266" s="3" t="s">
        <v>533</v>
      </c>
      <c r="B266" s="6">
        <v>10</v>
      </c>
      <c r="C266" s="6">
        <v>14</v>
      </c>
      <c r="D266" s="2" t="s">
        <v>429</v>
      </c>
      <c r="E266" s="6">
        <v>5250</v>
      </c>
      <c r="F266" s="24" t="s">
        <v>286</v>
      </c>
      <c r="G266" s="24" t="s">
        <v>286</v>
      </c>
      <c r="H266" s="24" t="s">
        <v>286</v>
      </c>
      <c r="I266" s="24" t="s">
        <v>286</v>
      </c>
      <c r="J266" s="24" t="s">
        <v>286</v>
      </c>
      <c r="K266" s="18">
        <v>100000</v>
      </c>
      <c r="L266" s="19">
        <f t="shared" si="9"/>
        <v>100000</v>
      </c>
      <c r="N266" s="270"/>
    </row>
    <row r="267" spans="1:14" ht="12.2" customHeight="1" x14ac:dyDescent="0.2">
      <c r="A267" s="27" t="s">
        <v>558</v>
      </c>
      <c r="B267" s="6"/>
      <c r="C267" s="6"/>
      <c r="D267" s="6"/>
      <c r="E267" s="6">
        <v>5300</v>
      </c>
      <c r="F267" s="24" t="s">
        <v>286</v>
      </c>
      <c r="G267" s="24" t="s">
        <v>286</v>
      </c>
      <c r="H267" s="24" t="s">
        <v>286</v>
      </c>
      <c r="I267" s="24" t="s">
        <v>286</v>
      </c>
      <c r="J267" s="24" t="s">
        <v>286</v>
      </c>
      <c r="K267" s="24" t="s">
        <v>286</v>
      </c>
      <c r="L267" s="24" t="s">
        <v>286</v>
      </c>
      <c r="N267" s="270"/>
    </row>
    <row r="268" spans="1:14" ht="12.2" customHeight="1" x14ac:dyDescent="0.2">
      <c r="A268" s="3" t="s">
        <v>534</v>
      </c>
      <c r="B268" s="6">
        <v>10</v>
      </c>
      <c r="C268" s="6">
        <v>15</v>
      </c>
      <c r="D268" s="2" t="s">
        <v>429</v>
      </c>
      <c r="E268" s="6">
        <v>5310</v>
      </c>
      <c r="F268" s="24" t="s">
        <v>286</v>
      </c>
      <c r="G268" s="24" t="s">
        <v>286</v>
      </c>
      <c r="H268" s="24" t="s">
        <v>286</v>
      </c>
      <c r="I268" s="24" t="s">
        <v>286</v>
      </c>
      <c r="J268" s="24" t="s">
        <v>286</v>
      </c>
      <c r="K268" s="18"/>
      <c r="L268" s="19">
        <f t="shared" si="9"/>
        <v>0</v>
      </c>
      <c r="N268" s="270"/>
    </row>
    <row r="269" spans="1:14" ht="12.2" customHeight="1" thickBot="1" x14ac:dyDescent="0.25">
      <c r="A269" s="3" t="s">
        <v>535</v>
      </c>
      <c r="B269" s="6">
        <v>10</v>
      </c>
      <c r="C269" s="6">
        <v>16</v>
      </c>
      <c r="D269" s="2" t="s">
        <v>429</v>
      </c>
      <c r="E269" s="6">
        <v>5390</v>
      </c>
      <c r="F269" s="24" t="s">
        <v>286</v>
      </c>
      <c r="G269" s="24" t="s">
        <v>286</v>
      </c>
      <c r="H269" s="24" t="s">
        <v>286</v>
      </c>
      <c r="I269" s="24" t="s">
        <v>286</v>
      </c>
      <c r="J269" s="24" t="s">
        <v>286</v>
      </c>
      <c r="K269" s="18"/>
      <c r="L269" s="19">
        <f t="shared" si="9"/>
        <v>0</v>
      </c>
      <c r="N269" s="270"/>
    </row>
    <row r="270" spans="1:14" ht="12.2" customHeight="1" thickTop="1" thickBot="1" x14ac:dyDescent="0.25">
      <c r="A270" s="43" t="s">
        <v>418</v>
      </c>
      <c r="B270" s="40">
        <v>10</v>
      </c>
      <c r="C270" s="40">
        <v>17</v>
      </c>
      <c r="D270" s="39" t="s">
        <v>429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3303837.2</v>
      </c>
      <c r="L270" s="41">
        <f t="shared" si="9"/>
        <v>3303837.2</v>
      </c>
      <c r="N270" s="270"/>
    </row>
    <row r="271" spans="1:14" s="3" customFormat="1" ht="12.2" customHeight="1" thickTop="1" x14ac:dyDescent="0.2">
      <c r="A271" s="43" t="s">
        <v>462</v>
      </c>
      <c r="B271" s="40">
        <v>10</v>
      </c>
      <c r="C271" s="40">
        <v>18</v>
      </c>
      <c r="D271" s="39" t="s">
        <v>429</v>
      </c>
      <c r="E271" s="40"/>
      <c r="F271" s="42">
        <f t="shared" ref="F271:L271" si="11">F257+F270</f>
        <v>23282472.780000001</v>
      </c>
      <c r="G271" s="42">
        <f t="shared" si="11"/>
        <v>12129831.440000001</v>
      </c>
      <c r="H271" s="42">
        <f t="shared" si="11"/>
        <v>5558362.8300000001</v>
      </c>
      <c r="I271" s="42">
        <f t="shared" si="11"/>
        <v>2018310.0300000003</v>
      </c>
      <c r="J271" s="42">
        <f t="shared" si="11"/>
        <v>964836.04999999993</v>
      </c>
      <c r="K271" s="42">
        <f t="shared" si="11"/>
        <v>3504526.74</v>
      </c>
      <c r="L271" s="42">
        <f t="shared" si="11"/>
        <v>47458339.870000005</v>
      </c>
      <c r="M271" s="8"/>
      <c r="N271" s="272"/>
    </row>
    <row r="272" spans="1:14" s="34" customFormat="1" ht="12.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.2" customHeight="1" x14ac:dyDescent="0.15">
      <c r="A273" s="29" t="s">
        <v>464</v>
      </c>
      <c r="F273" s="177" t="s">
        <v>687</v>
      </c>
      <c r="G273" s="177" t="s">
        <v>688</v>
      </c>
      <c r="H273" s="177" t="s">
        <v>689</v>
      </c>
      <c r="I273" s="177" t="s">
        <v>690</v>
      </c>
      <c r="J273" s="177" t="s">
        <v>691</v>
      </c>
      <c r="K273" s="177" t="s">
        <v>692</v>
      </c>
      <c r="M273" s="8"/>
      <c r="N273" s="272"/>
    </row>
    <row r="274" spans="1:14" s="3" customFormat="1" ht="12.2" customHeight="1" x14ac:dyDescent="0.15">
      <c r="A274" s="29" t="s">
        <v>449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.2" customHeight="1" x14ac:dyDescent="0.15">
      <c r="A275" s="30" t="s">
        <v>195</v>
      </c>
      <c r="F275" s="24" t="s">
        <v>286</v>
      </c>
      <c r="G275" s="24" t="s">
        <v>286</v>
      </c>
      <c r="H275" s="24" t="s">
        <v>286</v>
      </c>
      <c r="I275" s="24" t="s">
        <v>286</v>
      </c>
      <c r="J275" s="24" t="s">
        <v>286</v>
      </c>
      <c r="K275" s="24" t="s">
        <v>286</v>
      </c>
      <c r="L275" s="24" t="s">
        <v>286</v>
      </c>
      <c r="M275" s="8"/>
      <c r="N275" s="272"/>
    </row>
    <row r="276" spans="1:14" s="3" customFormat="1" ht="12.2" customHeight="1" x14ac:dyDescent="0.15">
      <c r="A276" s="1" t="s">
        <v>436</v>
      </c>
      <c r="B276" s="2" t="s">
        <v>355</v>
      </c>
      <c r="C276" s="2" t="s">
        <v>288</v>
      </c>
      <c r="D276" s="2" t="s">
        <v>429</v>
      </c>
      <c r="E276" s="6">
        <v>1100</v>
      </c>
      <c r="F276" s="18">
        <v>37442.5</v>
      </c>
      <c r="G276" s="18">
        <v>3065.63</v>
      </c>
      <c r="H276" s="18"/>
      <c r="I276" s="18">
        <v>1933.3</v>
      </c>
      <c r="J276" s="18">
        <v>4366</v>
      </c>
      <c r="K276" s="18">
        <v>1355.17</v>
      </c>
      <c r="L276" s="19">
        <f>SUM(F276:K276)</f>
        <v>48162.6</v>
      </c>
      <c r="M276" s="8"/>
      <c r="N276" s="272"/>
    </row>
    <row r="277" spans="1:14" s="3" customFormat="1" ht="12.2" customHeight="1" x14ac:dyDescent="0.15">
      <c r="A277" s="1" t="s">
        <v>437</v>
      </c>
      <c r="B277" s="2" t="s">
        <v>355</v>
      </c>
      <c r="C277" s="2" t="s">
        <v>289</v>
      </c>
      <c r="D277" s="2" t="s">
        <v>429</v>
      </c>
      <c r="E277" s="6">
        <v>1200</v>
      </c>
      <c r="F277" s="18">
        <v>205840.83</v>
      </c>
      <c r="G277" s="18">
        <v>103723.96</v>
      </c>
      <c r="H277" s="18">
        <v>63684.38</v>
      </c>
      <c r="I277" s="18">
        <v>5344.76</v>
      </c>
      <c r="J277" s="18">
        <v>437.05</v>
      </c>
      <c r="K277" s="18">
        <v>1000</v>
      </c>
      <c r="L277" s="19">
        <f>SUM(F277:K277)</f>
        <v>380030.98</v>
      </c>
      <c r="M277" s="8"/>
      <c r="N277" s="272"/>
    </row>
    <row r="278" spans="1:14" s="3" customFormat="1" ht="12.2" customHeight="1" x14ac:dyDescent="0.15">
      <c r="A278" s="1" t="s">
        <v>438</v>
      </c>
      <c r="B278" s="2" t="s">
        <v>355</v>
      </c>
      <c r="C278" s="2" t="s">
        <v>290</v>
      </c>
      <c r="D278" s="2" t="s">
        <v>429</v>
      </c>
      <c r="E278" s="6">
        <v>1300</v>
      </c>
      <c r="F278" s="18"/>
      <c r="G278" s="18"/>
      <c r="H278" s="18"/>
      <c r="I278" s="4"/>
      <c r="J278" s="18"/>
      <c r="K278" s="18"/>
      <c r="L278" s="19">
        <f>SUM(F278:K278)</f>
        <v>0</v>
      </c>
      <c r="M278" s="8"/>
      <c r="N278" s="272"/>
    </row>
    <row r="279" spans="1:14" s="3" customFormat="1" ht="12.2" customHeight="1" x14ac:dyDescent="0.15">
      <c r="A279" s="1" t="s">
        <v>439</v>
      </c>
      <c r="B279" s="2" t="s">
        <v>355</v>
      </c>
      <c r="C279" s="2" t="s">
        <v>291</v>
      </c>
      <c r="D279" s="2" t="s">
        <v>429</v>
      </c>
      <c r="E279" s="6">
        <v>1400</v>
      </c>
      <c r="F279" s="18">
        <v>58845</v>
      </c>
      <c r="G279" s="18">
        <v>11848.76</v>
      </c>
      <c r="H279" s="18">
        <v>3750</v>
      </c>
      <c r="I279" s="18">
        <v>6723.48</v>
      </c>
      <c r="J279" s="18">
        <v>480</v>
      </c>
      <c r="K279" s="18"/>
      <c r="L279" s="19">
        <f>SUM(F279:K279)</f>
        <v>81647.239999999991</v>
      </c>
      <c r="M279" s="8"/>
      <c r="N279" s="272"/>
    </row>
    <row r="280" spans="1:14" s="3" customFormat="1" ht="12.2" customHeight="1" x14ac:dyDescent="0.15">
      <c r="A280" s="30" t="s">
        <v>340</v>
      </c>
      <c r="E280" s="6"/>
      <c r="F280" s="24" t="s">
        <v>286</v>
      </c>
      <c r="G280" s="24" t="s">
        <v>286</v>
      </c>
      <c r="H280" s="24" t="s">
        <v>286</v>
      </c>
      <c r="I280" s="24" t="s">
        <v>286</v>
      </c>
      <c r="J280" s="24" t="s">
        <v>286</v>
      </c>
      <c r="K280" s="24" t="s">
        <v>286</v>
      </c>
      <c r="L280" s="24" t="s">
        <v>286</v>
      </c>
      <c r="M280" s="8"/>
      <c r="N280" s="272"/>
    </row>
    <row r="281" spans="1:14" s="3" customFormat="1" ht="12.2" customHeight="1" x14ac:dyDescent="0.15">
      <c r="A281" s="1" t="s">
        <v>440</v>
      </c>
      <c r="B281" s="2" t="s">
        <v>355</v>
      </c>
      <c r="C281" s="2" t="s">
        <v>292</v>
      </c>
      <c r="D281" s="2" t="s">
        <v>429</v>
      </c>
      <c r="E281" s="6">
        <v>2100</v>
      </c>
      <c r="F281" s="18"/>
      <c r="G281" s="18"/>
      <c r="H281" s="18"/>
      <c r="I281" s="18">
        <v>709.61</v>
      </c>
      <c r="J281" s="18"/>
      <c r="K281" s="18"/>
      <c r="L281" s="19">
        <f t="shared" ref="L281:L287" si="12">SUM(F281:K281)</f>
        <v>709.61</v>
      </c>
      <c r="M281" s="8"/>
      <c r="N281" s="272"/>
    </row>
    <row r="282" spans="1:14" s="3" customFormat="1" ht="12.2" customHeight="1" x14ac:dyDescent="0.15">
      <c r="A282" s="1" t="s">
        <v>441</v>
      </c>
      <c r="B282" s="2" t="s">
        <v>355</v>
      </c>
      <c r="C282" s="2" t="s">
        <v>293</v>
      </c>
      <c r="D282" s="2" t="s">
        <v>429</v>
      </c>
      <c r="E282" s="6">
        <v>2200</v>
      </c>
      <c r="F282" s="18">
        <v>4134.3999999999996</v>
      </c>
      <c r="G282" s="18">
        <v>736.35</v>
      </c>
      <c r="H282" s="18">
        <v>15875.47</v>
      </c>
      <c r="I282" s="18"/>
      <c r="J282" s="18"/>
      <c r="K282" s="18"/>
      <c r="L282" s="19">
        <f t="shared" si="12"/>
        <v>20746.22</v>
      </c>
      <c r="M282" s="8"/>
      <c r="N282" s="272"/>
    </row>
    <row r="283" spans="1:14" s="3" customFormat="1" ht="12.2" customHeight="1" x14ac:dyDescent="0.15">
      <c r="A283" s="1" t="s">
        <v>442</v>
      </c>
      <c r="B283" s="2" t="s">
        <v>355</v>
      </c>
      <c r="C283" s="2" t="s">
        <v>294</v>
      </c>
      <c r="D283" s="2" t="s">
        <v>429</v>
      </c>
      <c r="E283" s="6">
        <v>2300</v>
      </c>
      <c r="F283" s="18">
        <v>2720</v>
      </c>
      <c r="G283" s="18">
        <v>680.27</v>
      </c>
      <c r="H283" s="18"/>
      <c r="I283" s="18"/>
      <c r="J283" s="18"/>
      <c r="K283" s="18"/>
      <c r="L283" s="19">
        <f t="shared" si="12"/>
        <v>3400.27</v>
      </c>
      <c r="M283" s="8"/>
      <c r="N283" s="272"/>
    </row>
    <row r="284" spans="1:14" s="3" customFormat="1" ht="12.2" customHeight="1" x14ac:dyDescent="0.15">
      <c r="A284" s="1" t="s">
        <v>443</v>
      </c>
      <c r="B284" s="2" t="s">
        <v>355</v>
      </c>
      <c r="C284" s="2" t="s">
        <v>295</v>
      </c>
      <c r="D284" s="2" t="s">
        <v>429</v>
      </c>
      <c r="E284" s="6">
        <v>2400</v>
      </c>
      <c r="F284" s="18"/>
      <c r="G284" s="18"/>
      <c r="H284" s="18"/>
      <c r="I284" s="18">
        <v>5772.88</v>
      </c>
      <c r="J284" s="18"/>
      <c r="K284" s="18"/>
      <c r="L284" s="19">
        <f t="shared" si="12"/>
        <v>5772.88</v>
      </c>
      <c r="M284" s="8"/>
      <c r="N284" s="272"/>
    </row>
    <row r="285" spans="1:14" s="3" customFormat="1" ht="12.2" customHeight="1" x14ac:dyDescent="0.15">
      <c r="A285" s="1" t="s">
        <v>444</v>
      </c>
      <c r="B285" s="2" t="s">
        <v>355</v>
      </c>
      <c r="C285" s="2" t="s">
        <v>296</v>
      </c>
      <c r="D285" s="2" t="s">
        <v>429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.2" customHeight="1" x14ac:dyDescent="0.15">
      <c r="A286" s="1" t="s">
        <v>445</v>
      </c>
      <c r="B286" s="2" t="s">
        <v>355</v>
      </c>
      <c r="C286" s="2" t="s">
        <v>297</v>
      </c>
      <c r="D286" s="2" t="s">
        <v>429</v>
      </c>
      <c r="E286" s="6">
        <v>2600</v>
      </c>
      <c r="F286" s="18"/>
      <c r="G286" s="18"/>
      <c r="H286" s="18"/>
      <c r="I286" s="18"/>
      <c r="J286" s="18">
        <v>762.92</v>
      </c>
      <c r="K286" s="18"/>
      <c r="L286" s="19">
        <f t="shared" si="12"/>
        <v>762.92</v>
      </c>
      <c r="M286" s="8"/>
      <c r="N286" s="272"/>
    </row>
    <row r="287" spans="1:14" s="3" customFormat="1" ht="12.2" customHeight="1" x14ac:dyDescent="0.15">
      <c r="A287" s="1" t="s">
        <v>446</v>
      </c>
      <c r="B287" s="2" t="s">
        <v>355</v>
      </c>
      <c r="C287" s="2" t="s">
        <v>298</v>
      </c>
      <c r="D287" s="2" t="s">
        <v>429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.2" customHeight="1" x14ac:dyDescent="0.15">
      <c r="A288" s="1" t="s">
        <v>447</v>
      </c>
      <c r="B288" s="2" t="s">
        <v>355</v>
      </c>
      <c r="C288" s="2" t="s">
        <v>341</v>
      </c>
      <c r="D288" s="2" t="s">
        <v>429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.2" customHeight="1" thickBot="1" x14ac:dyDescent="0.2">
      <c r="A289" s="1" t="s">
        <v>448</v>
      </c>
      <c r="B289" s="2" t="s">
        <v>355</v>
      </c>
      <c r="C289" s="2" t="s">
        <v>342</v>
      </c>
      <c r="D289" s="2" t="s">
        <v>429</v>
      </c>
      <c r="E289" s="6">
        <v>2900</v>
      </c>
      <c r="F289" s="24" t="s">
        <v>286</v>
      </c>
      <c r="G289" s="24" t="s">
        <v>286</v>
      </c>
      <c r="H289" s="24" t="s">
        <v>286</v>
      </c>
      <c r="I289" s="24" t="s">
        <v>286</v>
      </c>
      <c r="J289" s="24" t="s">
        <v>286</v>
      </c>
      <c r="K289" s="24" t="s">
        <v>286</v>
      </c>
      <c r="L289" s="24" t="s">
        <v>286</v>
      </c>
      <c r="M289" s="8"/>
      <c r="N289" s="272"/>
    </row>
    <row r="290" spans="1:14" s="3" customFormat="1" ht="12.2" customHeight="1" thickTop="1" x14ac:dyDescent="0.2">
      <c r="A290" s="38" t="s">
        <v>417</v>
      </c>
      <c r="B290" s="39" t="s">
        <v>355</v>
      </c>
      <c r="C290" s="39" t="s">
        <v>343</v>
      </c>
      <c r="D290" s="39" t="s">
        <v>429</v>
      </c>
      <c r="E290" s="39"/>
      <c r="F290" s="42">
        <f t="shared" ref="F290:L290" si="13">SUM(F276:F289)</f>
        <v>308982.73</v>
      </c>
      <c r="G290" s="42">
        <f t="shared" si="13"/>
        <v>120054.97000000002</v>
      </c>
      <c r="H290" s="42">
        <f t="shared" si="13"/>
        <v>83309.850000000006</v>
      </c>
      <c r="I290" s="42">
        <f t="shared" si="13"/>
        <v>20484.030000000002</v>
      </c>
      <c r="J290" s="42">
        <f t="shared" si="13"/>
        <v>6045.97</v>
      </c>
      <c r="K290" s="42">
        <f t="shared" si="13"/>
        <v>2355.17</v>
      </c>
      <c r="L290" s="41">
        <f t="shared" si="13"/>
        <v>541232.72</v>
      </c>
      <c r="M290" s="8"/>
      <c r="N290" s="272"/>
    </row>
    <row r="291" spans="1:14" s="3" customFormat="1" ht="12.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.2" customHeight="1" x14ac:dyDescent="0.15">
      <c r="A292" s="29" t="s">
        <v>464</v>
      </c>
      <c r="B292" s="2" t="s">
        <v>324</v>
      </c>
      <c r="C292" s="2" t="s">
        <v>324</v>
      </c>
      <c r="D292" s="2"/>
      <c r="E292" s="2"/>
      <c r="F292" s="177" t="s">
        <v>687</v>
      </c>
      <c r="G292" s="177" t="s">
        <v>688</v>
      </c>
      <c r="H292" s="177" t="s">
        <v>689</v>
      </c>
      <c r="I292" s="177" t="s">
        <v>690</v>
      </c>
      <c r="J292" s="177" t="s">
        <v>691</v>
      </c>
      <c r="K292" s="177" t="s">
        <v>692</v>
      </c>
      <c r="L292" s="17"/>
      <c r="M292" s="8"/>
      <c r="N292" s="272"/>
    </row>
    <row r="293" spans="1:14" s="3" customFormat="1" ht="12.2" customHeight="1" x14ac:dyDescent="0.15">
      <c r="A293" s="29" t="s">
        <v>450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.2" customHeight="1" x14ac:dyDescent="0.15">
      <c r="A294" s="30" t="s">
        <v>195</v>
      </c>
      <c r="F294" s="24" t="s">
        <v>286</v>
      </c>
      <c r="G294" s="24" t="s">
        <v>286</v>
      </c>
      <c r="H294" s="24" t="s">
        <v>286</v>
      </c>
      <c r="I294" s="24" t="s">
        <v>286</v>
      </c>
      <c r="J294" s="24" t="s">
        <v>286</v>
      </c>
      <c r="K294" s="24" t="s">
        <v>286</v>
      </c>
      <c r="L294" s="24" t="s">
        <v>286</v>
      </c>
      <c r="M294" s="8"/>
      <c r="N294" s="272"/>
    </row>
    <row r="295" spans="1:14" s="3" customFormat="1" ht="12.2" customHeight="1" x14ac:dyDescent="0.15">
      <c r="A295" s="1" t="s">
        <v>436</v>
      </c>
      <c r="B295" s="2" t="s">
        <v>356</v>
      </c>
      <c r="C295" s="2" t="s">
        <v>288</v>
      </c>
      <c r="D295" s="2" t="s">
        <v>429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.2" customHeight="1" x14ac:dyDescent="0.15">
      <c r="A296" s="1" t="s">
        <v>437</v>
      </c>
      <c r="B296" s="2" t="s">
        <v>356</v>
      </c>
      <c r="C296" s="2" t="s">
        <v>289</v>
      </c>
      <c r="D296" s="2" t="s">
        <v>429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.2" customHeight="1" x14ac:dyDescent="0.15">
      <c r="A297" s="1" t="s">
        <v>438</v>
      </c>
      <c r="B297" s="2" t="s">
        <v>356</v>
      </c>
      <c r="C297" s="2" t="s">
        <v>290</v>
      </c>
      <c r="D297" s="2" t="s">
        <v>429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.2" customHeight="1" x14ac:dyDescent="0.15">
      <c r="A298" s="1" t="s">
        <v>439</v>
      </c>
      <c r="B298" s="2" t="s">
        <v>356</v>
      </c>
      <c r="C298" s="2" t="s">
        <v>291</v>
      </c>
      <c r="D298" s="2" t="s">
        <v>429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.2" customHeight="1" x14ac:dyDescent="0.15">
      <c r="A299" s="30" t="s">
        <v>340</v>
      </c>
      <c r="E299" s="6"/>
      <c r="F299" s="24" t="s">
        <v>286</v>
      </c>
      <c r="G299" s="24" t="s">
        <v>286</v>
      </c>
      <c r="H299" s="24" t="s">
        <v>286</v>
      </c>
      <c r="I299" s="24" t="s">
        <v>286</v>
      </c>
      <c r="J299" s="24" t="s">
        <v>286</v>
      </c>
      <c r="K299" s="24" t="s">
        <v>286</v>
      </c>
      <c r="L299" s="24" t="s">
        <v>286</v>
      </c>
      <c r="M299" s="8"/>
      <c r="N299" s="272"/>
    </row>
    <row r="300" spans="1:14" s="3" customFormat="1" ht="12.2" customHeight="1" x14ac:dyDescent="0.15">
      <c r="A300" s="1" t="s">
        <v>440</v>
      </c>
      <c r="B300" s="2" t="s">
        <v>356</v>
      </c>
      <c r="C300" s="2" t="s">
        <v>292</v>
      </c>
      <c r="D300" s="2" t="s">
        <v>429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.2" customHeight="1" x14ac:dyDescent="0.15">
      <c r="A301" s="1" t="s">
        <v>441</v>
      </c>
      <c r="B301" s="2" t="s">
        <v>356</v>
      </c>
      <c r="C301" s="2" t="s">
        <v>293</v>
      </c>
      <c r="D301" s="2" t="s">
        <v>429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.2" customHeight="1" x14ac:dyDescent="0.15">
      <c r="A302" s="1" t="s">
        <v>442</v>
      </c>
      <c r="B302" s="2" t="s">
        <v>356</v>
      </c>
      <c r="C302" s="2" t="s">
        <v>294</v>
      </c>
      <c r="D302" s="2" t="s">
        <v>429</v>
      </c>
      <c r="E302" s="6">
        <v>2300</v>
      </c>
      <c r="F302" s="4"/>
      <c r="G302" s="4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.2" customHeight="1" x14ac:dyDescent="0.15">
      <c r="A303" s="1" t="s">
        <v>443</v>
      </c>
      <c r="B303" s="2" t="s">
        <v>356</v>
      </c>
      <c r="C303" s="2" t="s">
        <v>295</v>
      </c>
      <c r="D303" s="2" t="s">
        <v>429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.2" customHeight="1" x14ac:dyDescent="0.15">
      <c r="A304" s="1" t="s">
        <v>444</v>
      </c>
      <c r="B304" s="2" t="s">
        <v>356</v>
      </c>
      <c r="C304" s="2" t="s">
        <v>296</v>
      </c>
      <c r="D304" s="2" t="s">
        <v>429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.2" customHeight="1" x14ac:dyDescent="0.15">
      <c r="A305" s="1" t="s">
        <v>445</v>
      </c>
      <c r="B305" s="2" t="s">
        <v>356</v>
      </c>
      <c r="C305" s="2" t="s">
        <v>297</v>
      </c>
      <c r="D305" s="2" t="s">
        <v>429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.2" customHeight="1" x14ac:dyDescent="0.15">
      <c r="A306" s="1" t="s">
        <v>446</v>
      </c>
      <c r="B306" s="2" t="s">
        <v>356</v>
      </c>
      <c r="C306" s="2" t="s">
        <v>298</v>
      </c>
      <c r="D306" s="2" t="s">
        <v>429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.2" customHeight="1" x14ac:dyDescent="0.15">
      <c r="A307" s="1" t="s">
        <v>447</v>
      </c>
      <c r="B307" s="2" t="s">
        <v>356</v>
      </c>
      <c r="C307" s="2" t="s">
        <v>341</v>
      </c>
      <c r="D307" s="2" t="s">
        <v>429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.2" customHeight="1" thickBot="1" x14ac:dyDescent="0.2">
      <c r="A308" s="1" t="s">
        <v>448</v>
      </c>
      <c r="B308" s="2" t="s">
        <v>356</v>
      </c>
      <c r="C308" s="2" t="s">
        <v>342</v>
      </c>
      <c r="D308" s="2" t="s">
        <v>429</v>
      </c>
      <c r="E308" s="6">
        <v>2900</v>
      </c>
      <c r="F308" s="24" t="s">
        <v>286</v>
      </c>
      <c r="G308" s="24" t="s">
        <v>286</v>
      </c>
      <c r="H308" s="24" t="s">
        <v>286</v>
      </c>
      <c r="I308" s="24" t="s">
        <v>286</v>
      </c>
      <c r="J308" s="24" t="s">
        <v>286</v>
      </c>
      <c r="K308" s="24" t="s">
        <v>286</v>
      </c>
      <c r="L308" s="24" t="s">
        <v>286</v>
      </c>
      <c r="M308" s="8"/>
      <c r="N308" s="272"/>
    </row>
    <row r="309" spans="1:14" ht="12.2" customHeight="1" thickTop="1" x14ac:dyDescent="0.2">
      <c r="A309" s="38" t="s">
        <v>457</v>
      </c>
      <c r="B309" s="39" t="s">
        <v>356</v>
      </c>
      <c r="C309" s="40">
        <v>14</v>
      </c>
      <c r="D309" s="39" t="s">
        <v>429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.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.2" customHeight="1" x14ac:dyDescent="0.2">
      <c r="A311" s="29" t="s">
        <v>464</v>
      </c>
      <c r="B311"/>
      <c r="C311"/>
      <c r="D311"/>
      <c r="E311"/>
      <c r="F311" s="177" t="s">
        <v>687</v>
      </c>
      <c r="G311" s="177" t="s">
        <v>688</v>
      </c>
      <c r="H311" s="177" t="s">
        <v>689</v>
      </c>
      <c r="I311" s="177" t="s">
        <v>690</v>
      </c>
      <c r="J311" s="177" t="s">
        <v>691</v>
      </c>
      <c r="K311" s="177" t="s">
        <v>692</v>
      </c>
      <c r="L311" s="20"/>
      <c r="M311" s="8"/>
      <c r="N311" s="272"/>
    </row>
    <row r="312" spans="1:14" s="3" customFormat="1" ht="12.2" customHeight="1" x14ac:dyDescent="0.15">
      <c r="A312" s="29" t="s">
        <v>451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.2" customHeight="1" x14ac:dyDescent="0.15">
      <c r="A313" s="30" t="s">
        <v>195</v>
      </c>
      <c r="F313" s="24" t="s">
        <v>286</v>
      </c>
      <c r="G313" s="24" t="s">
        <v>286</v>
      </c>
      <c r="H313" s="24" t="s">
        <v>286</v>
      </c>
      <c r="I313" s="24" t="s">
        <v>286</v>
      </c>
      <c r="J313" s="24" t="s">
        <v>286</v>
      </c>
      <c r="K313" s="24" t="s">
        <v>286</v>
      </c>
      <c r="L313" s="24" t="s">
        <v>286</v>
      </c>
      <c r="M313" s="8"/>
      <c r="N313" s="272"/>
    </row>
    <row r="314" spans="1:14" s="3" customFormat="1" ht="12.2" customHeight="1" x14ac:dyDescent="0.15">
      <c r="A314" s="1" t="s">
        <v>436</v>
      </c>
      <c r="B314" s="2" t="s">
        <v>357</v>
      </c>
      <c r="C314" s="2" t="s">
        <v>288</v>
      </c>
      <c r="D314" s="2" t="s">
        <v>429</v>
      </c>
      <c r="E314" s="6">
        <v>1100</v>
      </c>
      <c r="F314" s="18"/>
      <c r="G314" s="18"/>
      <c r="H314" s="18"/>
      <c r="I314" s="18">
        <v>9315.8799999999992</v>
      </c>
      <c r="J314" s="18"/>
      <c r="K314" s="18">
        <v>10573.94</v>
      </c>
      <c r="L314" s="19">
        <f>SUM(F314:K314)</f>
        <v>19889.82</v>
      </c>
      <c r="M314" s="8"/>
      <c r="N314" s="272"/>
    </row>
    <row r="315" spans="1:14" s="3" customFormat="1" ht="12.2" customHeight="1" x14ac:dyDescent="0.15">
      <c r="A315" s="1" t="s">
        <v>437</v>
      </c>
      <c r="B315" s="2" t="s">
        <v>357</v>
      </c>
      <c r="C315" s="2" t="s">
        <v>289</v>
      </c>
      <c r="D315" s="2" t="s">
        <v>429</v>
      </c>
      <c r="E315" s="6">
        <v>1200</v>
      </c>
      <c r="F315" s="18">
        <v>93019.81</v>
      </c>
      <c r="G315" s="18">
        <v>48517.02</v>
      </c>
      <c r="H315" s="18">
        <v>31163.24</v>
      </c>
      <c r="I315" s="18">
        <v>1810.85</v>
      </c>
      <c r="J315" s="18"/>
      <c r="K315" s="18"/>
      <c r="L315" s="19">
        <f>SUM(F315:K315)</f>
        <v>174510.91999999998</v>
      </c>
      <c r="M315" s="8"/>
      <c r="N315" s="272"/>
    </row>
    <row r="316" spans="1:14" s="3" customFormat="1" ht="12.2" customHeight="1" x14ac:dyDescent="0.15">
      <c r="A316" s="1" t="s">
        <v>438</v>
      </c>
      <c r="B316" s="2" t="s">
        <v>357</v>
      </c>
      <c r="C316" s="2" t="s">
        <v>290</v>
      </c>
      <c r="D316" s="2" t="s">
        <v>429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.2" customHeight="1" x14ac:dyDescent="0.15">
      <c r="A317" s="1" t="s">
        <v>439</v>
      </c>
      <c r="B317" s="2" t="s">
        <v>357</v>
      </c>
      <c r="C317" s="2" t="s">
        <v>291</v>
      </c>
      <c r="D317" s="2" t="s">
        <v>429</v>
      </c>
      <c r="E317" s="6">
        <v>1400</v>
      </c>
      <c r="F317" s="18">
        <v>10200</v>
      </c>
      <c r="G317" s="18">
        <v>780.36</v>
      </c>
      <c r="H317" s="18">
        <v>7670</v>
      </c>
      <c r="I317" s="18">
        <v>1000</v>
      </c>
      <c r="J317" s="18">
        <v>8241.57</v>
      </c>
      <c r="K317" s="18"/>
      <c r="L317" s="19">
        <f>SUM(F317:K317)</f>
        <v>27891.93</v>
      </c>
      <c r="M317" s="8"/>
      <c r="N317" s="272"/>
    </row>
    <row r="318" spans="1:14" s="3" customFormat="1" ht="12.2" customHeight="1" x14ac:dyDescent="0.15">
      <c r="A318" s="30" t="s">
        <v>340</v>
      </c>
      <c r="C318" s="23"/>
      <c r="E318" s="6"/>
      <c r="F318" s="24" t="s">
        <v>286</v>
      </c>
      <c r="G318" s="24" t="s">
        <v>286</v>
      </c>
      <c r="H318" s="24" t="s">
        <v>286</v>
      </c>
      <c r="I318" s="24" t="s">
        <v>286</v>
      </c>
      <c r="J318" s="24" t="s">
        <v>286</v>
      </c>
      <c r="K318" s="24" t="s">
        <v>286</v>
      </c>
      <c r="L318" s="24" t="s">
        <v>286</v>
      </c>
      <c r="M318" s="8"/>
      <c r="N318" s="272"/>
    </row>
    <row r="319" spans="1:14" s="3" customFormat="1" ht="12.2" customHeight="1" x14ac:dyDescent="0.15">
      <c r="A319" s="1" t="s">
        <v>440</v>
      </c>
      <c r="B319" s="2" t="s">
        <v>357</v>
      </c>
      <c r="C319" s="2" t="s">
        <v>292</v>
      </c>
      <c r="D319" s="2" t="s">
        <v>429</v>
      </c>
      <c r="E319" s="6">
        <v>2100</v>
      </c>
      <c r="F319" s="18">
        <v>46.77</v>
      </c>
      <c r="G319" s="18">
        <v>3.58</v>
      </c>
      <c r="H319" s="18"/>
      <c r="I319" s="18">
        <v>2194.0100000000002</v>
      </c>
      <c r="J319" s="18">
        <v>5321.37</v>
      </c>
      <c r="K319" s="18">
        <v>2059</v>
      </c>
      <c r="L319" s="19">
        <f t="shared" ref="L319:L325" si="16">SUM(F319:K319)</f>
        <v>9624.73</v>
      </c>
      <c r="M319" s="8"/>
      <c r="N319" s="272"/>
    </row>
    <row r="320" spans="1:14" s="3" customFormat="1" ht="12.2" customHeight="1" x14ac:dyDescent="0.15">
      <c r="A320" s="1" t="s">
        <v>441</v>
      </c>
      <c r="B320" s="2" t="s">
        <v>357</v>
      </c>
      <c r="C320" s="2" t="s">
        <v>293</v>
      </c>
      <c r="D320" s="2" t="s">
        <v>429</v>
      </c>
      <c r="E320" s="6">
        <v>2200</v>
      </c>
      <c r="F320" s="18">
        <v>1945.6</v>
      </c>
      <c r="G320" s="18">
        <v>346.52</v>
      </c>
      <c r="H320" s="18"/>
      <c r="I320" s="18">
        <v>35434.639999999999</v>
      </c>
      <c r="J320" s="18"/>
      <c r="K320" s="18"/>
      <c r="L320" s="19">
        <f t="shared" si="16"/>
        <v>37726.76</v>
      </c>
      <c r="M320" s="8"/>
      <c r="N320" s="272"/>
    </row>
    <row r="321" spans="1:14" s="3" customFormat="1" ht="12.2" customHeight="1" x14ac:dyDescent="0.15">
      <c r="A321" s="1" t="s">
        <v>442</v>
      </c>
      <c r="B321" s="2" t="s">
        <v>357</v>
      </c>
      <c r="C321" s="2" t="s">
        <v>294</v>
      </c>
      <c r="D321" s="2" t="s">
        <v>429</v>
      </c>
      <c r="E321" s="6">
        <v>2300</v>
      </c>
      <c r="F321" s="18">
        <v>1280</v>
      </c>
      <c r="G321" s="18">
        <v>320.13</v>
      </c>
      <c r="H321" s="18"/>
      <c r="I321" s="18"/>
      <c r="J321" s="18"/>
      <c r="K321" s="18"/>
      <c r="L321" s="19">
        <f>SUM(F321:K321)</f>
        <v>1600.13</v>
      </c>
      <c r="M321" s="8"/>
      <c r="N321" s="272"/>
    </row>
    <row r="322" spans="1:14" s="3" customFormat="1" ht="12.2" customHeight="1" x14ac:dyDescent="0.15">
      <c r="A322" s="1" t="s">
        <v>443</v>
      </c>
      <c r="B322" s="2" t="s">
        <v>357</v>
      </c>
      <c r="C322" s="2" t="s">
        <v>295</v>
      </c>
      <c r="D322" s="2" t="s">
        <v>429</v>
      </c>
      <c r="E322" s="6">
        <v>2400</v>
      </c>
      <c r="F322" s="18"/>
      <c r="G322" s="18"/>
      <c r="H322" s="18"/>
      <c r="I322" s="18">
        <v>1358.99</v>
      </c>
      <c r="J322" s="18"/>
      <c r="K322" s="18"/>
      <c r="L322" s="19">
        <f t="shared" si="16"/>
        <v>1358.99</v>
      </c>
      <c r="M322" s="8"/>
      <c r="N322" s="272"/>
    </row>
    <row r="323" spans="1:14" s="3" customFormat="1" ht="12.2" customHeight="1" x14ac:dyDescent="0.15">
      <c r="A323" s="1" t="s">
        <v>444</v>
      </c>
      <c r="B323" s="2" t="s">
        <v>357</v>
      </c>
      <c r="C323" s="2" t="s">
        <v>296</v>
      </c>
      <c r="D323" s="2" t="s">
        <v>429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.2" customHeight="1" x14ac:dyDescent="0.15">
      <c r="A324" s="1" t="s">
        <v>445</v>
      </c>
      <c r="B324" s="2" t="s">
        <v>357</v>
      </c>
      <c r="C324" s="2" t="s">
        <v>297</v>
      </c>
      <c r="D324" s="2" t="s">
        <v>429</v>
      </c>
      <c r="E324" s="6">
        <v>2600</v>
      </c>
      <c r="F324" s="18"/>
      <c r="G324" s="18"/>
      <c r="H324" s="18"/>
      <c r="I324" s="18">
        <v>365.56</v>
      </c>
      <c r="J324" s="18">
        <v>21998.95</v>
      </c>
      <c r="K324" s="18"/>
      <c r="L324" s="19">
        <f t="shared" si="16"/>
        <v>22364.510000000002</v>
      </c>
      <c r="M324" s="8"/>
      <c r="N324" s="272"/>
    </row>
    <row r="325" spans="1:14" s="3" customFormat="1" ht="12.2" customHeight="1" x14ac:dyDescent="0.15">
      <c r="A325" s="1" t="s">
        <v>446</v>
      </c>
      <c r="B325" s="2" t="s">
        <v>357</v>
      </c>
      <c r="C325" s="2" t="s">
        <v>298</v>
      </c>
      <c r="D325" s="2" t="s">
        <v>429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.2" customHeight="1" x14ac:dyDescent="0.15">
      <c r="A326" s="1" t="s">
        <v>447</v>
      </c>
      <c r="B326" s="2" t="s">
        <v>357</v>
      </c>
      <c r="C326" s="2" t="s">
        <v>341</v>
      </c>
      <c r="D326" s="2" t="s">
        <v>429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.2" customHeight="1" thickBot="1" x14ac:dyDescent="0.2">
      <c r="A327" s="1" t="s">
        <v>448</v>
      </c>
      <c r="B327" s="2" t="s">
        <v>357</v>
      </c>
      <c r="C327" s="2" t="s">
        <v>342</v>
      </c>
      <c r="D327" s="2" t="s">
        <v>429</v>
      </c>
      <c r="E327" s="6">
        <v>2900</v>
      </c>
      <c r="F327" s="24" t="s">
        <v>286</v>
      </c>
      <c r="G327" s="24" t="s">
        <v>286</v>
      </c>
      <c r="H327" s="24" t="s">
        <v>286</v>
      </c>
      <c r="I327" s="24" t="s">
        <v>286</v>
      </c>
      <c r="J327" s="24" t="s">
        <v>286</v>
      </c>
      <c r="K327" s="24" t="s">
        <v>286</v>
      </c>
      <c r="L327" s="24" t="s">
        <v>286</v>
      </c>
      <c r="M327" s="8"/>
      <c r="N327" s="272"/>
    </row>
    <row r="328" spans="1:14" s="3" customFormat="1" ht="12.2" customHeight="1" thickTop="1" x14ac:dyDescent="0.2">
      <c r="A328" s="38" t="s">
        <v>679</v>
      </c>
      <c r="B328" s="39" t="s">
        <v>357</v>
      </c>
      <c r="C328" s="40">
        <v>14</v>
      </c>
      <c r="D328" s="39" t="s">
        <v>429</v>
      </c>
      <c r="E328" s="40"/>
      <c r="F328" s="42">
        <f t="shared" ref="F328:L328" si="17">SUM(F314:F327)</f>
        <v>106492.18000000001</v>
      </c>
      <c r="G328" s="42">
        <f t="shared" si="17"/>
        <v>49967.609999999993</v>
      </c>
      <c r="H328" s="42">
        <f t="shared" si="17"/>
        <v>38833.240000000005</v>
      </c>
      <c r="I328" s="42">
        <f t="shared" si="17"/>
        <v>51479.929999999993</v>
      </c>
      <c r="J328" s="42">
        <f t="shared" si="17"/>
        <v>35561.89</v>
      </c>
      <c r="K328" s="42">
        <f t="shared" si="17"/>
        <v>12632.94</v>
      </c>
      <c r="L328" s="41">
        <f t="shared" si="17"/>
        <v>294967.78999999998</v>
      </c>
      <c r="M328" s="8"/>
      <c r="N328" s="272"/>
    </row>
    <row r="329" spans="1:14" s="3" customFormat="1" ht="12.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.2" customHeight="1" x14ac:dyDescent="0.15">
      <c r="A330" s="29" t="s">
        <v>358</v>
      </c>
      <c r="B330" s="2"/>
      <c r="C330" s="6"/>
      <c r="D330" s="6"/>
      <c r="E330" s="6"/>
      <c r="F330" s="177" t="s">
        <v>687</v>
      </c>
      <c r="G330" s="177" t="s">
        <v>688</v>
      </c>
      <c r="H330" s="177" t="s">
        <v>689</v>
      </c>
      <c r="I330" s="177" t="s">
        <v>690</v>
      </c>
      <c r="J330" s="177" t="s">
        <v>691</v>
      </c>
      <c r="K330" s="177" t="s">
        <v>692</v>
      </c>
      <c r="L330" s="19"/>
      <c r="M330" s="8"/>
      <c r="N330" s="272"/>
    </row>
    <row r="331" spans="1:14" s="3" customFormat="1" ht="12.2" customHeight="1" x14ac:dyDescent="0.15">
      <c r="A331" s="29" t="s">
        <v>359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.2" customHeight="1" x14ac:dyDescent="0.15">
      <c r="A332" s="1" t="s">
        <v>654</v>
      </c>
      <c r="B332" s="6">
        <v>14</v>
      </c>
      <c r="C332" s="2" t="s">
        <v>287</v>
      </c>
      <c r="D332" s="2" t="s">
        <v>429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.2" customHeight="1" x14ac:dyDescent="0.15">
      <c r="A333" s="1" t="s">
        <v>351</v>
      </c>
      <c r="B333" s="6">
        <v>14</v>
      </c>
      <c r="C333" s="2" t="s">
        <v>307</v>
      </c>
      <c r="D333" s="2" t="s">
        <v>429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.2" customHeight="1" x14ac:dyDescent="0.15">
      <c r="A334" s="1" t="s">
        <v>580</v>
      </c>
      <c r="B334" s="6">
        <v>14</v>
      </c>
      <c r="C334" s="2" t="s">
        <v>313</v>
      </c>
      <c r="D334" s="2" t="s">
        <v>429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.2" customHeight="1" x14ac:dyDescent="0.15">
      <c r="A335" s="1" t="s">
        <v>581</v>
      </c>
      <c r="B335" s="6">
        <v>14</v>
      </c>
      <c r="C335" s="2" t="s">
        <v>319</v>
      </c>
      <c r="D335" s="2" t="s">
        <v>429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.2" customHeight="1" thickBot="1" x14ac:dyDescent="0.2">
      <c r="A336" s="1" t="s">
        <v>582</v>
      </c>
      <c r="B336" s="6">
        <v>14</v>
      </c>
      <c r="C336" s="37">
        <v>5</v>
      </c>
      <c r="D336" s="2" t="s">
        <v>429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.2" customHeight="1" thickTop="1" thickBot="1" x14ac:dyDescent="0.2">
      <c r="A337" s="50" t="s">
        <v>465</v>
      </c>
      <c r="B337" s="40">
        <v>14</v>
      </c>
      <c r="C337" s="51">
        <v>6</v>
      </c>
      <c r="D337" s="48" t="s">
        <v>429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.2" customHeight="1" thickTop="1" x14ac:dyDescent="0.15">
      <c r="A338" s="38" t="s">
        <v>466</v>
      </c>
      <c r="B338" s="40">
        <v>14</v>
      </c>
      <c r="C338" s="40">
        <v>7</v>
      </c>
      <c r="D338" s="39" t="s">
        <v>429</v>
      </c>
      <c r="E338" s="40"/>
      <c r="F338" s="41">
        <f t="shared" ref="F338:L338" si="20">F290+F309+F328+F337</f>
        <v>415474.91</v>
      </c>
      <c r="G338" s="41">
        <f t="shared" si="20"/>
        <v>170022.58000000002</v>
      </c>
      <c r="H338" s="41">
        <f t="shared" si="20"/>
        <v>122143.09000000001</v>
      </c>
      <c r="I338" s="41">
        <f t="shared" si="20"/>
        <v>71963.959999999992</v>
      </c>
      <c r="J338" s="41">
        <f t="shared" si="20"/>
        <v>41607.86</v>
      </c>
      <c r="K338" s="41">
        <f t="shared" si="20"/>
        <v>14988.11</v>
      </c>
      <c r="L338" s="41">
        <f t="shared" si="20"/>
        <v>836200.51</v>
      </c>
      <c r="M338" s="8"/>
      <c r="N338" s="272"/>
    </row>
    <row r="339" spans="1:43" s="3" customFormat="1" ht="12.2" customHeight="1" x14ac:dyDescent="0.15">
      <c r="A339" s="29" t="s">
        <v>352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.2" customHeight="1" x14ac:dyDescent="0.15">
      <c r="A340" s="30" t="s">
        <v>461</v>
      </c>
      <c r="E340" s="6">
        <v>5100</v>
      </c>
      <c r="F340" s="24" t="s">
        <v>286</v>
      </c>
      <c r="G340" s="24" t="s">
        <v>286</v>
      </c>
      <c r="H340" s="24" t="s">
        <v>286</v>
      </c>
      <c r="I340" s="24" t="s">
        <v>286</v>
      </c>
      <c r="J340" s="24" t="s">
        <v>286</v>
      </c>
      <c r="K340" s="24" t="s">
        <v>286</v>
      </c>
      <c r="L340" s="24" t="s">
        <v>286</v>
      </c>
      <c r="M340" s="8"/>
      <c r="N340" s="272"/>
    </row>
    <row r="341" spans="1:43" s="3" customFormat="1" ht="12.2" customHeight="1" x14ac:dyDescent="0.15">
      <c r="A341" s="1" t="s">
        <v>518</v>
      </c>
      <c r="B341" s="6">
        <v>14</v>
      </c>
      <c r="C341" s="37">
        <v>8</v>
      </c>
      <c r="E341" s="6">
        <v>5100</v>
      </c>
      <c r="F341" s="24" t="s">
        <v>286</v>
      </c>
      <c r="G341" s="24" t="s">
        <v>286</v>
      </c>
      <c r="H341" s="24" t="s">
        <v>286</v>
      </c>
      <c r="I341" s="24" t="s">
        <v>286</v>
      </c>
      <c r="J341" s="24" t="s">
        <v>286</v>
      </c>
      <c r="K341" s="18"/>
      <c r="L341" s="19">
        <f>SUM(F341:K341)</f>
        <v>0</v>
      </c>
      <c r="M341" s="8"/>
      <c r="N341" s="272"/>
    </row>
    <row r="342" spans="1:43" s="3" customFormat="1" ht="12.2" customHeight="1" x14ac:dyDescent="0.15">
      <c r="A342" s="1" t="s">
        <v>530</v>
      </c>
      <c r="B342" s="6">
        <v>14</v>
      </c>
      <c r="C342" s="37">
        <v>9</v>
      </c>
      <c r="E342" s="6">
        <v>5120</v>
      </c>
      <c r="F342" s="24" t="s">
        <v>286</v>
      </c>
      <c r="G342" s="24" t="s">
        <v>286</v>
      </c>
      <c r="H342" s="24" t="s">
        <v>286</v>
      </c>
      <c r="I342" s="24" t="s">
        <v>286</v>
      </c>
      <c r="J342" s="24" t="s">
        <v>286</v>
      </c>
      <c r="K342" s="18"/>
      <c r="L342" s="19">
        <f>SUM(F342:K342)</f>
        <v>0</v>
      </c>
      <c r="M342" s="8"/>
      <c r="N342" s="272"/>
    </row>
    <row r="343" spans="1:43" s="12" customFormat="1" ht="12.2" customHeight="1" thickBot="1" x14ac:dyDescent="0.25">
      <c r="A343" s="27" t="s">
        <v>354</v>
      </c>
      <c r="B343" s="6">
        <v>14</v>
      </c>
      <c r="C343" s="3"/>
      <c r="D343" s="3"/>
      <c r="E343" s="6">
        <v>5200</v>
      </c>
      <c r="F343" s="24" t="s">
        <v>286</v>
      </c>
      <c r="G343" s="24" t="s">
        <v>286</v>
      </c>
      <c r="H343" s="24" t="s">
        <v>286</v>
      </c>
      <c r="I343" s="24" t="s">
        <v>286</v>
      </c>
      <c r="J343" s="24" t="s">
        <v>286</v>
      </c>
      <c r="K343" s="24" t="s">
        <v>286</v>
      </c>
      <c r="L343" s="24" t="s">
        <v>286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.2" customHeight="1" x14ac:dyDescent="0.15">
      <c r="A344" s="3" t="s">
        <v>536</v>
      </c>
      <c r="B344" s="6">
        <v>14</v>
      </c>
      <c r="C344" s="6">
        <v>10</v>
      </c>
      <c r="D344" s="2" t="s">
        <v>429</v>
      </c>
      <c r="E344" s="6">
        <v>5210</v>
      </c>
      <c r="F344" s="24" t="s">
        <v>286</v>
      </c>
      <c r="G344" s="24" t="s">
        <v>286</v>
      </c>
      <c r="H344" s="24" t="s">
        <v>286</v>
      </c>
      <c r="I344" s="24" t="s">
        <v>286</v>
      </c>
      <c r="J344" s="24" t="s">
        <v>286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.2" customHeight="1" x14ac:dyDescent="0.15">
      <c r="A345" s="1" t="s">
        <v>600</v>
      </c>
      <c r="B345" s="6">
        <v>14</v>
      </c>
      <c r="C345" s="6">
        <v>11</v>
      </c>
      <c r="D345" s="2" t="s">
        <v>429</v>
      </c>
      <c r="E345" s="6">
        <v>5221</v>
      </c>
      <c r="F345" s="24" t="s">
        <v>286</v>
      </c>
      <c r="G345" s="24" t="s">
        <v>286</v>
      </c>
      <c r="H345" s="24" t="s">
        <v>286</v>
      </c>
      <c r="I345" s="24" t="s">
        <v>286</v>
      </c>
      <c r="J345" s="24" t="s">
        <v>286</v>
      </c>
      <c r="K345" s="18"/>
      <c r="L345" s="19">
        <f t="shared" si="21"/>
        <v>0</v>
      </c>
      <c r="M345" s="8"/>
      <c r="N345" s="272"/>
    </row>
    <row r="346" spans="1:43" s="3" customFormat="1" ht="12.2" customHeight="1" x14ac:dyDescent="0.15">
      <c r="A346" s="1" t="s">
        <v>537</v>
      </c>
      <c r="B346" s="6">
        <v>14</v>
      </c>
      <c r="C346" s="6">
        <v>12</v>
      </c>
      <c r="D346" s="2" t="s">
        <v>429</v>
      </c>
      <c r="E346" s="6">
        <v>5230</v>
      </c>
      <c r="F346" s="24" t="s">
        <v>286</v>
      </c>
      <c r="G346" s="24" t="s">
        <v>286</v>
      </c>
      <c r="H346" s="24" t="s">
        <v>286</v>
      </c>
      <c r="I346" s="24" t="s">
        <v>286</v>
      </c>
      <c r="J346" s="24" t="s">
        <v>286</v>
      </c>
      <c r="K346" s="18"/>
      <c r="L346" s="19">
        <f t="shared" si="21"/>
        <v>0</v>
      </c>
      <c r="M346" s="8"/>
      <c r="N346" s="272"/>
    </row>
    <row r="347" spans="1:43" s="3" customFormat="1" ht="12.2" customHeight="1" x14ac:dyDescent="0.15">
      <c r="A347" s="3" t="s">
        <v>538</v>
      </c>
      <c r="B347" s="6">
        <v>14</v>
      </c>
      <c r="C347" s="6">
        <v>13</v>
      </c>
      <c r="D347" s="2" t="s">
        <v>429</v>
      </c>
      <c r="E347" s="6">
        <v>5250</v>
      </c>
      <c r="F347" s="24" t="s">
        <v>286</v>
      </c>
      <c r="G347" s="24" t="s">
        <v>286</v>
      </c>
      <c r="H347" s="24" t="s">
        <v>286</v>
      </c>
      <c r="I347" s="24" t="s">
        <v>286</v>
      </c>
      <c r="J347" s="24" t="s">
        <v>286</v>
      </c>
      <c r="K347" s="18"/>
      <c r="L347" s="19">
        <f t="shared" si="21"/>
        <v>0</v>
      </c>
      <c r="M347" s="8"/>
      <c r="N347" s="272"/>
    </row>
    <row r="348" spans="1:43" s="3" customFormat="1" ht="12.2" customHeight="1" x14ac:dyDescent="0.15">
      <c r="A348" s="27" t="s">
        <v>558</v>
      </c>
      <c r="B348" s="2"/>
      <c r="C348" s="6"/>
      <c r="D348" s="6"/>
      <c r="E348" s="6">
        <v>5300</v>
      </c>
      <c r="F348" s="24" t="s">
        <v>286</v>
      </c>
      <c r="G348" s="24" t="s">
        <v>286</v>
      </c>
      <c r="H348" s="24" t="s">
        <v>286</v>
      </c>
      <c r="I348" s="24" t="s">
        <v>286</v>
      </c>
      <c r="J348" s="24" t="s">
        <v>286</v>
      </c>
      <c r="K348" s="24" t="s">
        <v>286</v>
      </c>
      <c r="L348" s="24" t="s">
        <v>286</v>
      </c>
      <c r="M348" s="8"/>
      <c r="N348" s="272"/>
    </row>
    <row r="349" spans="1:43" s="3" customFormat="1" ht="12.2" customHeight="1" x14ac:dyDescent="0.15">
      <c r="A349" s="1" t="s">
        <v>534</v>
      </c>
      <c r="B349" s="6">
        <v>14</v>
      </c>
      <c r="C349" s="6">
        <v>14</v>
      </c>
      <c r="D349" s="2" t="s">
        <v>429</v>
      </c>
      <c r="E349" s="6">
        <v>5310</v>
      </c>
      <c r="F349" s="24" t="s">
        <v>286</v>
      </c>
      <c r="G349" s="24" t="s">
        <v>286</v>
      </c>
      <c r="H349" s="24" t="s">
        <v>286</v>
      </c>
      <c r="I349" s="24" t="s">
        <v>286</v>
      </c>
      <c r="J349" s="24" t="s">
        <v>286</v>
      </c>
      <c r="K349" s="18"/>
      <c r="L349" s="19">
        <f t="shared" si="21"/>
        <v>0</v>
      </c>
      <c r="M349" s="8"/>
      <c r="N349" s="272"/>
    </row>
    <row r="350" spans="1:43" s="3" customFormat="1" ht="12.2" customHeight="1" thickBot="1" x14ac:dyDescent="0.2">
      <c r="A350" s="1" t="s">
        <v>535</v>
      </c>
      <c r="B350" s="6">
        <v>14</v>
      </c>
      <c r="C350" s="37">
        <v>15</v>
      </c>
      <c r="D350" s="2" t="s">
        <v>429</v>
      </c>
      <c r="E350" s="6">
        <v>5390</v>
      </c>
      <c r="F350" s="24" t="s">
        <v>286</v>
      </c>
      <c r="G350" s="24" t="s">
        <v>286</v>
      </c>
      <c r="H350" s="24" t="s">
        <v>286</v>
      </c>
      <c r="I350" s="24" t="s">
        <v>286</v>
      </c>
      <c r="J350" s="24" t="s">
        <v>286</v>
      </c>
      <c r="K350" s="18"/>
      <c r="L350" s="19">
        <f t="shared" si="21"/>
        <v>0</v>
      </c>
      <c r="M350" s="8"/>
      <c r="N350" s="272"/>
    </row>
    <row r="351" spans="1:43" s="3" customFormat="1" ht="12.2" customHeight="1" thickTop="1" thickBot="1" x14ac:dyDescent="0.2">
      <c r="A351" s="46" t="s">
        <v>418</v>
      </c>
      <c r="B351" s="40">
        <v>14</v>
      </c>
      <c r="C351" s="51">
        <v>16</v>
      </c>
      <c r="D351" s="39" t="s">
        <v>429</v>
      </c>
      <c r="E351" s="40"/>
      <c r="F351" s="45" t="s">
        <v>286</v>
      </c>
      <c r="G351" s="45" t="s">
        <v>286</v>
      </c>
      <c r="H351" s="45" t="s">
        <v>286</v>
      </c>
      <c r="I351" s="45" t="s">
        <v>286</v>
      </c>
      <c r="J351" s="45" t="s">
        <v>286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.2" customHeight="1" thickTop="1" thickBot="1" x14ac:dyDescent="0.25">
      <c r="A352" s="38" t="s">
        <v>467</v>
      </c>
      <c r="B352" s="40">
        <v>14</v>
      </c>
      <c r="C352" s="40">
        <v>17</v>
      </c>
      <c r="D352" s="39" t="s">
        <v>429</v>
      </c>
      <c r="E352" s="40"/>
      <c r="F352" s="41">
        <f>F338</f>
        <v>415474.91</v>
      </c>
      <c r="G352" s="41">
        <f>G338</f>
        <v>170022.58000000002</v>
      </c>
      <c r="H352" s="41">
        <f>H338</f>
        <v>122143.09000000001</v>
      </c>
      <c r="I352" s="41">
        <f>I338</f>
        <v>71963.959999999992</v>
      </c>
      <c r="J352" s="41">
        <f>J338</f>
        <v>41607.86</v>
      </c>
      <c r="K352" s="47">
        <f>K338+K351</f>
        <v>14988.11</v>
      </c>
      <c r="L352" s="41">
        <f>L338+L351</f>
        <v>836200.51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.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.2" customHeight="1" x14ac:dyDescent="0.2">
      <c r="A354" s="54"/>
      <c r="B354" s="52"/>
      <c r="C354" s="52"/>
      <c r="D354" s="52"/>
      <c r="E354" s="52"/>
      <c r="F354" s="177" t="s">
        <v>687</v>
      </c>
      <c r="G354" s="177" t="s">
        <v>688</v>
      </c>
      <c r="H354" s="177" t="s">
        <v>689</v>
      </c>
      <c r="I354" s="177" t="s">
        <v>690</v>
      </c>
      <c r="J354" s="177" t="s">
        <v>691</v>
      </c>
      <c r="K354" s="177" t="s">
        <v>692</v>
      </c>
      <c r="L354" s="53"/>
      <c r="M354" s="8"/>
      <c r="N354" s="272"/>
    </row>
    <row r="355" spans="1:22" s="3" customFormat="1" ht="12.2" customHeight="1" x14ac:dyDescent="0.15">
      <c r="A355" s="29" t="s">
        <v>279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.2" customHeight="1" x14ac:dyDescent="0.15">
      <c r="A356" s="27" t="s">
        <v>458</v>
      </c>
      <c r="B356" s="7"/>
      <c r="C356" s="7"/>
      <c r="D356" s="7"/>
      <c r="E356" s="6">
        <v>3000</v>
      </c>
      <c r="F356" s="24" t="s">
        <v>286</v>
      </c>
      <c r="G356" s="24" t="s">
        <v>286</v>
      </c>
      <c r="H356" s="24" t="s">
        <v>286</v>
      </c>
      <c r="I356" s="24" t="s">
        <v>286</v>
      </c>
      <c r="J356" s="24" t="s">
        <v>286</v>
      </c>
      <c r="K356" s="24" t="s">
        <v>286</v>
      </c>
      <c r="L356" s="24" t="s">
        <v>286</v>
      </c>
      <c r="M356" s="8"/>
      <c r="N356" s="272"/>
    </row>
    <row r="357" spans="1:22" s="3" customFormat="1" ht="12.2" customHeight="1" x14ac:dyDescent="0.15">
      <c r="A357" s="30" t="s">
        <v>362</v>
      </c>
      <c r="B357" s="2"/>
      <c r="C357" s="2"/>
      <c r="D357" s="2"/>
      <c r="E357" s="6">
        <v>3100</v>
      </c>
      <c r="F357" s="24" t="s">
        <v>286</v>
      </c>
      <c r="G357" s="24" t="s">
        <v>286</v>
      </c>
      <c r="H357" s="24" t="s">
        <v>286</v>
      </c>
      <c r="I357" s="24" t="s">
        <v>286</v>
      </c>
      <c r="J357" s="24" t="s">
        <v>286</v>
      </c>
      <c r="K357" s="24" t="s">
        <v>286</v>
      </c>
      <c r="L357" s="24" t="s">
        <v>286</v>
      </c>
      <c r="M357" s="8"/>
      <c r="N357" s="272"/>
    </row>
    <row r="358" spans="1:22" ht="12.2" customHeight="1" x14ac:dyDescent="0.2">
      <c r="A358" s="3" t="s">
        <v>539</v>
      </c>
      <c r="B358" s="2" t="s">
        <v>364</v>
      </c>
      <c r="C358" s="6">
        <v>1</v>
      </c>
      <c r="D358" s="2" t="s">
        <v>429</v>
      </c>
      <c r="E358" s="6"/>
      <c r="F358" s="18">
        <v>225238.66</v>
      </c>
      <c r="G358" s="18">
        <v>54914.720000000001</v>
      </c>
      <c r="H358" s="18">
        <v>5454.83</v>
      </c>
      <c r="I358" s="18">
        <v>280729.96999999997</v>
      </c>
      <c r="J358" s="18">
        <v>1019.44</v>
      </c>
      <c r="K358" s="18">
        <v>1130.43</v>
      </c>
      <c r="L358" s="13">
        <f>SUM(F358:K358)</f>
        <v>568488.04999999993</v>
      </c>
      <c r="N358" s="270"/>
      <c r="R358" s="3"/>
      <c r="S358" s="3"/>
      <c r="T358" s="3"/>
      <c r="U358" s="3"/>
      <c r="V358" s="3"/>
    </row>
    <row r="359" spans="1:22" s="3" customFormat="1" ht="12.2" customHeight="1" x14ac:dyDescent="0.15">
      <c r="A359" s="1" t="s">
        <v>540</v>
      </c>
      <c r="B359" s="2" t="s">
        <v>364</v>
      </c>
      <c r="C359" s="6">
        <v>2</v>
      </c>
      <c r="D359" s="2" t="s">
        <v>429</v>
      </c>
      <c r="E359" s="6"/>
      <c r="F359" s="18">
        <v>105994.66</v>
      </c>
      <c r="G359" s="18">
        <v>25842.22</v>
      </c>
      <c r="H359" s="18">
        <v>2566.98</v>
      </c>
      <c r="I359" s="18">
        <v>132108.22</v>
      </c>
      <c r="J359" s="18">
        <v>479.74</v>
      </c>
      <c r="K359" s="18">
        <v>531.97</v>
      </c>
      <c r="L359" s="19">
        <f>SUM(F359:K359)</f>
        <v>267523.78999999998</v>
      </c>
      <c r="M359" s="8"/>
      <c r="N359" s="272"/>
    </row>
    <row r="360" spans="1:22" s="3" customFormat="1" ht="12.2" customHeight="1" x14ac:dyDescent="0.15">
      <c r="A360" s="3" t="s">
        <v>541</v>
      </c>
      <c r="B360" s="2" t="s">
        <v>364</v>
      </c>
      <c r="C360" s="6">
        <v>3</v>
      </c>
      <c r="D360" s="2" t="s">
        <v>429</v>
      </c>
      <c r="E360" s="6"/>
      <c r="F360" s="18"/>
      <c r="G360" s="18"/>
      <c r="H360" s="18"/>
      <c r="I360" s="18"/>
      <c r="J360" s="18"/>
      <c r="K360" s="18"/>
      <c r="L360" s="19">
        <f>SUM(F360:K360)</f>
        <v>0</v>
      </c>
      <c r="M360" s="8"/>
      <c r="N360" s="272"/>
    </row>
    <row r="361" spans="1:22" s="3" customFormat="1" ht="12.2" customHeight="1" thickBot="1" x14ac:dyDescent="0.2">
      <c r="A361" s="1" t="s">
        <v>366</v>
      </c>
      <c r="B361" s="2" t="s">
        <v>364</v>
      </c>
      <c r="C361" s="6">
        <v>4</v>
      </c>
      <c r="D361" s="2" t="s">
        <v>429</v>
      </c>
      <c r="E361" s="6">
        <v>5200</v>
      </c>
      <c r="F361" s="24" t="s">
        <v>286</v>
      </c>
      <c r="G361" s="24" t="s">
        <v>286</v>
      </c>
      <c r="H361" s="24" t="s">
        <v>286</v>
      </c>
      <c r="I361" s="24" t="s">
        <v>286</v>
      </c>
      <c r="J361" s="24" t="s">
        <v>286</v>
      </c>
      <c r="K361" s="18"/>
      <c r="L361" s="13">
        <f>SUM(F361:K361)</f>
        <v>0</v>
      </c>
      <c r="M361" s="8"/>
      <c r="N361" s="272"/>
    </row>
    <row r="362" spans="1:22" s="3" customFormat="1" ht="12.2" customHeight="1" thickTop="1" x14ac:dyDescent="0.15">
      <c r="A362" s="46" t="s">
        <v>467</v>
      </c>
      <c r="B362" s="39" t="s">
        <v>364</v>
      </c>
      <c r="C362" s="40">
        <v>5</v>
      </c>
      <c r="D362" s="39" t="s">
        <v>429</v>
      </c>
      <c r="E362" s="40"/>
      <c r="F362" s="47">
        <f t="shared" ref="F362:L362" si="22">SUM(F358:F361)</f>
        <v>331233.32</v>
      </c>
      <c r="G362" s="47">
        <f t="shared" si="22"/>
        <v>80756.94</v>
      </c>
      <c r="H362" s="47">
        <f t="shared" si="22"/>
        <v>8021.8099999999995</v>
      </c>
      <c r="I362" s="47">
        <f t="shared" si="22"/>
        <v>412838.18999999994</v>
      </c>
      <c r="J362" s="47">
        <f t="shared" si="22"/>
        <v>1499.18</v>
      </c>
      <c r="K362" s="47">
        <f t="shared" si="22"/>
        <v>1662.4</v>
      </c>
      <c r="L362" s="47">
        <f t="shared" si="22"/>
        <v>836011.83999999985</v>
      </c>
      <c r="M362" s="8"/>
      <c r="N362" s="272"/>
    </row>
    <row r="363" spans="1:22" s="3" customFormat="1" ht="12.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.2" customHeight="1" x14ac:dyDescent="0.15">
      <c r="A364" s="55" t="s">
        <v>367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.2" customHeight="1" x14ac:dyDescent="0.15">
      <c r="A365" s="55"/>
      <c r="B365" s="36"/>
      <c r="C365" s="37"/>
      <c r="D365" s="37"/>
      <c r="E365" s="37"/>
      <c r="F365" s="57" t="s">
        <v>262</v>
      </c>
      <c r="G365" s="57" t="s">
        <v>263</v>
      </c>
      <c r="H365" s="57" t="s">
        <v>264</v>
      </c>
      <c r="I365" s="57" t="s">
        <v>265</v>
      </c>
      <c r="J365" s="56"/>
      <c r="K365" s="56"/>
      <c r="L365" s="56"/>
      <c r="M365" s="8"/>
      <c r="N365" s="272"/>
    </row>
    <row r="366" spans="1:22" s="3" customFormat="1" ht="12.2" customHeight="1" x14ac:dyDescent="0.15">
      <c r="A366" s="55"/>
      <c r="B366" s="36"/>
      <c r="C366" s="37"/>
      <c r="D366" s="37"/>
      <c r="E366" s="37"/>
      <c r="F366" s="59" t="s">
        <v>363</v>
      </c>
      <c r="G366" s="60" t="s">
        <v>368</v>
      </c>
      <c r="H366" s="60" t="s">
        <v>365</v>
      </c>
      <c r="I366" s="60" t="s">
        <v>338</v>
      </c>
      <c r="J366" s="24" t="s">
        <v>286</v>
      </c>
      <c r="K366" s="24" t="s">
        <v>286</v>
      </c>
      <c r="L366" s="24" t="s">
        <v>286</v>
      </c>
      <c r="M366" s="8"/>
      <c r="N366" s="272"/>
    </row>
    <row r="367" spans="1:22" s="3" customFormat="1" ht="12.2" customHeight="1" x14ac:dyDescent="0.15">
      <c r="A367" s="58" t="s">
        <v>369</v>
      </c>
      <c r="B367" s="2" t="s">
        <v>364</v>
      </c>
      <c r="C367" s="2" t="s">
        <v>293</v>
      </c>
      <c r="D367" s="2" t="s">
        <v>430</v>
      </c>
      <c r="E367" s="2"/>
      <c r="F367" s="18">
        <v>266451.28999999998</v>
      </c>
      <c r="G367" s="18"/>
      <c r="H367" s="18">
        <v>125388.85</v>
      </c>
      <c r="I367" s="56">
        <f>SUM(F367:H367)</f>
        <v>391840.14</v>
      </c>
      <c r="J367" s="24" t="s">
        <v>286</v>
      </c>
      <c r="K367" s="24" t="s">
        <v>286</v>
      </c>
      <c r="L367" s="24" t="s">
        <v>286</v>
      </c>
      <c r="M367" s="8"/>
      <c r="N367" s="272"/>
    </row>
    <row r="368" spans="1:22" s="3" customFormat="1" ht="12.2" customHeight="1" thickBot="1" x14ac:dyDescent="0.2">
      <c r="A368" s="61" t="s">
        <v>370</v>
      </c>
      <c r="B368" s="62" t="s">
        <v>364</v>
      </c>
      <c r="C368" s="62" t="s">
        <v>294</v>
      </c>
      <c r="D368" s="2" t="s">
        <v>430</v>
      </c>
      <c r="E368" s="62"/>
      <c r="F368" s="63">
        <v>14278.67</v>
      </c>
      <c r="G368" s="63"/>
      <c r="H368" s="63">
        <v>6719.38</v>
      </c>
      <c r="I368" s="56">
        <f>SUM(F368:H368)</f>
        <v>20998.05</v>
      </c>
      <c r="J368" s="24" t="s">
        <v>286</v>
      </c>
      <c r="K368" s="24" t="s">
        <v>286</v>
      </c>
      <c r="L368" s="24" t="s">
        <v>286</v>
      </c>
      <c r="M368" s="8"/>
      <c r="N368" s="272"/>
    </row>
    <row r="369" spans="1:14" s="3" customFormat="1" ht="12.2" customHeight="1" thickTop="1" x14ac:dyDescent="0.15">
      <c r="A369" s="34" t="s">
        <v>338</v>
      </c>
      <c r="B369" s="2" t="s">
        <v>364</v>
      </c>
      <c r="C369" s="2" t="s">
        <v>295</v>
      </c>
      <c r="D369" s="39" t="s">
        <v>430</v>
      </c>
      <c r="E369" s="2"/>
      <c r="F369" s="47">
        <f>SUM(F367:F368)</f>
        <v>280729.95999999996</v>
      </c>
      <c r="G369" s="47">
        <f>SUM(G367:G368)</f>
        <v>0</v>
      </c>
      <c r="H369" s="47">
        <f>SUM(H367:H368)</f>
        <v>132108.23000000001</v>
      </c>
      <c r="I369" s="47">
        <f>SUM(I367:I368)</f>
        <v>412838.19</v>
      </c>
      <c r="J369" s="24" t="s">
        <v>286</v>
      </c>
      <c r="K369" s="24" t="s">
        <v>286</v>
      </c>
      <c r="L369" s="24" t="s">
        <v>286</v>
      </c>
      <c r="M369" s="8"/>
      <c r="N369" s="272"/>
    </row>
    <row r="370" spans="1:14" s="3" customFormat="1" ht="12.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.2" customHeight="1" x14ac:dyDescent="0.15">
      <c r="A371" s="34" t="s">
        <v>281</v>
      </c>
      <c r="B371" s="2"/>
      <c r="C371" s="2"/>
      <c r="D371" s="2"/>
      <c r="E371" s="2"/>
      <c r="F371" s="177" t="s">
        <v>687</v>
      </c>
      <c r="G371" s="177" t="s">
        <v>688</v>
      </c>
      <c r="H371" s="177" t="s">
        <v>689</v>
      </c>
      <c r="I371" s="177" t="s">
        <v>690</v>
      </c>
      <c r="J371" s="177" t="s">
        <v>691</v>
      </c>
      <c r="K371" s="177" t="s">
        <v>692</v>
      </c>
      <c r="L371" s="13"/>
      <c r="M371" s="8"/>
      <c r="N371" s="272"/>
    </row>
    <row r="372" spans="1:14" s="3" customFormat="1" ht="12.2" customHeight="1" x14ac:dyDescent="0.15">
      <c r="A372" s="34" t="s">
        <v>361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.2" customHeight="1" x14ac:dyDescent="0.15">
      <c r="A373" s="27" t="s">
        <v>371</v>
      </c>
      <c r="B373" s="2"/>
      <c r="C373" s="2"/>
      <c r="D373" s="2"/>
      <c r="E373" s="6">
        <v>4000</v>
      </c>
      <c r="F373" s="24" t="s">
        <v>286</v>
      </c>
      <c r="G373" s="24" t="s">
        <v>286</v>
      </c>
      <c r="H373" s="24" t="s">
        <v>286</v>
      </c>
      <c r="I373" s="24" t="s">
        <v>286</v>
      </c>
      <c r="J373" s="24" t="s">
        <v>286</v>
      </c>
      <c r="K373" s="24" t="s">
        <v>286</v>
      </c>
      <c r="L373" s="24" t="s">
        <v>286</v>
      </c>
      <c r="M373" s="8"/>
      <c r="N373" s="272"/>
    </row>
    <row r="374" spans="1:14" s="3" customFormat="1" ht="12.2" customHeight="1" x14ac:dyDescent="0.15">
      <c r="A374" s="1" t="s">
        <v>542</v>
      </c>
      <c r="B374" s="2" t="s">
        <v>364</v>
      </c>
      <c r="C374" s="2" t="s">
        <v>296</v>
      </c>
      <c r="D374" s="2" t="s">
        <v>429</v>
      </c>
      <c r="E374" s="6">
        <v>4100</v>
      </c>
      <c r="F374" s="18"/>
      <c r="G374" s="18"/>
      <c r="H374" s="18">
        <v>592827.26</v>
      </c>
      <c r="I374" s="18"/>
      <c r="J374" s="18"/>
      <c r="K374" s="18"/>
      <c r="L374" s="13">
        <f>SUM(F374:K374)</f>
        <v>592827.26</v>
      </c>
      <c r="M374" s="8"/>
      <c r="N374" s="272"/>
    </row>
    <row r="375" spans="1:14" s="3" customFormat="1" ht="12.2" customHeight="1" x14ac:dyDescent="0.15">
      <c r="A375" s="1" t="s">
        <v>543</v>
      </c>
      <c r="B375" s="2" t="s">
        <v>364</v>
      </c>
      <c r="C375" s="2" t="s">
        <v>297</v>
      </c>
      <c r="D375" s="2" t="s">
        <v>429</v>
      </c>
      <c r="E375" s="6">
        <v>4200</v>
      </c>
      <c r="F375" s="18"/>
      <c r="G375" s="18"/>
      <c r="H375" s="18">
        <v>61054.28</v>
      </c>
      <c r="I375" s="18"/>
      <c r="J375" s="18"/>
      <c r="K375" s="18"/>
      <c r="L375" s="13">
        <f t="shared" ref="L375:L381" si="23">SUM(F375:K375)</f>
        <v>61054.28</v>
      </c>
      <c r="M375" s="8"/>
      <c r="N375" s="272"/>
    </row>
    <row r="376" spans="1:14" s="3" customFormat="1" ht="12.2" customHeight="1" x14ac:dyDescent="0.15">
      <c r="A376" s="1" t="s">
        <v>544</v>
      </c>
      <c r="B376" s="2" t="s">
        <v>364</v>
      </c>
      <c r="C376" s="2" t="s">
        <v>298</v>
      </c>
      <c r="D376" s="2" t="s">
        <v>429</v>
      </c>
      <c r="E376" s="6">
        <v>4300</v>
      </c>
      <c r="F376" s="18"/>
      <c r="G376" s="18"/>
      <c r="H376" s="18">
        <v>1283219.92</v>
      </c>
      <c r="I376" s="18"/>
      <c r="J376" s="18"/>
      <c r="K376" s="18"/>
      <c r="L376" s="13">
        <f t="shared" si="23"/>
        <v>1283219.92</v>
      </c>
      <c r="M376" s="8"/>
      <c r="N376" s="272"/>
    </row>
    <row r="377" spans="1:14" s="3" customFormat="1" ht="12.2" customHeight="1" x14ac:dyDescent="0.15">
      <c r="A377" s="1" t="s">
        <v>545</v>
      </c>
      <c r="B377" s="2" t="s">
        <v>364</v>
      </c>
      <c r="C377" s="2" t="s">
        <v>341</v>
      </c>
      <c r="D377" s="2" t="s">
        <v>429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.2" customHeight="1" x14ac:dyDescent="0.15">
      <c r="A378" s="1" t="s">
        <v>546</v>
      </c>
      <c r="B378" s="2" t="s">
        <v>364</v>
      </c>
      <c r="C378" s="2" t="s">
        <v>342</v>
      </c>
      <c r="D378" s="2" t="s">
        <v>429</v>
      </c>
      <c r="E378" s="6">
        <v>4500</v>
      </c>
      <c r="F378" s="18"/>
      <c r="G378" s="18"/>
      <c r="H378" s="18">
        <v>9246043.4800000004</v>
      </c>
      <c r="I378" s="18"/>
      <c r="J378" s="18"/>
      <c r="K378" s="18"/>
      <c r="L378" s="13">
        <f t="shared" si="23"/>
        <v>9246043.4800000004</v>
      </c>
      <c r="M378" s="8"/>
      <c r="N378" s="272"/>
    </row>
    <row r="379" spans="1:14" s="3" customFormat="1" ht="12.2" customHeight="1" x14ac:dyDescent="0.15">
      <c r="A379" s="1" t="s">
        <v>547</v>
      </c>
      <c r="B379" s="2" t="s">
        <v>364</v>
      </c>
      <c r="C379" s="2" t="s">
        <v>343</v>
      </c>
      <c r="D379" s="2" t="s">
        <v>429</v>
      </c>
      <c r="E379" s="6">
        <v>4600</v>
      </c>
      <c r="F379" s="18"/>
      <c r="G379" s="18"/>
      <c r="H379" s="18">
        <v>190266.38</v>
      </c>
      <c r="I379" s="18"/>
      <c r="J379" s="18"/>
      <c r="K379" s="18"/>
      <c r="L379" s="13">
        <f t="shared" si="23"/>
        <v>190266.38</v>
      </c>
      <c r="M379" s="8"/>
      <c r="N379" s="272"/>
    </row>
    <row r="380" spans="1:14" s="3" customFormat="1" ht="12.2" customHeight="1" x14ac:dyDescent="0.15">
      <c r="A380" s="1" t="s">
        <v>508</v>
      </c>
      <c r="B380" s="2" t="s">
        <v>364</v>
      </c>
      <c r="C380" s="2" t="s">
        <v>345</v>
      </c>
      <c r="D380" s="2" t="s">
        <v>429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.2" customHeight="1" thickBot="1" x14ac:dyDescent="0.2">
      <c r="A381" s="1" t="s">
        <v>366</v>
      </c>
      <c r="B381" s="2" t="s">
        <v>364</v>
      </c>
      <c r="C381" s="2" t="s">
        <v>346</v>
      </c>
      <c r="D381" s="2" t="s">
        <v>429</v>
      </c>
      <c r="E381" s="6">
        <v>5200</v>
      </c>
      <c r="F381" s="24" t="s">
        <v>286</v>
      </c>
      <c r="G381" s="24" t="s">
        <v>286</v>
      </c>
      <c r="H381" s="24" t="s">
        <v>286</v>
      </c>
      <c r="I381" s="24" t="s">
        <v>286</v>
      </c>
      <c r="J381" s="24" t="s">
        <v>286</v>
      </c>
      <c r="K381" s="18"/>
      <c r="L381" s="13">
        <f t="shared" si="23"/>
        <v>0</v>
      </c>
      <c r="M381" s="8"/>
      <c r="N381" s="272"/>
    </row>
    <row r="382" spans="1:14" s="3" customFormat="1" ht="12.2" customHeight="1" thickTop="1" x14ac:dyDescent="0.15">
      <c r="A382" s="46" t="s">
        <v>467</v>
      </c>
      <c r="B382" s="39" t="s">
        <v>364</v>
      </c>
      <c r="C382" s="39" t="s">
        <v>347</v>
      </c>
      <c r="D382" s="39" t="s">
        <v>429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11373411.320000002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11373411.320000002</v>
      </c>
      <c r="M382" s="8"/>
      <c r="N382" s="272"/>
    </row>
    <row r="383" spans="1:14" s="3" customFormat="1" ht="12.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.2" customHeight="1" x14ac:dyDescent="0.15">
      <c r="A384" s="26" t="s">
        <v>480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.2" customHeight="1" x14ac:dyDescent="0.15">
      <c r="A385" s="26" t="s">
        <v>481</v>
      </c>
      <c r="B385" s="2"/>
      <c r="C385" s="2"/>
      <c r="D385" s="2"/>
      <c r="E385" s="2"/>
      <c r="F385" s="16"/>
      <c r="G385" s="16" t="s">
        <v>372</v>
      </c>
      <c r="H385" s="16" t="s">
        <v>373</v>
      </c>
      <c r="I385" s="16" t="s">
        <v>308</v>
      </c>
      <c r="J385" s="56"/>
      <c r="K385" s="56"/>
      <c r="L385" s="56"/>
      <c r="M385" s="8"/>
      <c r="N385" s="272"/>
    </row>
    <row r="386" spans="1:14" s="3" customFormat="1" ht="12.2" customHeight="1" x14ac:dyDescent="0.15">
      <c r="A386" s="26" t="s">
        <v>374</v>
      </c>
      <c r="B386" s="2"/>
      <c r="C386" s="2"/>
      <c r="D386" s="2"/>
      <c r="F386" s="16" t="s">
        <v>375</v>
      </c>
      <c r="G386" s="16" t="s">
        <v>376</v>
      </c>
      <c r="H386" s="16" t="s">
        <v>377</v>
      </c>
      <c r="I386" s="16" t="s">
        <v>378</v>
      </c>
      <c r="J386" s="56"/>
      <c r="K386" s="56"/>
      <c r="L386" s="77" t="s">
        <v>338</v>
      </c>
      <c r="M386" s="8"/>
      <c r="N386" s="272"/>
    </row>
    <row r="387" spans="1:14" s="3" customFormat="1" ht="12.2" customHeight="1" x14ac:dyDescent="0.15">
      <c r="A387" s="79" t="s">
        <v>548</v>
      </c>
      <c r="B387" s="2" t="s">
        <v>379</v>
      </c>
      <c r="C387" s="6">
        <v>1</v>
      </c>
      <c r="D387" s="2" t="s">
        <v>430</v>
      </c>
      <c r="F387" s="18"/>
      <c r="G387" s="18"/>
      <c r="H387" s="18"/>
      <c r="I387" s="18"/>
      <c r="J387" s="24" t="s">
        <v>286</v>
      </c>
      <c r="K387" s="24" t="s">
        <v>286</v>
      </c>
      <c r="L387" s="56">
        <f t="shared" ref="L387:L392" si="25">SUM(F387:K387)</f>
        <v>0</v>
      </c>
      <c r="M387" s="8"/>
      <c r="N387" s="272"/>
    </row>
    <row r="388" spans="1:14" s="3" customFormat="1" ht="12.2" customHeight="1" x14ac:dyDescent="0.15">
      <c r="A388" s="79" t="s">
        <v>549</v>
      </c>
      <c r="B388" s="2" t="s">
        <v>379</v>
      </c>
      <c r="C388" s="6">
        <v>2</v>
      </c>
      <c r="D388" s="2" t="s">
        <v>430</v>
      </c>
      <c r="E388" s="6"/>
      <c r="F388" s="18"/>
      <c r="G388" s="18"/>
      <c r="H388" s="18"/>
      <c r="I388" s="18"/>
      <c r="J388" s="24" t="s">
        <v>286</v>
      </c>
      <c r="K388" s="24" t="s">
        <v>286</v>
      </c>
      <c r="L388" s="56">
        <f t="shared" si="25"/>
        <v>0</v>
      </c>
      <c r="M388" s="8"/>
      <c r="N388" s="272"/>
    </row>
    <row r="389" spans="1:14" s="3" customFormat="1" ht="12.2" customHeight="1" x14ac:dyDescent="0.15">
      <c r="A389" s="79" t="s">
        <v>550</v>
      </c>
      <c r="B389" s="2" t="s">
        <v>379</v>
      </c>
      <c r="C389" s="6">
        <v>3</v>
      </c>
      <c r="D389" s="2" t="s">
        <v>430</v>
      </c>
      <c r="E389" s="6"/>
      <c r="F389" s="18"/>
      <c r="G389" s="18"/>
      <c r="H389" s="18"/>
      <c r="I389" s="18"/>
      <c r="J389" s="24" t="s">
        <v>286</v>
      </c>
      <c r="K389" s="24" t="s">
        <v>286</v>
      </c>
      <c r="L389" s="56">
        <f t="shared" si="25"/>
        <v>0</v>
      </c>
      <c r="M389" s="8"/>
      <c r="N389" s="272"/>
    </row>
    <row r="390" spans="1:14" s="3" customFormat="1" ht="12.2" customHeight="1" x14ac:dyDescent="0.15">
      <c r="A390" s="79" t="s">
        <v>551</v>
      </c>
      <c r="B390" s="2" t="s">
        <v>379</v>
      </c>
      <c r="C390" s="6">
        <v>4</v>
      </c>
      <c r="D390" s="2" t="s">
        <v>430</v>
      </c>
      <c r="E390" s="6"/>
      <c r="F390" s="18"/>
      <c r="G390" s="18"/>
      <c r="H390" s="18"/>
      <c r="I390" s="18"/>
      <c r="J390" s="24" t="s">
        <v>286</v>
      </c>
      <c r="K390" s="24" t="s">
        <v>286</v>
      </c>
      <c r="L390" s="56">
        <f t="shared" si="25"/>
        <v>0</v>
      </c>
      <c r="M390" s="8"/>
      <c r="N390" s="272"/>
    </row>
    <row r="391" spans="1:14" s="3" customFormat="1" ht="12.2" customHeight="1" x14ac:dyDescent="0.15">
      <c r="A391" s="79" t="s">
        <v>552</v>
      </c>
      <c r="B391" s="2" t="s">
        <v>379</v>
      </c>
      <c r="C391" s="6">
        <v>5</v>
      </c>
      <c r="D391" s="2" t="s">
        <v>430</v>
      </c>
      <c r="E391" s="6"/>
      <c r="F391" s="18"/>
      <c r="G391" s="18"/>
      <c r="H391" s="18"/>
      <c r="I391" s="18"/>
      <c r="J391" s="24" t="s">
        <v>286</v>
      </c>
      <c r="K391" s="24" t="s">
        <v>286</v>
      </c>
      <c r="L391" s="56">
        <f t="shared" si="25"/>
        <v>0</v>
      </c>
      <c r="M391" s="8"/>
      <c r="N391" s="272"/>
    </row>
    <row r="392" spans="1:14" s="3" customFormat="1" ht="12.2" customHeight="1" thickBot="1" x14ac:dyDescent="0.2">
      <c r="A392" s="79" t="s">
        <v>553</v>
      </c>
      <c r="B392" s="2" t="s">
        <v>379</v>
      </c>
      <c r="C392" s="6">
        <v>6</v>
      </c>
      <c r="D392" s="2" t="s">
        <v>430</v>
      </c>
      <c r="E392" s="6"/>
      <c r="F392" s="18"/>
      <c r="G392" s="18"/>
      <c r="H392" s="18">
        <v>7.06</v>
      </c>
      <c r="I392" s="18"/>
      <c r="J392" s="24" t="s">
        <v>286</v>
      </c>
      <c r="K392" s="24" t="s">
        <v>286</v>
      </c>
      <c r="L392" s="56">
        <f t="shared" si="25"/>
        <v>7.06</v>
      </c>
      <c r="M392" s="8"/>
      <c r="N392" s="272"/>
    </row>
    <row r="393" spans="1:14" s="3" customFormat="1" ht="12.2" customHeight="1" thickTop="1" x14ac:dyDescent="0.15">
      <c r="A393" s="160" t="s">
        <v>469</v>
      </c>
      <c r="B393" s="2" t="s">
        <v>379</v>
      </c>
      <c r="C393" s="6">
        <v>7</v>
      </c>
      <c r="D393" s="2" t="s">
        <v>430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7.06</v>
      </c>
      <c r="I393" s="65">
        <f>SUM(I387:I392)</f>
        <v>0</v>
      </c>
      <c r="J393" s="45" t="s">
        <v>286</v>
      </c>
      <c r="K393" s="45" t="s">
        <v>286</v>
      </c>
      <c r="L393" s="47">
        <f>SUM(L387:L392)</f>
        <v>7.06</v>
      </c>
      <c r="M393" s="8"/>
      <c r="N393" s="272"/>
    </row>
    <row r="394" spans="1:14" s="3" customFormat="1" ht="12.2" customHeight="1" x14ac:dyDescent="0.15">
      <c r="A394" s="78" t="s">
        <v>380</v>
      </c>
      <c r="B394" s="2"/>
      <c r="C394" s="6"/>
      <c r="D394" s="6"/>
      <c r="F394" s="24" t="s">
        <v>286</v>
      </c>
      <c r="G394" s="24" t="s">
        <v>286</v>
      </c>
      <c r="H394" s="24" t="s">
        <v>286</v>
      </c>
      <c r="I394" s="24" t="s">
        <v>286</v>
      </c>
      <c r="J394" s="24" t="s">
        <v>286</v>
      </c>
      <c r="K394" s="24" t="s">
        <v>286</v>
      </c>
      <c r="L394" s="24" t="s">
        <v>286</v>
      </c>
      <c r="M394" s="8"/>
      <c r="N394" s="272"/>
    </row>
    <row r="395" spans="1:14" s="3" customFormat="1" ht="12.2" customHeight="1" x14ac:dyDescent="0.15">
      <c r="A395" s="79" t="s">
        <v>554</v>
      </c>
      <c r="B395" s="2" t="s">
        <v>379</v>
      </c>
      <c r="C395" s="6">
        <v>8</v>
      </c>
      <c r="D395" s="2" t="s">
        <v>430</v>
      </c>
      <c r="E395" s="6"/>
      <c r="F395" s="18"/>
      <c r="G395" s="18"/>
      <c r="H395" s="18"/>
      <c r="I395" s="18"/>
      <c r="J395" s="24" t="s">
        <v>286</v>
      </c>
      <c r="K395" s="24" t="s">
        <v>286</v>
      </c>
      <c r="L395" s="56">
        <f t="shared" ref="L395:L400" si="26">SUM(F395:K395)</f>
        <v>0</v>
      </c>
      <c r="M395" s="8"/>
      <c r="N395" s="272"/>
    </row>
    <row r="396" spans="1:14" s="3" customFormat="1" ht="12.2" customHeight="1" x14ac:dyDescent="0.15">
      <c r="A396" s="79" t="s">
        <v>555</v>
      </c>
      <c r="B396" s="2" t="s">
        <v>379</v>
      </c>
      <c r="C396" s="6">
        <v>9</v>
      </c>
      <c r="D396" s="2" t="s">
        <v>430</v>
      </c>
      <c r="E396" s="6"/>
      <c r="F396" s="18"/>
      <c r="G396" s="4"/>
      <c r="H396" s="18">
        <v>100.79</v>
      </c>
      <c r="I396" s="18"/>
      <c r="J396" s="24" t="s">
        <v>286</v>
      </c>
      <c r="K396" s="24" t="s">
        <v>286</v>
      </c>
      <c r="L396" s="56">
        <f t="shared" si="26"/>
        <v>100.79</v>
      </c>
      <c r="M396" s="8"/>
      <c r="N396" s="272"/>
    </row>
    <row r="397" spans="1:14" s="3" customFormat="1" ht="12.2" customHeight="1" x14ac:dyDescent="0.15">
      <c r="A397" s="79" t="s">
        <v>513</v>
      </c>
      <c r="B397" s="2" t="s">
        <v>379</v>
      </c>
      <c r="C397" s="6">
        <v>10</v>
      </c>
      <c r="D397" s="2" t="s">
        <v>430</v>
      </c>
      <c r="E397" s="6"/>
      <c r="F397" s="18"/>
      <c r="G397" s="18">
        <v>100000</v>
      </c>
      <c r="H397" s="18">
        <v>7.15</v>
      </c>
      <c r="I397" s="18"/>
      <c r="J397" s="24" t="s">
        <v>286</v>
      </c>
      <c r="K397" s="24" t="s">
        <v>286</v>
      </c>
      <c r="L397" s="56">
        <f t="shared" si="26"/>
        <v>100007.15</v>
      </c>
      <c r="M397" s="8"/>
      <c r="N397" s="272"/>
    </row>
    <row r="398" spans="1:14" s="3" customFormat="1" ht="12.2" customHeight="1" x14ac:dyDescent="0.15">
      <c r="A398" s="79" t="s">
        <v>556</v>
      </c>
      <c r="B398" s="2" t="s">
        <v>379</v>
      </c>
      <c r="C398" s="6">
        <v>11</v>
      </c>
      <c r="D398" s="2" t="s">
        <v>430</v>
      </c>
      <c r="E398" s="6"/>
      <c r="F398" s="18"/>
      <c r="G398" s="18"/>
      <c r="H398" s="18"/>
      <c r="I398" s="18"/>
      <c r="J398" s="24" t="s">
        <v>286</v>
      </c>
      <c r="K398" s="24" t="s">
        <v>286</v>
      </c>
      <c r="L398" s="56">
        <f t="shared" si="26"/>
        <v>0</v>
      </c>
      <c r="M398" s="8"/>
      <c r="N398" s="272"/>
    </row>
    <row r="399" spans="1:14" s="3" customFormat="1" ht="12.2" customHeight="1" x14ac:dyDescent="0.15">
      <c r="A399" s="79" t="s">
        <v>557</v>
      </c>
      <c r="B399" s="2" t="s">
        <v>379</v>
      </c>
      <c r="C399" s="6">
        <v>12</v>
      </c>
      <c r="D399" s="2" t="s">
        <v>430</v>
      </c>
      <c r="E399" s="6"/>
      <c r="F399" s="18"/>
      <c r="G399" s="18"/>
      <c r="H399" s="18"/>
      <c r="I399" s="18"/>
      <c r="J399" s="24" t="s">
        <v>286</v>
      </c>
      <c r="K399" s="24" t="s">
        <v>286</v>
      </c>
      <c r="L399" s="56">
        <f t="shared" si="26"/>
        <v>0</v>
      </c>
      <c r="M399" s="8"/>
      <c r="N399" s="272"/>
    </row>
    <row r="400" spans="1:14" s="3" customFormat="1" ht="12.2" customHeight="1" thickBot="1" x14ac:dyDescent="0.2">
      <c r="A400" s="79" t="s">
        <v>508</v>
      </c>
      <c r="B400" s="2" t="s">
        <v>379</v>
      </c>
      <c r="C400" s="6">
        <v>13</v>
      </c>
      <c r="D400" s="2" t="s">
        <v>430</v>
      </c>
      <c r="E400" s="6"/>
      <c r="F400" s="18"/>
      <c r="G400" s="18"/>
      <c r="H400" s="18"/>
      <c r="I400" s="18"/>
      <c r="J400" s="24" t="s">
        <v>286</v>
      </c>
      <c r="K400" s="24" t="s">
        <v>286</v>
      </c>
      <c r="L400" s="56">
        <f t="shared" si="26"/>
        <v>0</v>
      </c>
      <c r="M400" s="8"/>
      <c r="N400" s="272"/>
    </row>
    <row r="401" spans="1:35" s="3" customFormat="1" ht="12.2" customHeight="1" thickTop="1" x14ac:dyDescent="0.15">
      <c r="A401" s="160" t="s">
        <v>468</v>
      </c>
      <c r="B401" s="2" t="s">
        <v>379</v>
      </c>
      <c r="C401" s="6">
        <v>14</v>
      </c>
      <c r="D401" s="2" t="s">
        <v>430</v>
      </c>
      <c r="E401" s="40">
        <v>5252</v>
      </c>
      <c r="F401" s="47">
        <f>SUM(F395:F400)</f>
        <v>0</v>
      </c>
      <c r="G401" s="47">
        <f>SUM(G395:G400)</f>
        <v>100000</v>
      </c>
      <c r="H401" s="47">
        <f>SUM(H395:H400)</f>
        <v>107.94000000000001</v>
      </c>
      <c r="I401" s="47">
        <f>SUM(I395:I400)</f>
        <v>0</v>
      </c>
      <c r="J401" s="45" t="s">
        <v>286</v>
      </c>
      <c r="K401" s="45" t="s">
        <v>286</v>
      </c>
      <c r="L401" s="47">
        <f>SUM(L395:L400)</f>
        <v>100107.93999999999</v>
      </c>
      <c r="M401" s="8"/>
      <c r="N401" s="272"/>
    </row>
    <row r="402" spans="1:35" s="3" customFormat="1" ht="12.2" customHeight="1" x14ac:dyDescent="0.15">
      <c r="A402" s="78" t="s">
        <v>381</v>
      </c>
      <c r="B402" s="2"/>
      <c r="C402" s="2"/>
      <c r="D402" s="2"/>
      <c r="F402" s="24" t="s">
        <v>286</v>
      </c>
      <c r="G402" s="24" t="s">
        <v>286</v>
      </c>
      <c r="H402" s="24" t="s">
        <v>286</v>
      </c>
      <c r="I402" s="24" t="s">
        <v>286</v>
      </c>
      <c r="J402" s="24" t="s">
        <v>286</v>
      </c>
      <c r="K402" s="24" t="s">
        <v>286</v>
      </c>
      <c r="L402" s="24" t="s">
        <v>286</v>
      </c>
      <c r="M402" s="8"/>
      <c r="N402" s="272"/>
    </row>
    <row r="403" spans="1:35" s="3" customFormat="1" ht="12.2" customHeight="1" x14ac:dyDescent="0.15">
      <c r="A403" s="110"/>
      <c r="B403" s="2" t="s">
        <v>379</v>
      </c>
      <c r="C403" s="6">
        <v>15</v>
      </c>
      <c r="D403" s="2" t="s">
        <v>430</v>
      </c>
      <c r="E403" s="6"/>
      <c r="F403" s="18"/>
      <c r="G403" s="18"/>
      <c r="H403" s="18"/>
      <c r="I403" s="18"/>
      <c r="J403" s="24" t="s">
        <v>286</v>
      </c>
      <c r="K403" s="24" t="s">
        <v>286</v>
      </c>
      <c r="L403" s="56">
        <f>SUM(F403:K403)</f>
        <v>0</v>
      </c>
      <c r="M403" s="8"/>
      <c r="N403" s="272"/>
    </row>
    <row r="404" spans="1:35" s="3" customFormat="1" ht="12.2" customHeight="1" x14ac:dyDescent="0.15">
      <c r="A404" s="110"/>
      <c r="B404" s="2" t="s">
        <v>379</v>
      </c>
      <c r="C404" s="6">
        <v>16</v>
      </c>
      <c r="D404" s="2" t="s">
        <v>430</v>
      </c>
      <c r="E404" s="6"/>
      <c r="F404" s="18"/>
      <c r="G404" s="18"/>
      <c r="H404" s="18"/>
      <c r="I404" s="18"/>
      <c r="J404" s="24" t="s">
        <v>286</v>
      </c>
      <c r="K404" s="24" t="s">
        <v>286</v>
      </c>
      <c r="L404" s="56">
        <f>SUM(F404:K404)</f>
        <v>0</v>
      </c>
      <c r="M404" s="8"/>
      <c r="N404" s="272"/>
    </row>
    <row r="405" spans="1:35" s="3" customFormat="1" ht="12.2" customHeight="1" x14ac:dyDescent="0.15">
      <c r="A405" s="110"/>
      <c r="B405" s="2" t="s">
        <v>379</v>
      </c>
      <c r="C405" s="6">
        <v>17</v>
      </c>
      <c r="D405" s="2" t="s">
        <v>430</v>
      </c>
      <c r="E405" s="6"/>
      <c r="F405" s="18"/>
      <c r="G405" s="18"/>
      <c r="H405" s="18"/>
      <c r="I405" s="18"/>
      <c r="J405" s="24" t="s">
        <v>286</v>
      </c>
      <c r="K405" s="24" t="s">
        <v>286</v>
      </c>
      <c r="L405" s="56">
        <f>SUM(F405:K405)</f>
        <v>0</v>
      </c>
      <c r="M405" s="8"/>
      <c r="N405" s="272"/>
    </row>
    <row r="406" spans="1:35" s="3" customFormat="1" ht="12.2" customHeight="1" thickBot="1" x14ac:dyDescent="0.2">
      <c r="A406" s="110"/>
      <c r="B406" s="2" t="s">
        <v>379</v>
      </c>
      <c r="C406" s="6">
        <v>18</v>
      </c>
      <c r="D406" s="2" t="s">
        <v>430</v>
      </c>
      <c r="E406" s="6"/>
      <c r="F406" s="18"/>
      <c r="G406" s="18"/>
      <c r="H406" s="18"/>
      <c r="I406" s="18"/>
      <c r="J406" s="24" t="s">
        <v>286</v>
      </c>
      <c r="K406" s="24" t="s">
        <v>286</v>
      </c>
      <c r="L406" s="56">
        <f>SUM(F406:K406)</f>
        <v>0</v>
      </c>
      <c r="M406" s="8"/>
      <c r="N406" s="272"/>
    </row>
    <row r="407" spans="1:35" s="3" customFormat="1" ht="12.2" customHeight="1" thickTop="1" thickBot="1" x14ac:dyDescent="0.2">
      <c r="A407" s="160" t="s">
        <v>470</v>
      </c>
      <c r="B407" s="2" t="s">
        <v>379</v>
      </c>
      <c r="C407" s="6">
        <v>19</v>
      </c>
      <c r="D407" s="2" t="s">
        <v>430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286</v>
      </c>
      <c r="K407" s="49" t="s">
        <v>286</v>
      </c>
      <c r="L407" s="47">
        <f>SUM(L403:L406)</f>
        <v>0</v>
      </c>
      <c r="M407" s="8"/>
      <c r="N407" s="272"/>
    </row>
    <row r="408" spans="1:35" s="3" customFormat="1" ht="12.2" customHeight="1" thickTop="1" x14ac:dyDescent="0.15">
      <c r="A408" s="78" t="s">
        <v>419</v>
      </c>
      <c r="B408" s="2" t="s">
        <v>379</v>
      </c>
      <c r="C408" s="6">
        <v>20</v>
      </c>
      <c r="D408" s="6"/>
      <c r="E408" s="40"/>
      <c r="F408" s="47">
        <f>F393+F401+F407</f>
        <v>0</v>
      </c>
      <c r="G408" s="47">
        <f>G393+G401+G407</f>
        <v>100000</v>
      </c>
      <c r="H408" s="47">
        <f>H393+H401+H407</f>
        <v>115.00000000000001</v>
      </c>
      <c r="I408" s="47">
        <f>I393+I401+I407</f>
        <v>0</v>
      </c>
      <c r="J408" s="24" t="s">
        <v>286</v>
      </c>
      <c r="K408" s="24" t="s">
        <v>286</v>
      </c>
      <c r="L408" s="47">
        <f>L393+L401+L407</f>
        <v>100114.99999999999</v>
      </c>
      <c r="M408" s="8"/>
      <c r="N408" s="272"/>
    </row>
    <row r="409" spans="1:35" s="3" customFormat="1" ht="12.2" customHeight="1" x14ac:dyDescent="0.15">
      <c r="A409" s="78"/>
      <c r="B409" s="2"/>
      <c r="C409" s="6"/>
      <c r="D409" s="6"/>
      <c r="E409" s="6"/>
      <c r="F409" s="177" t="s">
        <v>687</v>
      </c>
      <c r="G409" s="177" t="s">
        <v>688</v>
      </c>
      <c r="H409" s="177" t="s">
        <v>689</v>
      </c>
      <c r="I409" s="177" t="s">
        <v>690</v>
      </c>
      <c r="J409" s="177" t="s">
        <v>691</v>
      </c>
      <c r="K409" s="177" t="s">
        <v>692</v>
      </c>
      <c r="L409" s="56"/>
      <c r="M409" s="8"/>
      <c r="N409" s="272"/>
    </row>
    <row r="410" spans="1:35" s="3" customFormat="1" ht="12.2" customHeight="1" x14ac:dyDescent="0.15">
      <c r="A410" s="26" t="s">
        <v>480</v>
      </c>
      <c r="B410" s="76"/>
      <c r="C410" s="76"/>
      <c r="D410" s="76"/>
      <c r="E410" s="76"/>
      <c r="F410" s="66"/>
      <c r="G410" s="16" t="s">
        <v>382</v>
      </c>
      <c r="H410" s="16" t="s">
        <v>383</v>
      </c>
      <c r="I410" s="67"/>
      <c r="J410" s="56"/>
      <c r="K410" s="56"/>
      <c r="L410" s="56"/>
      <c r="M410" s="8"/>
      <c r="N410" s="272"/>
    </row>
    <row r="411" spans="1:35" s="3" customFormat="1" ht="12.2" customHeight="1" x14ac:dyDescent="0.15">
      <c r="A411" s="26" t="s">
        <v>482</v>
      </c>
      <c r="B411" s="2"/>
      <c r="C411" s="2"/>
      <c r="D411" s="2"/>
      <c r="E411" s="2"/>
      <c r="F411" s="16" t="s">
        <v>334</v>
      </c>
      <c r="G411" s="16" t="s">
        <v>335</v>
      </c>
      <c r="H411" s="16" t="s">
        <v>384</v>
      </c>
      <c r="I411" s="16" t="s">
        <v>336</v>
      </c>
      <c r="J411" s="56" t="s">
        <v>337</v>
      </c>
      <c r="K411" s="56" t="s">
        <v>354</v>
      </c>
      <c r="L411" s="77" t="s">
        <v>338</v>
      </c>
      <c r="M411" s="8"/>
      <c r="N411" s="272"/>
    </row>
    <row r="412" spans="1:35" s="3" customFormat="1" ht="12.2" customHeight="1" x14ac:dyDescent="0.15">
      <c r="A412" s="26" t="s">
        <v>374</v>
      </c>
      <c r="B412" s="2"/>
      <c r="C412" s="2"/>
      <c r="D412" s="2"/>
      <c r="F412" s="24" t="s">
        <v>286</v>
      </c>
      <c r="G412" s="24" t="s">
        <v>286</v>
      </c>
      <c r="H412" s="24" t="s">
        <v>286</v>
      </c>
      <c r="I412" s="24" t="s">
        <v>286</v>
      </c>
      <c r="J412" s="24" t="s">
        <v>286</v>
      </c>
      <c r="K412" s="24" t="s">
        <v>286</v>
      </c>
      <c r="L412" s="24" t="s">
        <v>286</v>
      </c>
      <c r="M412" s="8"/>
      <c r="N412" s="272"/>
    </row>
    <row r="413" spans="1:35" s="3" customFormat="1" ht="12.2" customHeight="1" x14ac:dyDescent="0.15">
      <c r="A413" s="79" t="s">
        <v>548</v>
      </c>
      <c r="B413" s="6">
        <v>17</v>
      </c>
      <c r="C413" s="6">
        <v>1</v>
      </c>
      <c r="D413" s="2" t="s">
        <v>430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35" s="12" customFormat="1" ht="12.2" customHeight="1" thickBot="1" x14ac:dyDescent="0.25">
      <c r="A414" s="79" t="s">
        <v>549</v>
      </c>
      <c r="B414" s="6">
        <v>17</v>
      </c>
      <c r="C414" s="6">
        <v>2</v>
      </c>
      <c r="D414" s="2" t="s">
        <v>430</v>
      </c>
      <c r="E414" s="6"/>
      <c r="F414" s="18"/>
      <c r="G414" s="18"/>
      <c r="H414" s="275"/>
      <c r="I414" s="18"/>
      <c r="J414" s="18"/>
      <c r="K414" s="18">
        <v>1290000</v>
      </c>
      <c r="L414" s="56">
        <f>SUM(F414:K414)</f>
        <v>1290000</v>
      </c>
      <c r="M414" s="52"/>
      <c r="N414" s="271"/>
      <c r="O414" s="52"/>
      <c r="P414" s="52"/>
      <c r="Q414" s="52"/>
      <c r="R414" s="52"/>
      <c r="S414" s="52"/>
      <c r="T414" s="52"/>
      <c r="U414" s="52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</row>
    <row r="415" spans="1:35" s="3" customFormat="1" ht="12.2" customHeight="1" x14ac:dyDescent="0.15">
      <c r="A415" s="79" t="s">
        <v>550</v>
      </c>
      <c r="B415" s="6">
        <v>17</v>
      </c>
      <c r="C415" s="6">
        <v>3</v>
      </c>
      <c r="D415" s="2" t="s">
        <v>430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35" s="3" customFormat="1" ht="12.2" customHeight="1" x14ac:dyDescent="0.15">
      <c r="A416" s="79" t="s">
        <v>551</v>
      </c>
      <c r="B416" s="6">
        <v>17</v>
      </c>
      <c r="C416" s="6">
        <v>4</v>
      </c>
      <c r="D416" s="2" t="s">
        <v>430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35" s="3" customFormat="1" ht="12.2" customHeight="1" x14ac:dyDescent="0.15">
      <c r="A417" s="79" t="s">
        <v>552</v>
      </c>
      <c r="B417" s="6">
        <v>17</v>
      </c>
      <c r="C417" s="6">
        <v>5</v>
      </c>
      <c r="D417" s="2" t="s">
        <v>430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35" s="3" customFormat="1" ht="12.2" customHeight="1" thickBot="1" x14ac:dyDescent="0.2">
      <c r="A418" s="79" t="s">
        <v>553</v>
      </c>
      <c r="B418" s="6">
        <v>17</v>
      </c>
      <c r="C418" s="6">
        <v>6</v>
      </c>
      <c r="D418" s="2" t="s">
        <v>430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35" s="3" customFormat="1" ht="12.2" customHeight="1" thickTop="1" x14ac:dyDescent="0.15">
      <c r="A419" s="160" t="s">
        <v>469</v>
      </c>
      <c r="B419" s="6">
        <v>17</v>
      </c>
      <c r="C419" s="6">
        <v>7</v>
      </c>
      <c r="D419" s="2" t="s">
        <v>430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1290000</v>
      </c>
      <c r="L419" s="47">
        <f t="shared" si="28"/>
        <v>1290000</v>
      </c>
      <c r="M419" s="8"/>
      <c r="N419" s="272"/>
    </row>
    <row r="420" spans="1:35" s="3" customFormat="1" ht="12.2" customHeight="1" x14ac:dyDescent="0.15">
      <c r="A420" s="78" t="s">
        <v>380</v>
      </c>
      <c r="B420" s="2"/>
      <c r="C420" s="6"/>
      <c r="D420" s="6"/>
      <c r="F420" s="24" t="s">
        <v>286</v>
      </c>
      <c r="G420" s="24" t="s">
        <v>286</v>
      </c>
      <c r="H420" s="24" t="s">
        <v>286</v>
      </c>
      <c r="I420" s="24" t="s">
        <v>286</v>
      </c>
      <c r="J420" s="24" t="s">
        <v>286</v>
      </c>
      <c r="K420" s="24" t="s">
        <v>286</v>
      </c>
      <c r="L420" s="24" t="s">
        <v>286</v>
      </c>
      <c r="M420" s="8"/>
      <c r="N420" s="272"/>
    </row>
    <row r="421" spans="1:35" s="3" customFormat="1" ht="12.2" customHeight="1" x14ac:dyDescent="0.15">
      <c r="A421" s="79" t="s">
        <v>554</v>
      </c>
      <c r="B421" s="6">
        <v>17</v>
      </c>
      <c r="C421" s="6">
        <v>8</v>
      </c>
      <c r="D421" s="2" t="s">
        <v>430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35" s="3" customFormat="1" ht="12.2" customHeight="1" x14ac:dyDescent="0.15">
      <c r="A422" s="79" t="s">
        <v>555</v>
      </c>
      <c r="B422" s="6">
        <v>17</v>
      </c>
      <c r="C422" s="6">
        <v>9</v>
      </c>
      <c r="D422" s="2" t="s">
        <v>430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35" s="3" customFormat="1" ht="12.2" customHeight="1" x14ac:dyDescent="0.15">
      <c r="A423" s="79" t="s">
        <v>513</v>
      </c>
      <c r="B423" s="6">
        <v>17</v>
      </c>
      <c r="C423" s="6">
        <v>10</v>
      </c>
      <c r="D423" s="2" t="s">
        <v>430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35" s="3" customFormat="1" ht="12.2" customHeight="1" x14ac:dyDescent="0.15">
      <c r="A424" s="79" t="s">
        <v>556</v>
      </c>
      <c r="B424" s="6">
        <v>17</v>
      </c>
      <c r="C424" s="6">
        <v>11</v>
      </c>
      <c r="D424" s="2" t="s">
        <v>430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35" s="3" customFormat="1" ht="12.2" customHeight="1" x14ac:dyDescent="0.15">
      <c r="A425" s="79" t="s">
        <v>557</v>
      </c>
      <c r="B425" s="6">
        <v>17</v>
      </c>
      <c r="C425" s="6">
        <v>12</v>
      </c>
      <c r="D425" s="2" t="s">
        <v>430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35" s="3" customFormat="1" ht="12.2" customHeight="1" thickBot="1" x14ac:dyDescent="0.2">
      <c r="A426" s="79" t="s">
        <v>508</v>
      </c>
      <c r="B426" s="6">
        <v>17</v>
      </c>
      <c r="C426" s="6">
        <v>13</v>
      </c>
      <c r="D426" s="2" t="s">
        <v>430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35" s="3" customFormat="1" ht="12.2" customHeight="1" thickTop="1" x14ac:dyDescent="0.15">
      <c r="A427" s="160" t="s">
        <v>468</v>
      </c>
      <c r="B427" s="6">
        <v>17</v>
      </c>
      <c r="C427" s="6">
        <v>14</v>
      </c>
      <c r="D427" s="2" t="s">
        <v>430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2"/>
    </row>
    <row r="428" spans="1:35" s="11" customFormat="1" ht="12.2" customHeight="1" x14ac:dyDescent="0.15">
      <c r="A428" s="78" t="s">
        <v>381</v>
      </c>
      <c r="B428" s="2"/>
      <c r="C428" s="2"/>
      <c r="D428" s="2"/>
      <c r="E428" s="3"/>
      <c r="F428" s="24" t="s">
        <v>286</v>
      </c>
      <c r="G428" s="24" t="s">
        <v>286</v>
      </c>
      <c r="H428" s="24" t="s">
        <v>286</v>
      </c>
      <c r="I428" s="24" t="s">
        <v>286</v>
      </c>
      <c r="J428" s="24" t="s">
        <v>286</v>
      </c>
      <c r="K428" s="24" t="s">
        <v>286</v>
      </c>
      <c r="L428" s="24" t="s">
        <v>286</v>
      </c>
      <c r="M428" s="68"/>
      <c r="N428" s="227"/>
      <c r="O428" s="58"/>
      <c r="P428" s="58"/>
      <c r="Q428" s="58"/>
      <c r="R428" s="58"/>
      <c r="S428" s="58"/>
      <c r="T428" s="58"/>
      <c r="U428" s="58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</row>
    <row r="429" spans="1:35" s="58" customFormat="1" ht="12.2" customHeight="1" x14ac:dyDescent="0.15">
      <c r="A429" s="110"/>
      <c r="B429" s="6">
        <v>17</v>
      </c>
      <c r="C429" s="6">
        <v>15</v>
      </c>
      <c r="D429" s="2" t="s">
        <v>430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</row>
    <row r="430" spans="1:35" s="58" customFormat="1" ht="12.2" customHeight="1" x14ac:dyDescent="0.15">
      <c r="A430" s="110"/>
      <c r="B430" s="6">
        <v>17</v>
      </c>
      <c r="C430" s="6">
        <v>16</v>
      </c>
      <c r="D430" s="2" t="s">
        <v>430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</row>
    <row r="431" spans="1:35" ht="12.2" customHeight="1" x14ac:dyDescent="0.2">
      <c r="A431" s="110"/>
      <c r="B431" s="6">
        <v>17</v>
      </c>
      <c r="C431" s="6">
        <v>17</v>
      </c>
      <c r="D431" s="2" t="s">
        <v>430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</row>
    <row r="432" spans="1:35" s="3" customFormat="1" ht="12.2" customHeight="1" thickBot="1" x14ac:dyDescent="0.2">
      <c r="A432" s="110"/>
      <c r="B432" s="6">
        <v>17</v>
      </c>
      <c r="C432" s="6">
        <v>18</v>
      </c>
      <c r="D432" s="2" t="s">
        <v>430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.2" customHeight="1" thickTop="1" thickBot="1" x14ac:dyDescent="0.2">
      <c r="A433" s="160" t="s">
        <v>470</v>
      </c>
      <c r="B433" s="6">
        <v>17</v>
      </c>
      <c r="C433" s="6">
        <v>19</v>
      </c>
      <c r="D433" s="2" t="s">
        <v>430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.2" customHeight="1" thickTop="1" x14ac:dyDescent="0.15">
      <c r="A434" s="78" t="s">
        <v>420</v>
      </c>
      <c r="B434" s="6">
        <v>17</v>
      </c>
      <c r="C434" s="6">
        <v>20</v>
      </c>
      <c r="D434" s="2" t="s">
        <v>430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1290000</v>
      </c>
      <c r="L434" s="47">
        <f t="shared" si="32"/>
        <v>1290000</v>
      </c>
      <c r="M434" s="8"/>
      <c r="N434" s="272"/>
    </row>
    <row r="435" spans="1:14" s="3" customFormat="1" ht="12.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.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.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.2" customHeight="1" x14ac:dyDescent="0.15">
      <c r="A438" s="34" t="s">
        <v>6</v>
      </c>
      <c r="B438" s="23"/>
      <c r="C438" s="23"/>
      <c r="D438" s="23"/>
      <c r="E438" s="23"/>
      <c r="F438" s="24" t="s">
        <v>286</v>
      </c>
      <c r="G438" s="24" t="s">
        <v>286</v>
      </c>
      <c r="H438" s="24" t="s">
        <v>286</v>
      </c>
      <c r="I438" s="24" t="s">
        <v>286</v>
      </c>
      <c r="J438" s="24" t="s">
        <v>286</v>
      </c>
      <c r="K438" s="24" t="s">
        <v>286</v>
      </c>
      <c r="L438" s="24" t="s">
        <v>286</v>
      </c>
      <c r="M438" s="8"/>
      <c r="N438" s="272"/>
    </row>
    <row r="439" spans="1:14" s="3" customFormat="1" ht="12.2" customHeight="1" x14ac:dyDescent="0.15">
      <c r="A439" s="3" t="s">
        <v>559</v>
      </c>
      <c r="B439" s="23">
        <v>18</v>
      </c>
      <c r="C439" s="6">
        <v>1</v>
      </c>
      <c r="D439" s="2" t="s">
        <v>430</v>
      </c>
      <c r="E439" s="6">
        <v>100</v>
      </c>
      <c r="F439" s="18">
        <v>71048.13</v>
      </c>
      <c r="G439" s="18">
        <v>933000.87</v>
      </c>
      <c r="H439" s="18"/>
      <c r="I439" s="56">
        <f t="shared" ref="I439:I445" si="33">SUM(F439:H439)</f>
        <v>1004049</v>
      </c>
      <c r="J439" s="24" t="s">
        <v>286</v>
      </c>
      <c r="K439" s="24" t="s">
        <v>286</v>
      </c>
      <c r="L439" s="24" t="s">
        <v>286</v>
      </c>
      <c r="M439" s="8"/>
      <c r="N439" s="272"/>
    </row>
    <row r="440" spans="1:14" s="3" customFormat="1" ht="12.2" customHeight="1" x14ac:dyDescent="0.15">
      <c r="A440" s="69" t="s">
        <v>560</v>
      </c>
      <c r="B440" s="23">
        <v>18</v>
      </c>
      <c r="C440" s="6">
        <v>2</v>
      </c>
      <c r="D440" s="2" t="s">
        <v>430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286</v>
      </c>
      <c r="K440" s="24" t="s">
        <v>286</v>
      </c>
      <c r="L440" s="24" t="s">
        <v>286</v>
      </c>
      <c r="M440" s="8"/>
      <c r="N440" s="272"/>
    </row>
    <row r="441" spans="1:14" s="3" customFormat="1" ht="12.2" customHeight="1" x14ac:dyDescent="0.15">
      <c r="A441" s="69" t="s">
        <v>601</v>
      </c>
      <c r="B441" s="23">
        <v>18</v>
      </c>
      <c r="C441" s="6">
        <v>3</v>
      </c>
      <c r="D441" s="2" t="s">
        <v>430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286</v>
      </c>
      <c r="K441" s="24" t="s">
        <v>286</v>
      </c>
      <c r="L441" s="24" t="s">
        <v>286</v>
      </c>
      <c r="M441" s="8"/>
      <c r="N441" s="272"/>
    </row>
    <row r="442" spans="1:14" s="3" customFormat="1" ht="12.2" customHeight="1" x14ac:dyDescent="0.15">
      <c r="A442" s="69" t="s">
        <v>602</v>
      </c>
      <c r="B442" s="23">
        <v>18</v>
      </c>
      <c r="C442" s="6">
        <v>4</v>
      </c>
      <c r="D442" s="2" t="s">
        <v>430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286</v>
      </c>
      <c r="K442" s="24" t="s">
        <v>286</v>
      </c>
      <c r="L442" s="24" t="s">
        <v>286</v>
      </c>
      <c r="M442" s="8"/>
      <c r="N442" s="272"/>
    </row>
    <row r="443" spans="1:14" s="3" customFormat="1" ht="12.2" customHeight="1" x14ac:dyDescent="0.15">
      <c r="A443" s="69" t="s">
        <v>563</v>
      </c>
      <c r="B443" s="23">
        <v>18</v>
      </c>
      <c r="C443" s="6">
        <v>5</v>
      </c>
      <c r="D443" s="2" t="s">
        <v>430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286</v>
      </c>
      <c r="K443" s="24" t="s">
        <v>286</v>
      </c>
      <c r="L443" s="24" t="s">
        <v>286</v>
      </c>
      <c r="M443" s="8"/>
      <c r="N443" s="272"/>
    </row>
    <row r="444" spans="1:14" s="3" customFormat="1" ht="12.2" customHeight="1" x14ac:dyDescent="0.15">
      <c r="A444" s="69" t="s">
        <v>603</v>
      </c>
      <c r="B444" s="23">
        <v>18</v>
      </c>
      <c r="C444" s="6">
        <v>6</v>
      </c>
      <c r="D444" s="2" t="s">
        <v>430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286</v>
      </c>
      <c r="K444" s="24" t="s">
        <v>286</v>
      </c>
      <c r="L444" s="24" t="s">
        <v>286</v>
      </c>
      <c r="M444" s="8"/>
      <c r="N444" s="272"/>
    </row>
    <row r="445" spans="1:14" s="3" customFormat="1" ht="12.2" customHeight="1" x14ac:dyDescent="0.15">
      <c r="A445" s="69" t="s">
        <v>604</v>
      </c>
      <c r="B445" s="23">
        <v>18</v>
      </c>
      <c r="C445" s="6">
        <v>7</v>
      </c>
      <c r="D445" s="2" t="s">
        <v>430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286</v>
      </c>
      <c r="K445" s="24" t="s">
        <v>286</v>
      </c>
      <c r="L445" s="24" t="s">
        <v>286</v>
      </c>
      <c r="M445" s="8"/>
      <c r="N445" s="272"/>
    </row>
    <row r="446" spans="1:14" s="3" customFormat="1" ht="12.2" customHeight="1" thickBot="1" x14ac:dyDescent="0.2">
      <c r="A446" s="70" t="s">
        <v>402</v>
      </c>
      <c r="B446" s="23">
        <v>18</v>
      </c>
      <c r="C446" s="37">
        <v>8</v>
      </c>
      <c r="D446" s="2" t="s">
        <v>430</v>
      </c>
      <c r="E446" s="37"/>
      <c r="F446" s="13">
        <f>SUM(F439:F445)</f>
        <v>71048.13</v>
      </c>
      <c r="G446" s="13">
        <f>SUM(G439:G445)</f>
        <v>933000.87</v>
      </c>
      <c r="H446" s="13">
        <f>SUM(H439:H445)</f>
        <v>0</v>
      </c>
      <c r="I446" s="13">
        <f>SUM(I439:I445)</f>
        <v>1004049</v>
      </c>
      <c r="J446" s="24" t="s">
        <v>286</v>
      </c>
      <c r="K446" s="24" t="s">
        <v>286</v>
      </c>
      <c r="L446" s="24" t="s">
        <v>286</v>
      </c>
      <c r="M446" s="8"/>
      <c r="N446" s="272"/>
    </row>
    <row r="447" spans="1:14" s="3" customFormat="1" ht="12.2" customHeight="1" thickTop="1" x14ac:dyDescent="0.15">
      <c r="A447" s="38" t="s">
        <v>7</v>
      </c>
      <c r="B447" s="44"/>
      <c r="C447" s="40"/>
      <c r="D447" s="40"/>
      <c r="E447" s="40"/>
      <c r="F447" s="45" t="s">
        <v>286</v>
      </c>
      <c r="G447" s="45" t="s">
        <v>286</v>
      </c>
      <c r="H447" s="45" t="s">
        <v>286</v>
      </c>
      <c r="I447" s="45" t="s">
        <v>286</v>
      </c>
      <c r="J447" s="24" t="s">
        <v>286</v>
      </c>
      <c r="K447" s="24" t="s">
        <v>286</v>
      </c>
      <c r="L447" s="24" t="s">
        <v>286</v>
      </c>
      <c r="M447" s="8"/>
      <c r="N447" s="272"/>
    </row>
    <row r="448" spans="1:14" s="3" customFormat="1" ht="12.2" customHeight="1" x14ac:dyDescent="0.15">
      <c r="A448" s="69" t="s">
        <v>567</v>
      </c>
      <c r="B448" s="23">
        <v>18</v>
      </c>
      <c r="C448" s="6">
        <v>9</v>
      </c>
      <c r="D448" s="2" t="s">
        <v>430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286</v>
      </c>
      <c r="K448" s="24" t="s">
        <v>286</v>
      </c>
      <c r="L448" s="24" t="s">
        <v>286</v>
      </c>
      <c r="M448" s="8"/>
      <c r="N448" s="272"/>
    </row>
    <row r="449" spans="1:23" s="3" customFormat="1" ht="12.2" customHeight="1" x14ac:dyDescent="0.15">
      <c r="A449" s="69" t="s">
        <v>605</v>
      </c>
      <c r="B449" s="23">
        <v>18</v>
      </c>
      <c r="C449" s="6">
        <v>10</v>
      </c>
      <c r="D449" s="2" t="s">
        <v>430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286</v>
      </c>
      <c r="K449" s="24" t="s">
        <v>286</v>
      </c>
      <c r="L449" s="24" t="s">
        <v>286</v>
      </c>
      <c r="M449" s="8"/>
      <c r="N449" s="272"/>
    </row>
    <row r="450" spans="1:23" s="3" customFormat="1" ht="12.2" customHeight="1" x14ac:dyDescent="0.15">
      <c r="A450" s="69" t="s">
        <v>568</v>
      </c>
      <c r="B450" s="23">
        <v>18</v>
      </c>
      <c r="C450" s="6">
        <v>11</v>
      </c>
      <c r="D450" s="2" t="s">
        <v>430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286</v>
      </c>
      <c r="K450" s="24" t="s">
        <v>286</v>
      </c>
      <c r="L450" s="24" t="s">
        <v>286</v>
      </c>
      <c r="M450" s="8"/>
      <c r="N450" s="272"/>
    </row>
    <row r="451" spans="1:23" s="3" customFormat="1" ht="12.2" customHeight="1" x14ac:dyDescent="0.15">
      <c r="A451" s="69" t="s">
        <v>606</v>
      </c>
      <c r="B451" s="23">
        <v>18</v>
      </c>
      <c r="C451" s="6">
        <v>12</v>
      </c>
      <c r="D451" s="2" t="s">
        <v>430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286</v>
      </c>
      <c r="K451" s="24" t="s">
        <v>286</v>
      </c>
      <c r="L451" s="24" t="s">
        <v>286</v>
      </c>
      <c r="M451" s="8"/>
      <c r="N451" s="272"/>
    </row>
    <row r="452" spans="1:23" s="3" customFormat="1" ht="12.2" customHeight="1" thickBot="1" x14ac:dyDescent="0.2">
      <c r="A452" s="74" t="s">
        <v>421</v>
      </c>
      <c r="B452" s="73">
        <v>18</v>
      </c>
      <c r="C452" s="71">
        <v>13</v>
      </c>
      <c r="D452" s="2" t="s">
        <v>430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286</v>
      </c>
      <c r="K452" s="24" t="s">
        <v>286</v>
      </c>
      <c r="L452" s="24" t="s">
        <v>286</v>
      </c>
      <c r="M452" s="8"/>
      <c r="N452" s="272"/>
    </row>
    <row r="453" spans="1:23" s="3" customFormat="1" ht="12.2" customHeight="1" thickTop="1" x14ac:dyDescent="0.15">
      <c r="A453" s="90" t="s">
        <v>8</v>
      </c>
      <c r="B453" s="36"/>
      <c r="C453" s="75"/>
      <c r="D453" s="75"/>
      <c r="E453" s="75"/>
      <c r="F453" s="24" t="s">
        <v>286</v>
      </c>
      <c r="G453" s="24" t="s">
        <v>286</v>
      </c>
      <c r="H453" s="24" t="s">
        <v>286</v>
      </c>
      <c r="I453" s="24" t="s">
        <v>286</v>
      </c>
      <c r="J453" s="24" t="s">
        <v>286</v>
      </c>
      <c r="K453" s="24" t="s">
        <v>286</v>
      </c>
      <c r="L453" s="24" t="s">
        <v>286</v>
      </c>
      <c r="M453" s="8"/>
      <c r="N453" s="272"/>
    </row>
    <row r="454" spans="1:23" s="3" customFormat="1" ht="12.2" customHeight="1" x14ac:dyDescent="0.15">
      <c r="A454" s="1" t="s">
        <v>868</v>
      </c>
      <c r="B454" s="23">
        <v>18</v>
      </c>
      <c r="C454" s="6">
        <v>14</v>
      </c>
      <c r="D454" s="2" t="s">
        <v>430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286</v>
      </c>
      <c r="K454" s="24" t="s">
        <v>286</v>
      </c>
      <c r="L454" s="24" t="s">
        <v>286</v>
      </c>
      <c r="M454" s="8"/>
      <c r="N454" s="272"/>
    </row>
    <row r="455" spans="1:23" s="3" customFormat="1" ht="12.2" customHeight="1" x14ac:dyDescent="0.15">
      <c r="A455" s="1" t="s">
        <v>861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.2" customHeight="1" x14ac:dyDescent="0.15">
      <c r="A456" s="1" t="s">
        <v>607</v>
      </c>
      <c r="B456" s="23">
        <v>18</v>
      </c>
      <c r="C456" s="6">
        <v>16</v>
      </c>
      <c r="D456" s="2" t="s">
        <v>430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286</v>
      </c>
      <c r="K456" s="24" t="s">
        <v>286</v>
      </c>
      <c r="L456" s="24" t="s">
        <v>286</v>
      </c>
      <c r="M456" s="8"/>
      <c r="N456" s="272"/>
    </row>
    <row r="457" spans="1:23" s="3" customFormat="1" ht="12.2" customHeight="1" x14ac:dyDescent="0.15">
      <c r="A457" s="1" t="s">
        <v>864</v>
      </c>
      <c r="B457" s="23">
        <v>18</v>
      </c>
      <c r="C457" s="6">
        <v>17</v>
      </c>
      <c r="D457" s="2" t="s">
        <v>430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286</v>
      </c>
      <c r="K457" s="24" t="s">
        <v>286</v>
      </c>
      <c r="L457" s="24" t="s">
        <v>286</v>
      </c>
      <c r="M457" s="68"/>
      <c r="N457" s="227"/>
      <c r="O457" s="58"/>
      <c r="P457" s="58"/>
    </row>
    <row r="458" spans="1:23" s="12" customFormat="1" ht="12.2" customHeight="1" thickBot="1" x14ac:dyDescent="0.25">
      <c r="A458" s="1" t="s">
        <v>865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.2" customHeight="1" thickBot="1" x14ac:dyDescent="0.25">
      <c r="A459" s="1" t="s">
        <v>577</v>
      </c>
      <c r="B459" s="23">
        <v>18</v>
      </c>
      <c r="C459" s="6">
        <v>19</v>
      </c>
      <c r="D459" s="2" t="s">
        <v>430</v>
      </c>
      <c r="E459" s="6">
        <v>760</v>
      </c>
      <c r="F459" s="18">
        <v>71048.13</v>
      </c>
      <c r="G459" s="18">
        <v>933000.87</v>
      </c>
      <c r="H459" s="18"/>
      <c r="I459" s="56">
        <f t="shared" si="34"/>
        <v>1004049</v>
      </c>
      <c r="J459" s="24" t="s">
        <v>286</v>
      </c>
      <c r="K459" s="24" t="s">
        <v>286</v>
      </c>
      <c r="L459" s="24" t="s">
        <v>286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.2" customHeight="1" thickTop="1" thickBot="1" x14ac:dyDescent="0.25">
      <c r="A460" s="50" t="s">
        <v>405</v>
      </c>
      <c r="B460" s="81">
        <v>18</v>
      </c>
      <c r="C460" s="51">
        <v>20</v>
      </c>
      <c r="D460" s="48" t="s">
        <v>430</v>
      </c>
      <c r="E460" s="51"/>
      <c r="F460" s="83">
        <f>SUM(F454:F459)</f>
        <v>71048.13</v>
      </c>
      <c r="G460" s="83">
        <f>SUM(G454:G459)</f>
        <v>933000.87</v>
      </c>
      <c r="H460" s="83">
        <f>SUM(H454:H459)</f>
        <v>0</v>
      </c>
      <c r="I460" s="83">
        <f>SUM(I454:I459)</f>
        <v>1004049</v>
      </c>
      <c r="J460" s="24" t="s">
        <v>286</v>
      </c>
      <c r="K460" s="24" t="s">
        <v>286</v>
      </c>
      <c r="L460" s="24" t="s">
        <v>286</v>
      </c>
      <c r="N460" s="271"/>
    </row>
    <row r="461" spans="1:23" s="52" customFormat="1" ht="12.2" customHeight="1" thickTop="1" x14ac:dyDescent="0.2">
      <c r="A461" s="91" t="s">
        <v>422</v>
      </c>
      <c r="B461" s="44">
        <v>18</v>
      </c>
      <c r="C461" s="82">
        <v>21</v>
      </c>
      <c r="D461" s="157" t="s">
        <v>430</v>
      </c>
      <c r="E461" s="82"/>
      <c r="F461" s="42">
        <f>F452+F460</f>
        <v>71048.13</v>
      </c>
      <c r="G461" s="42">
        <f>G452+G460</f>
        <v>933000.87</v>
      </c>
      <c r="H461" s="42">
        <f>H452+H460</f>
        <v>0</v>
      </c>
      <c r="I461" s="42">
        <f>I452+I460</f>
        <v>1004049</v>
      </c>
      <c r="J461" s="24" t="s">
        <v>286</v>
      </c>
      <c r="K461" s="24" t="s">
        <v>286</v>
      </c>
      <c r="L461" s="24" t="s">
        <v>286</v>
      </c>
      <c r="N461" s="271"/>
    </row>
    <row r="462" spans="1:23" s="52" customFormat="1" ht="12.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.2" customHeight="1" x14ac:dyDescent="0.2">
      <c r="A463" s="92" t="s">
        <v>9</v>
      </c>
      <c r="B463" s="75"/>
      <c r="C463" s="80"/>
      <c r="D463" s="80"/>
      <c r="E463" s="80"/>
      <c r="F463" s="23" t="s">
        <v>271</v>
      </c>
      <c r="G463" s="23" t="s">
        <v>272</v>
      </c>
      <c r="H463" s="23" t="s">
        <v>273</v>
      </c>
      <c r="I463" s="23" t="s">
        <v>274</v>
      </c>
      <c r="J463" s="23" t="s">
        <v>275</v>
      </c>
      <c r="K463" s="53"/>
      <c r="L463" s="53"/>
      <c r="N463" s="271"/>
    </row>
    <row r="464" spans="1:23" s="52" customFormat="1" ht="12.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.2" customHeight="1" x14ac:dyDescent="0.2">
      <c r="A465" s="189" t="s">
        <v>903</v>
      </c>
      <c r="B465" s="105">
        <v>19</v>
      </c>
      <c r="C465" s="111">
        <v>1</v>
      </c>
      <c r="D465" s="2" t="s">
        <v>430</v>
      </c>
      <c r="E465" s="111"/>
      <c r="F465" s="18">
        <v>4910357.0999999996</v>
      </c>
      <c r="G465" s="18">
        <v>224274.87</v>
      </c>
      <c r="H465" s="18">
        <v>175268.76</v>
      </c>
      <c r="I465" s="18">
        <v>-891390.39</v>
      </c>
      <c r="J465" s="18">
        <v>2189911.8199999998</v>
      </c>
      <c r="K465" s="24" t="s">
        <v>286</v>
      </c>
      <c r="L465" s="24" t="s">
        <v>286</v>
      </c>
      <c r="N465" s="271"/>
    </row>
    <row r="466" spans="1:14" s="52" customFormat="1" ht="12.2" customHeight="1" x14ac:dyDescent="0.2">
      <c r="A466" s="24" t="s">
        <v>286</v>
      </c>
      <c r="B466" s="24" t="s">
        <v>286</v>
      </c>
      <c r="C466" s="24" t="s">
        <v>286</v>
      </c>
      <c r="D466" s="24"/>
      <c r="E466" s="24"/>
      <c r="F466" s="24" t="s">
        <v>286</v>
      </c>
      <c r="G466" s="24" t="s">
        <v>286</v>
      </c>
      <c r="H466" s="24" t="s">
        <v>286</v>
      </c>
      <c r="I466" s="24" t="s">
        <v>286</v>
      </c>
      <c r="J466" s="24" t="s">
        <v>286</v>
      </c>
      <c r="K466" s="24" t="s">
        <v>286</v>
      </c>
      <c r="L466" s="24" t="s">
        <v>286</v>
      </c>
      <c r="N466" s="271"/>
    </row>
    <row r="467" spans="1:14" s="52" customFormat="1" ht="12.2" customHeight="1" x14ac:dyDescent="0.2">
      <c r="A467" s="94" t="s">
        <v>15</v>
      </c>
      <c r="B467" s="24" t="s">
        <v>286</v>
      </c>
      <c r="C467" s="24" t="s">
        <v>286</v>
      </c>
      <c r="D467" s="24"/>
      <c r="E467" s="24"/>
      <c r="F467" s="24" t="s">
        <v>286</v>
      </c>
      <c r="G467" s="24" t="s">
        <v>286</v>
      </c>
      <c r="H467" s="24" t="s">
        <v>286</v>
      </c>
      <c r="I467" s="24" t="s">
        <v>286</v>
      </c>
      <c r="J467" s="24" t="s">
        <v>286</v>
      </c>
      <c r="K467" s="24" t="s">
        <v>286</v>
      </c>
      <c r="L467" s="24" t="s">
        <v>286</v>
      </c>
      <c r="N467" s="271"/>
    </row>
    <row r="468" spans="1:14" s="52" customFormat="1" ht="12.2" customHeight="1" x14ac:dyDescent="0.2">
      <c r="A468" s="93" t="s">
        <v>608</v>
      </c>
      <c r="B468" s="75">
        <v>19</v>
      </c>
      <c r="C468" s="80">
        <v>2</v>
      </c>
      <c r="D468" s="2" t="s">
        <v>430</v>
      </c>
      <c r="E468" s="80"/>
      <c r="F468" s="18">
        <v>44899162.25</v>
      </c>
      <c r="G468" s="18">
        <v>845599.52</v>
      </c>
      <c r="H468" s="18">
        <v>833713.52</v>
      </c>
      <c r="I468" s="18">
        <v>39296098.140000001</v>
      </c>
      <c r="J468" s="18">
        <v>100115</v>
      </c>
      <c r="K468" s="24" t="s">
        <v>286</v>
      </c>
      <c r="L468" s="24" t="s">
        <v>286</v>
      </c>
      <c r="N468" s="271"/>
    </row>
    <row r="469" spans="1:14" s="52" customFormat="1" ht="12.2" customHeight="1" x14ac:dyDescent="0.2">
      <c r="A469" s="93" t="s">
        <v>609</v>
      </c>
      <c r="B469" s="75">
        <v>19</v>
      </c>
      <c r="C469" s="80">
        <v>3</v>
      </c>
      <c r="D469" s="2" t="s">
        <v>430</v>
      </c>
      <c r="E469" s="80"/>
      <c r="F469" s="18"/>
      <c r="G469" s="18"/>
      <c r="H469" s="18">
        <v>388.02</v>
      </c>
      <c r="I469" s="18"/>
      <c r="J469" s="18">
        <v>4022.18</v>
      </c>
      <c r="K469" s="24" t="s">
        <v>286</v>
      </c>
      <c r="L469" s="24" t="s">
        <v>286</v>
      </c>
      <c r="N469" s="271"/>
    </row>
    <row r="470" spans="1:14" s="52" customFormat="1" ht="12.2" customHeight="1" x14ac:dyDescent="0.2">
      <c r="A470" s="92" t="s">
        <v>423</v>
      </c>
      <c r="B470" s="75">
        <v>19</v>
      </c>
      <c r="C470" s="80">
        <v>4</v>
      </c>
      <c r="D470" s="2" t="s">
        <v>430</v>
      </c>
      <c r="E470" s="80"/>
      <c r="F470" s="53">
        <f>SUM(F468:F469)</f>
        <v>44899162.25</v>
      </c>
      <c r="G470" s="53">
        <f>SUM(G468:G469)</f>
        <v>845599.52</v>
      </c>
      <c r="H470" s="53">
        <f>SUM(H468:H469)</f>
        <v>834101.54</v>
      </c>
      <c r="I470" s="53">
        <f>SUM(I468:I469)</f>
        <v>39296098.140000001</v>
      </c>
      <c r="J470" s="53">
        <f>SUM(J468:J469)</f>
        <v>104137.18</v>
      </c>
      <c r="K470" s="24" t="s">
        <v>286</v>
      </c>
      <c r="L470" s="24" t="s">
        <v>286</v>
      </c>
      <c r="N470" s="271"/>
    </row>
    <row r="471" spans="1:14" s="52" customFormat="1" ht="12.2" customHeight="1" x14ac:dyDescent="0.2">
      <c r="A471" s="94" t="s">
        <v>16</v>
      </c>
      <c r="B471" s="24" t="s">
        <v>286</v>
      </c>
      <c r="C471" s="24" t="s">
        <v>286</v>
      </c>
      <c r="D471" s="24"/>
      <c r="E471" s="24"/>
      <c r="F471" s="24" t="s">
        <v>286</v>
      </c>
      <c r="G471" s="24" t="s">
        <v>286</v>
      </c>
      <c r="H471" s="24" t="s">
        <v>286</v>
      </c>
      <c r="I471" s="24" t="s">
        <v>286</v>
      </c>
      <c r="J471" s="24" t="s">
        <v>286</v>
      </c>
      <c r="K471" s="24" t="s">
        <v>286</v>
      </c>
      <c r="L471" s="24" t="s">
        <v>286</v>
      </c>
      <c r="N471" s="271"/>
    </row>
    <row r="472" spans="1:14" s="52" customFormat="1" ht="12.2" customHeight="1" x14ac:dyDescent="0.2">
      <c r="A472" s="93" t="s">
        <v>610</v>
      </c>
      <c r="B472" s="75">
        <v>19</v>
      </c>
      <c r="C472" s="80">
        <v>5</v>
      </c>
      <c r="D472" s="2" t="s">
        <v>430</v>
      </c>
      <c r="E472" s="80"/>
      <c r="F472" s="18">
        <f>L271</f>
        <v>47458339.870000005</v>
      </c>
      <c r="G472" s="18">
        <v>836011.84</v>
      </c>
      <c r="H472" s="18">
        <v>836200.51</v>
      </c>
      <c r="I472" s="18">
        <v>11373411.32</v>
      </c>
      <c r="J472" s="18">
        <v>1290000</v>
      </c>
      <c r="K472" s="24" t="s">
        <v>286</v>
      </c>
      <c r="L472" s="24" t="s">
        <v>286</v>
      </c>
      <c r="N472" s="271"/>
    </row>
    <row r="473" spans="1:14" s="52" customFormat="1" ht="12.2" customHeight="1" x14ac:dyDescent="0.2">
      <c r="A473" s="93" t="s">
        <v>611</v>
      </c>
      <c r="B473" s="75">
        <v>19</v>
      </c>
      <c r="C473" s="80">
        <v>6</v>
      </c>
      <c r="D473" s="2" t="s">
        <v>430</v>
      </c>
      <c r="E473" s="80"/>
      <c r="F473" s="18"/>
      <c r="G473" s="18"/>
      <c r="H473" s="18"/>
      <c r="I473" s="18"/>
      <c r="J473" s="18"/>
      <c r="K473" s="24" t="s">
        <v>286</v>
      </c>
      <c r="L473" s="24" t="s">
        <v>286</v>
      </c>
      <c r="N473" s="271"/>
    </row>
    <row r="474" spans="1:14" s="52" customFormat="1" ht="12.2" customHeight="1" x14ac:dyDescent="0.2">
      <c r="A474" s="92" t="s">
        <v>424</v>
      </c>
      <c r="B474" s="75">
        <v>19</v>
      </c>
      <c r="C474" s="80">
        <v>7</v>
      </c>
      <c r="D474" s="2" t="s">
        <v>430</v>
      </c>
      <c r="E474" s="80"/>
      <c r="F474" s="53">
        <f>SUM(F472:F473)</f>
        <v>47458339.870000005</v>
      </c>
      <c r="G474" s="53">
        <f>SUM(G472:G473)</f>
        <v>836011.84</v>
      </c>
      <c r="H474" s="53">
        <f>SUM(H472:H473)</f>
        <v>836200.51</v>
      </c>
      <c r="I474" s="53">
        <f>SUM(I472:I473)</f>
        <v>11373411.32</v>
      </c>
      <c r="J474" s="53">
        <f>SUM(J472:J473)</f>
        <v>1290000</v>
      </c>
      <c r="K474" s="24" t="s">
        <v>286</v>
      </c>
      <c r="L474" s="24" t="s">
        <v>286</v>
      </c>
      <c r="N474" s="271"/>
    </row>
    <row r="475" spans="1:14" s="52" customFormat="1" ht="12.2" customHeight="1" x14ac:dyDescent="0.2">
      <c r="A475" s="24" t="s">
        <v>286</v>
      </c>
      <c r="B475" s="24" t="s">
        <v>286</v>
      </c>
      <c r="C475" s="24" t="s">
        <v>286</v>
      </c>
      <c r="D475" s="24"/>
      <c r="E475" s="24"/>
      <c r="F475" s="24" t="s">
        <v>286</v>
      </c>
      <c r="G475" s="24" t="s">
        <v>286</v>
      </c>
      <c r="H475" s="24" t="s">
        <v>286</v>
      </c>
      <c r="I475" s="24" t="s">
        <v>286</v>
      </c>
      <c r="J475" s="24" t="s">
        <v>286</v>
      </c>
      <c r="K475" s="24" t="s">
        <v>286</v>
      </c>
      <c r="L475" s="24" t="s">
        <v>286</v>
      </c>
      <c r="N475" s="271"/>
    </row>
    <row r="476" spans="1:14" s="52" customFormat="1" ht="12.2" customHeight="1" x14ac:dyDescent="0.2">
      <c r="A476" s="190" t="s">
        <v>904</v>
      </c>
      <c r="B476" s="75">
        <v>19</v>
      </c>
      <c r="C476" s="115">
        <v>8</v>
      </c>
      <c r="D476" s="2" t="s">
        <v>430</v>
      </c>
      <c r="E476" s="115"/>
      <c r="F476" s="53">
        <f>(F465+F470)- F474</f>
        <v>2351179.4799999967</v>
      </c>
      <c r="G476" s="53">
        <f>(G465+G470)- G474</f>
        <v>233862.55000000016</v>
      </c>
      <c r="H476" s="53">
        <f>(H465+H470)- H474</f>
        <v>173169.79000000004</v>
      </c>
      <c r="I476" s="53">
        <f>(I465+I470)- I474</f>
        <v>27031296.43</v>
      </c>
      <c r="J476" s="53">
        <f>(J465+J470)- J474</f>
        <v>1004049</v>
      </c>
      <c r="K476" s="24" t="s">
        <v>286</v>
      </c>
      <c r="L476" s="24" t="s">
        <v>286</v>
      </c>
      <c r="N476" s="271"/>
    </row>
    <row r="477" spans="1:14" s="52" customFormat="1" ht="12.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.2" customHeight="1" x14ac:dyDescent="0.2">
      <c r="A478" s="95" t="s">
        <v>655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.2" customHeight="1" x14ac:dyDescent="0.2">
      <c r="A479" s="95" t="s">
        <v>693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.2" customHeight="1" x14ac:dyDescent="0.2">
      <c r="A480" s="174" t="s">
        <v>913</v>
      </c>
      <c r="B480" s="112"/>
      <c r="C480" s="112"/>
      <c r="D480" s="112"/>
      <c r="E480" s="112"/>
      <c r="F480" s="112"/>
      <c r="G480" s="112"/>
      <c r="H480" s="112"/>
      <c r="I480" s="112" t="s">
        <v>399</v>
      </c>
      <c r="J480" s="112"/>
      <c r="K480" s="95"/>
      <c r="L480" s="95"/>
      <c r="N480" s="271"/>
    </row>
    <row r="481" spans="1:14" s="52" customFormat="1" ht="12.2" customHeight="1" x14ac:dyDescent="0.2">
      <c r="A481" s="175" t="s">
        <v>914</v>
      </c>
      <c r="B481" s="112"/>
      <c r="C481" s="112"/>
      <c r="D481" s="112"/>
      <c r="E481" s="112"/>
      <c r="F481" s="112"/>
      <c r="G481" s="112"/>
      <c r="H481" s="112"/>
      <c r="I481" s="112" t="s">
        <v>648</v>
      </c>
      <c r="J481" s="112"/>
      <c r="K481" s="95"/>
      <c r="L481" s="95"/>
      <c r="N481" s="271"/>
    </row>
    <row r="482" spans="1:14" s="52" customFormat="1" ht="12.2" customHeight="1" x14ac:dyDescent="0.2">
      <c r="A482" s="95" t="s">
        <v>694</v>
      </c>
      <c r="B482" s="112"/>
      <c r="C482" s="112"/>
      <c r="D482" s="112"/>
      <c r="E482" s="112"/>
      <c r="F482" s="112"/>
      <c r="G482" s="112"/>
      <c r="H482" s="112"/>
      <c r="I482" s="112" t="s">
        <v>471</v>
      </c>
      <c r="J482" s="112"/>
      <c r="K482" s="95"/>
      <c r="L482" s="95"/>
      <c r="N482" s="271"/>
    </row>
    <row r="483" spans="1:14" s="52" customFormat="1" ht="12.2" customHeight="1" x14ac:dyDescent="0.2">
      <c r="A483" s="175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.2" customHeight="1" x14ac:dyDescent="0.2">
      <c r="A484" s="174" t="s">
        <v>912</v>
      </c>
      <c r="B484" s="112"/>
      <c r="C484" s="112"/>
      <c r="D484" s="112"/>
      <c r="E484" s="112"/>
      <c r="F484" s="112"/>
      <c r="G484" s="112"/>
      <c r="H484" s="112"/>
      <c r="I484" s="112" t="s">
        <v>472</v>
      </c>
      <c r="J484" s="112"/>
      <c r="K484" s="95"/>
      <c r="L484" s="95"/>
      <c r="N484" s="271"/>
    </row>
    <row r="485" spans="1:14" s="52" customFormat="1" ht="12.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473</v>
      </c>
      <c r="J485" s="112"/>
      <c r="K485" s="95"/>
      <c r="L485" s="95"/>
      <c r="N485" s="271"/>
    </row>
    <row r="486" spans="1:14" s="52" customFormat="1" ht="12.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.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.2" customHeight="1" x14ac:dyDescent="0.2">
      <c r="A488" s="147" t="s">
        <v>905</v>
      </c>
      <c r="B488" s="105"/>
      <c r="C488" s="115"/>
      <c r="D488" s="115"/>
      <c r="E488" s="115"/>
      <c r="F488" s="15" t="s">
        <v>262</v>
      </c>
      <c r="G488" s="15" t="s">
        <v>263</v>
      </c>
      <c r="H488" s="15" t="s">
        <v>264</v>
      </c>
      <c r="I488" s="15" t="s">
        <v>265</v>
      </c>
      <c r="J488" s="15" t="s">
        <v>266</v>
      </c>
      <c r="K488" s="15" t="s">
        <v>267</v>
      </c>
      <c r="L488" s="116"/>
      <c r="N488" s="271"/>
    </row>
    <row r="489" spans="1:14" s="52" customFormat="1" ht="12.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338</v>
      </c>
      <c r="L489" s="116"/>
      <c r="N489" s="271"/>
    </row>
    <row r="490" spans="1:14" s="52" customFormat="1" ht="12.2" customHeight="1" x14ac:dyDescent="0.2">
      <c r="A490" s="22" t="s">
        <v>612</v>
      </c>
      <c r="B490" s="75">
        <v>20</v>
      </c>
      <c r="C490" s="115">
        <v>1</v>
      </c>
      <c r="D490" s="2" t="s">
        <v>430</v>
      </c>
      <c r="E490" s="115"/>
      <c r="F490" s="154">
        <v>11</v>
      </c>
      <c r="G490" s="154">
        <v>10</v>
      </c>
      <c r="H490" s="154">
        <v>20</v>
      </c>
      <c r="I490" s="154"/>
      <c r="J490" s="154"/>
      <c r="K490" s="24" t="s">
        <v>286</v>
      </c>
      <c r="L490" s="24" t="s">
        <v>286</v>
      </c>
      <c r="N490" s="271"/>
    </row>
    <row r="491" spans="1:14" s="52" customFormat="1" ht="12.2" customHeight="1" x14ac:dyDescent="0.2">
      <c r="A491" s="22" t="s">
        <v>613</v>
      </c>
      <c r="B491" s="75">
        <v>20</v>
      </c>
      <c r="C491" s="115">
        <v>2</v>
      </c>
      <c r="D491" s="2" t="s">
        <v>430</v>
      </c>
      <c r="E491" s="115"/>
      <c r="F491" s="155" t="s">
        <v>915</v>
      </c>
      <c r="G491" s="155" t="s">
        <v>917</v>
      </c>
      <c r="H491" s="155" t="s">
        <v>919</v>
      </c>
      <c r="I491" s="154"/>
      <c r="J491" s="154"/>
      <c r="K491" s="24" t="s">
        <v>286</v>
      </c>
      <c r="L491" s="24" t="s">
        <v>286</v>
      </c>
      <c r="N491" s="271"/>
    </row>
    <row r="492" spans="1:14" s="52" customFormat="1" ht="12.2" customHeight="1" x14ac:dyDescent="0.2">
      <c r="A492" s="22" t="s">
        <v>614</v>
      </c>
      <c r="B492" s="75">
        <v>20</v>
      </c>
      <c r="C492" s="115">
        <v>3</v>
      </c>
      <c r="D492" s="2" t="s">
        <v>430</v>
      </c>
      <c r="E492" s="115"/>
      <c r="F492" s="155" t="s">
        <v>916</v>
      </c>
      <c r="G492" s="155" t="s">
        <v>918</v>
      </c>
      <c r="H492" s="155" t="s">
        <v>920</v>
      </c>
      <c r="I492" s="154"/>
      <c r="J492" s="154"/>
      <c r="K492" s="24" t="s">
        <v>286</v>
      </c>
      <c r="L492" s="24" t="s">
        <v>286</v>
      </c>
      <c r="N492" s="271"/>
    </row>
    <row r="493" spans="1:14" s="52" customFormat="1" ht="12.2" customHeight="1" x14ac:dyDescent="0.2">
      <c r="A493" s="22" t="s">
        <v>615</v>
      </c>
      <c r="B493" s="75">
        <v>20</v>
      </c>
      <c r="C493" s="115">
        <v>4</v>
      </c>
      <c r="D493" s="2" t="s">
        <v>430</v>
      </c>
      <c r="E493" s="115"/>
      <c r="F493" s="18">
        <v>19305000</v>
      </c>
      <c r="G493" s="18">
        <v>4000000</v>
      </c>
      <c r="H493" s="18">
        <v>38107102</v>
      </c>
      <c r="I493" s="18"/>
      <c r="J493" s="18"/>
      <c r="K493" s="24" t="s">
        <v>286</v>
      </c>
      <c r="L493" s="24" t="s">
        <v>286</v>
      </c>
      <c r="N493" s="271"/>
    </row>
    <row r="494" spans="1:14" s="52" customFormat="1" ht="12.2" customHeight="1" x14ac:dyDescent="0.2">
      <c r="A494" s="22" t="s">
        <v>616</v>
      </c>
      <c r="B494" s="75">
        <v>20</v>
      </c>
      <c r="C494" s="115">
        <v>5</v>
      </c>
      <c r="D494" s="2" t="s">
        <v>430</v>
      </c>
      <c r="E494" s="115"/>
      <c r="F494" s="18">
        <v>3</v>
      </c>
      <c r="G494" s="18">
        <v>3.69</v>
      </c>
      <c r="H494" s="18">
        <v>2.67</v>
      </c>
      <c r="I494" s="18"/>
      <c r="J494" s="18"/>
      <c r="K494" s="24" t="s">
        <v>286</v>
      </c>
      <c r="L494" s="24" t="s">
        <v>286</v>
      </c>
      <c r="N494" s="271"/>
    </row>
    <row r="495" spans="1:14" s="52" customFormat="1" ht="12.2" customHeight="1" x14ac:dyDescent="0.2">
      <c r="A495" s="22" t="s">
        <v>617</v>
      </c>
      <c r="B495" s="75">
        <v>20</v>
      </c>
      <c r="C495" s="115">
        <v>6</v>
      </c>
      <c r="D495" s="2" t="s">
        <v>430</v>
      </c>
      <c r="E495" s="115"/>
      <c r="F495" s="18"/>
      <c r="G495" s="18">
        <v>740000</v>
      </c>
      <c r="H495" s="18">
        <v>34012800</v>
      </c>
      <c r="I495" s="18"/>
      <c r="J495" s="18"/>
      <c r="K495" s="53">
        <f>SUM(F495:J495)</f>
        <v>34752800</v>
      </c>
      <c r="L495" s="24" t="s">
        <v>286</v>
      </c>
      <c r="N495" s="271"/>
    </row>
    <row r="496" spans="1:14" s="52" customFormat="1" ht="12.2" customHeight="1" x14ac:dyDescent="0.2">
      <c r="A496" s="22" t="s">
        <v>618</v>
      </c>
      <c r="B496" s="75">
        <v>20</v>
      </c>
      <c r="C496" s="115">
        <v>7</v>
      </c>
      <c r="D496" s="2" t="s">
        <v>430</v>
      </c>
      <c r="E496" s="115"/>
      <c r="F496" s="18"/>
      <c r="G496" s="18"/>
      <c r="H496" s="18">
        <v>38107102</v>
      </c>
      <c r="I496" s="18"/>
      <c r="J496" s="18"/>
      <c r="K496" s="53">
        <f t="shared" ref="K496:K503" si="35">SUM(F496:J496)</f>
        <v>38107102</v>
      </c>
      <c r="L496" s="24" t="s">
        <v>286</v>
      </c>
      <c r="N496" s="271"/>
    </row>
    <row r="497" spans="1:14" s="52" customFormat="1" ht="12.2" customHeight="1" x14ac:dyDescent="0.2">
      <c r="A497" s="22" t="s">
        <v>619</v>
      </c>
      <c r="B497" s="75">
        <v>20</v>
      </c>
      <c r="C497" s="115">
        <v>8</v>
      </c>
      <c r="D497" s="2" t="s">
        <v>430</v>
      </c>
      <c r="E497" s="115"/>
      <c r="F497" s="18">
        <v>1445000</v>
      </c>
      <c r="G497" s="18">
        <v>370000</v>
      </c>
      <c r="H497" s="18"/>
      <c r="I497" s="18"/>
      <c r="J497" s="18"/>
      <c r="K497" s="53">
        <f t="shared" si="35"/>
        <v>1815000</v>
      </c>
      <c r="L497" s="24" t="s">
        <v>286</v>
      </c>
      <c r="N497" s="271"/>
    </row>
    <row r="498" spans="1:14" s="52" customFormat="1" ht="12.2" customHeight="1" x14ac:dyDescent="0.2">
      <c r="A498" s="200" t="s">
        <v>620</v>
      </c>
      <c r="B498" s="201">
        <v>20</v>
      </c>
      <c r="C498" s="202">
        <v>9</v>
      </c>
      <c r="D498" s="203" t="s">
        <v>430</v>
      </c>
      <c r="E498" s="202"/>
      <c r="F498" s="204">
        <v>13600000</v>
      </c>
      <c r="G498" s="204">
        <v>370000</v>
      </c>
      <c r="H498" s="204">
        <v>34012800</v>
      </c>
      <c r="I498" s="204"/>
      <c r="J498" s="204"/>
      <c r="K498" s="205">
        <f t="shared" si="35"/>
        <v>47982800</v>
      </c>
      <c r="L498" s="206" t="s">
        <v>286</v>
      </c>
      <c r="N498" s="271"/>
    </row>
    <row r="499" spans="1:14" s="52" customFormat="1" ht="12.2" customHeight="1" thickBot="1" x14ac:dyDescent="0.25">
      <c r="A499" s="22" t="s">
        <v>621</v>
      </c>
      <c r="B499" s="75">
        <v>20</v>
      </c>
      <c r="C499" s="115">
        <v>10</v>
      </c>
      <c r="D499" s="2" t="s">
        <v>430</v>
      </c>
      <c r="E499" s="115"/>
      <c r="F499" s="18">
        <v>2069750</v>
      </c>
      <c r="G499" s="18">
        <v>9712.5</v>
      </c>
      <c r="H499" s="18"/>
      <c r="I499" s="18"/>
      <c r="J499" s="18"/>
      <c r="K499" s="53">
        <f t="shared" si="35"/>
        <v>2079462.5</v>
      </c>
      <c r="L499" s="24" t="s">
        <v>286</v>
      </c>
      <c r="N499" s="271"/>
    </row>
    <row r="500" spans="1:14" s="52" customFormat="1" ht="12.2" customHeight="1" thickTop="1" x14ac:dyDescent="0.2">
      <c r="A500" s="139" t="s">
        <v>622</v>
      </c>
      <c r="B500" s="44">
        <v>20</v>
      </c>
      <c r="C500" s="195">
        <v>11</v>
      </c>
      <c r="D500" s="39" t="s">
        <v>430</v>
      </c>
      <c r="E500" s="195"/>
      <c r="F500" s="42">
        <f>SUM(F498:F499)</f>
        <v>15669750</v>
      </c>
      <c r="G500" s="42">
        <f>SUM(G498:G499)</f>
        <v>379712.5</v>
      </c>
      <c r="H500" s="42">
        <f>SUM(H498:H499)</f>
        <v>34012800</v>
      </c>
      <c r="I500" s="42">
        <f>SUM(I498:I499)</f>
        <v>0</v>
      </c>
      <c r="J500" s="42">
        <f>SUM(J498:J499)</f>
        <v>0</v>
      </c>
      <c r="K500" s="42">
        <f t="shared" si="35"/>
        <v>50062262.5</v>
      </c>
      <c r="L500" s="45" t="s">
        <v>286</v>
      </c>
      <c r="N500" s="271"/>
    </row>
    <row r="501" spans="1:14" s="52" customFormat="1" ht="12.2" customHeight="1" x14ac:dyDescent="0.2">
      <c r="A501" s="200" t="s">
        <v>649</v>
      </c>
      <c r="B501" s="201">
        <v>20</v>
      </c>
      <c r="C501" s="202">
        <v>12</v>
      </c>
      <c r="D501" s="203" t="s">
        <v>430</v>
      </c>
      <c r="E501" s="202"/>
      <c r="F501" s="204">
        <v>1700000</v>
      </c>
      <c r="G501" s="204"/>
      <c r="H501" s="204">
        <v>1705000</v>
      </c>
      <c r="I501" s="204"/>
      <c r="J501" s="204"/>
      <c r="K501" s="205">
        <f t="shared" si="35"/>
        <v>3405000</v>
      </c>
      <c r="L501" s="206" t="s">
        <v>286</v>
      </c>
      <c r="N501" s="271"/>
    </row>
    <row r="502" spans="1:14" s="52" customFormat="1" ht="12.2" customHeight="1" thickBot="1" x14ac:dyDescent="0.25">
      <c r="A502" s="22" t="s">
        <v>623</v>
      </c>
      <c r="B502" s="75">
        <v>20</v>
      </c>
      <c r="C502" s="115">
        <v>13</v>
      </c>
      <c r="D502" s="2" t="s">
        <v>430</v>
      </c>
      <c r="E502" s="115"/>
      <c r="F502" s="18">
        <v>442000</v>
      </c>
      <c r="G502" s="18"/>
      <c r="H502" s="18">
        <v>704777.5</v>
      </c>
      <c r="I502" s="18"/>
      <c r="J502" s="18"/>
      <c r="K502" s="53">
        <f t="shared" si="35"/>
        <v>1146777.5</v>
      </c>
      <c r="L502" s="24" t="s">
        <v>286</v>
      </c>
      <c r="N502" s="271"/>
    </row>
    <row r="503" spans="1:14" s="52" customFormat="1" ht="12.2" customHeight="1" thickTop="1" x14ac:dyDescent="0.2">
      <c r="A503" s="139" t="s">
        <v>624</v>
      </c>
      <c r="B503" s="44">
        <v>20</v>
      </c>
      <c r="C503" s="195">
        <v>14</v>
      </c>
      <c r="D503" s="39" t="s">
        <v>430</v>
      </c>
      <c r="E503" s="195"/>
      <c r="F503" s="42">
        <f>SUM(F501:F502)</f>
        <v>2142000</v>
      </c>
      <c r="G503" s="42">
        <f>SUM(G501:G502)</f>
        <v>0</v>
      </c>
      <c r="H503" s="42">
        <f>SUM(H501:H502)</f>
        <v>2409777.5</v>
      </c>
      <c r="I503" s="42">
        <f>SUM(I501:I502)</f>
        <v>0</v>
      </c>
      <c r="J503" s="42">
        <f>SUM(J501:J502)</f>
        <v>0</v>
      </c>
      <c r="K503" s="42">
        <f t="shared" si="35"/>
        <v>4551777.5</v>
      </c>
      <c r="L503" s="45" t="s">
        <v>286</v>
      </c>
      <c r="N503" s="271"/>
    </row>
    <row r="504" spans="1:14" s="52" customFormat="1" ht="12.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.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.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286</v>
      </c>
      <c r="K506" s="24" t="s">
        <v>286</v>
      </c>
      <c r="L506" s="24" t="s">
        <v>286</v>
      </c>
      <c r="N506" s="271"/>
    </row>
    <row r="507" spans="1:14" s="52" customFormat="1" ht="12.2" customHeight="1" x14ac:dyDescent="0.2">
      <c r="A507" s="96" t="s">
        <v>40</v>
      </c>
      <c r="B507" s="105">
        <v>20</v>
      </c>
      <c r="C507" s="115">
        <v>15</v>
      </c>
      <c r="D507" s="2" t="s">
        <v>430</v>
      </c>
      <c r="E507" s="115"/>
      <c r="F507" s="144"/>
      <c r="G507" s="144"/>
      <c r="H507" s="144"/>
      <c r="I507" s="144"/>
      <c r="J507" s="24" t="s">
        <v>286</v>
      </c>
      <c r="K507" s="24" t="s">
        <v>286</v>
      </c>
      <c r="L507" s="24" t="s">
        <v>286</v>
      </c>
      <c r="N507" s="271"/>
    </row>
    <row r="508" spans="1:14" s="52" customFormat="1" ht="12.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.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.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.2" customHeight="1" x14ac:dyDescent="0.2">
      <c r="A511" s="22" t="s">
        <v>625</v>
      </c>
      <c r="B511" s="75">
        <v>20</v>
      </c>
      <c r="C511" s="115">
        <v>16</v>
      </c>
      <c r="D511" s="2" t="s">
        <v>430</v>
      </c>
      <c r="E511" s="115">
        <v>210</v>
      </c>
      <c r="F511" s="18"/>
      <c r="G511" s="24" t="s">
        <v>286</v>
      </c>
      <c r="H511" s="18"/>
      <c r="I511" s="24" t="s">
        <v>286</v>
      </c>
      <c r="J511" s="24" t="s">
        <v>286</v>
      </c>
      <c r="K511" s="24" t="s">
        <v>286</v>
      </c>
      <c r="L511" s="24" t="s">
        <v>286</v>
      </c>
      <c r="N511" s="271"/>
    </row>
    <row r="512" spans="1:14" s="52" customFormat="1" ht="12.2" customHeight="1" x14ac:dyDescent="0.2">
      <c r="A512" s="22" t="s">
        <v>626</v>
      </c>
      <c r="B512" s="75">
        <v>20</v>
      </c>
      <c r="C512" s="115">
        <v>17</v>
      </c>
      <c r="D512" s="2" t="s">
        <v>430</v>
      </c>
      <c r="E512" s="115">
        <v>220</v>
      </c>
      <c r="F512" s="18"/>
      <c r="G512" s="24" t="s">
        <v>286</v>
      </c>
      <c r="H512" s="18"/>
      <c r="I512" s="24" t="s">
        <v>286</v>
      </c>
      <c r="J512" s="24" t="s">
        <v>286</v>
      </c>
      <c r="K512" s="24" t="s">
        <v>286</v>
      </c>
      <c r="L512" s="24" t="s">
        <v>286</v>
      </c>
      <c r="N512" s="271"/>
    </row>
    <row r="513" spans="1:14" s="52" customFormat="1" ht="12.2" customHeight="1" x14ac:dyDescent="0.2">
      <c r="A513" s="22" t="s">
        <v>627</v>
      </c>
      <c r="B513" s="75">
        <v>20</v>
      </c>
      <c r="C513" s="115">
        <v>18</v>
      </c>
      <c r="D513" s="2" t="s">
        <v>430</v>
      </c>
      <c r="E513" s="115">
        <v>230</v>
      </c>
      <c r="F513" s="18"/>
      <c r="G513" s="24" t="s">
        <v>286</v>
      </c>
      <c r="H513" s="18"/>
      <c r="I513" s="24" t="s">
        <v>286</v>
      </c>
      <c r="J513" s="24" t="s">
        <v>286</v>
      </c>
      <c r="K513" s="24" t="s">
        <v>286</v>
      </c>
      <c r="L513" s="24" t="s">
        <v>286</v>
      </c>
      <c r="N513" s="271"/>
    </row>
    <row r="514" spans="1:14" s="52" customFormat="1" ht="12.2" customHeight="1" x14ac:dyDescent="0.2">
      <c r="A514" s="22" t="s">
        <v>628</v>
      </c>
      <c r="B514" s="75">
        <v>20</v>
      </c>
      <c r="C514" s="115">
        <v>19</v>
      </c>
      <c r="D514" s="2" t="s">
        <v>430</v>
      </c>
      <c r="E514" s="115">
        <v>240</v>
      </c>
      <c r="F514" s="18"/>
      <c r="G514" s="24" t="s">
        <v>286</v>
      </c>
      <c r="H514" s="18"/>
      <c r="I514" s="24" t="s">
        <v>286</v>
      </c>
      <c r="J514" s="24" t="s">
        <v>286</v>
      </c>
      <c r="K514" s="24" t="s">
        <v>286</v>
      </c>
      <c r="L514" s="24" t="s">
        <v>286</v>
      </c>
      <c r="N514" s="271"/>
    </row>
    <row r="515" spans="1:14" s="52" customFormat="1" ht="12.2" customHeight="1" x14ac:dyDescent="0.2">
      <c r="A515" s="22" t="s">
        <v>629</v>
      </c>
      <c r="B515" s="75">
        <v>20</v>
      </c>
      <c r="C515" s="115">
        <v>20</v>
      </c>
      <c r="D515" s="2" t="s">
        <v>430</v>
      </c>
      <c r="E515" s="115">
        <v>250</v>
      </c>
      <c r="F515" s="18"/>
      <c r="G515" s="24" t="s">
        <v>286</v>
      </c>
      <c r="H515" s="18"/>
      <c r="I515" s="24" t="s">
        <v>286</v>
      </c>
      <c r="J515" s="24" t="s">
        <v>286</v>
      </c>
      <c r="K515" s="24" t="s">
        <v>286</v>
      </c>
      <c r="L515" s="24" t="s">
        <v>286</v>
      </c>
      <c r="N515" s="271"/>
    </row>
    <row r="516" spans="1:14" s="52" customFormat="1" ht="12.2" customHeight="1" thickBot="1" x14ac:dyDescent="0.25">
      <c r="A516" s="22" t="s">
        <v>630</v>
      </c>
      <c r="B516" s="75">
        <v>20</v>
      </c>
      <c r="C516" s="115">
        <v>21</v>
      </c>
      <c r="D516" s="2" t="s">
        <v>430</v>
      </c>
      <c r="E516" s="115">
        <v>710</v>
      </c>
      <c r="F516" s="24" t="s">
        <v>286</v>
      </c>
      <c r="G516" s="18"/>
      <c r="H516" s="24" t="s">
        <v>286</v>
      </c>
      <c r="I516" s="18"/>
      <c r="J516" s="24" t="s">
        <v>286</v>
      </c>
      <c r="K516" s="24" t="s">
        <v>286</v>
      </c>
      <c r="L516" s="24" t="s">
        <v>286</v>
      </c>
      <c r="N516" s="271"/>
    </row>
    <row r="517" spans="1:14" s="52" customFormat="1" ht="12.2" customHeight="1" thickTop="1" x14ac:dyDescent="0.2">
      <c r="A517" s="96" t="s">
        <v>425</v>
      </c>
      <c r="B517" s="75">
        <v>20</v>
      </c>
      <c r="C517" s="115">
        <v>22</v>
      </c>
      <c r="D517" s="2" t="s">
        <v>430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286</v>
      </c>
      <c r="K517" s="24" t="s">
        <v>286</v>
      </c>
      <c r="L517" s="24" t="s">
        <v>286</v>
      </c>
      <c r="N517" s="271"/>
    </row>
    <row r="518" spans="1:14" s="52" customFormat="1" ht="12.2" customHeight="1" x14ac:dyDescent="0.2">
      <c r="A518" s="96" t="s">
        <v>696</v>
      </c>
      <c r="B518" s="105"/>
      <c r="C518" s="115"/>
      <c r="D518" s="115"/>
      <c r="E518" s="115"/>
      <c r="F518" s="177" t="s">
        <v>687</v>
      </c>
      <c r="G518" s="177" t="s">
        <v>688</v>
      </c>
      <c r="H518" s="177" t="s">
        <v>689</v>
      </c>
      <c r="I518" s="177" t="s">
        <v>690</v>
      </c>
      <c r="J518" s="177" t="s">
        <v>691</v>
      </c>
      <c r="K518" s="177" t="s">
        <v>692</v>
      </c>
      <c r="L518" s="106"/>
      <c r="N518" s="271"/>
    </row>
    <row r="519" spans="1:14" s="52" customFormat="1" ht="12.2" customHeight="1" x14ac:dyDescent="0.2">
      <c r="A519" s="178" t="s">
        <v>695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.2" customHeight="1" x14ac:dyDescent="0.2">
      <c r="A520" s="96" t="s">
        <v>60</v>
      </c>
      <c r="B520" s="105"/>
      <c r="C520" s="115"/>
      <c r="D520" s="115"/>
      <c r="E520" s="115"/>
      <c r="F520" s="24" t="s">
        <v>286</v>
      </c>
      <c r="G520" s="24" t="s">
        <v>286</v>
      </c>
      <c r="H520" s="24" t="s">
        <v>286</v>
      </c>
      <c r="I520" s="24" t="s">
        <v>286</v>
      </c>
      <c r="J520" s="24" t="s">
        <v>286</v>
      </c>
      <c r="K520" s="24" t="s">
        <v>286</v>
      </c>
      <c r="L520" s="24" t="s">
        <v>286</v>
      </c>
      <c r="N520" s="271"/>
    </row>
    <row r="521" spans="1:14" s="52" customFormat="1" ht="12.2" customHeight="1" x14ac:dyDescent="0.2">
      <c r="A521" s="22" t="s">
        <v>631</v>
      </c>
      <c r="B521" s="105">
        <v>21</v>
      </c>
      <c r="C521" s="115">
        <v>1</v>
      </c>
      <c r="D521" s="2" t="s">
        <v>430</v>
      </c>
      <c r="E521" s="115"/>
      <c r="F521" s="18">
        <v>2724882.98</v>
      </c>
      <c r="G521" s="18">
        <v>1343413.43</v>
      </c>
      <c r="H521" s="18">
        <v>908259.21</v>
      </c>
      <c r="I521" s="18">
        <v>23437.34</v>
      </c>
      <c r="J521" s="18">
        <v>6442.93</v>
      </c>
      <c r="K521" s="18">
        <v>12538.93</v>
      </c>
      <c r="L521" s="88">
        <f>SUM(F521:K521)</f>
        <v>5018974.8199999994</v>
      </c>
      <c r="N521" s="271"/>
    </row>
    <row r="522" spans="1:14" s="52" customFormat="1" ht="12.2" customHeight="1" x14ac:dyDescent="0.2">
      <c r="A522" s="22" t="s">
        <v>632</v>
      </c>
      <c r="B522" s="105">
        <v>21</v>
      </c>
      <c r="C522" s="115">
        <v>2</v>
      </c>
      <c r="D522" s="2" t="s">
        <v>430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  <c r="N522" s="271"/>
    </row>
    <row r="523" spans="1:14" s="52" customFormat="1" ht="12.2" customHeight="1" thickBot="1" x14ac:dyDescent="0.25">
      <c r="A523" s="22" t="s">
        <v>633</v>
      </c>
      <c r="B523" s="105">
        <v>21</v>
      </c>
      <c r="C523" s="115">
        <v>3</v>
      </c>
      <c r="D523" s="2" t="s">
        <v>430</v>
      </c>
      <c r="E523" s="115"/>
      <c r="F523" s="18">
        <v>1140107</v>
      </c>
      <c r="G523" s="18">
        <v>448158.18</v>
      </c>
      <c r="H523" s="18">
        <v>435265.11</v>
      </c>
      <c r="I523" s="18">
        <v>9457.57</v>
      </c>
      <c r="J523" s="18">
        <v>3400.89</v>
      </c>
      <c r="K523" s="18">
        <v>5430</v>
      </c>
      <c r="L523" s="88">
        <f>SUM(F523:K523)</f>
        <v>2041818.75</v>
      </c>
      <c r="N523" s="271"/>
    </row>
    <row r="524" spans="1:14" s="52" customFormat="1" ht="12.2" customHeight="1" thickTop="1" x14ac:dyDescent="0.2">
      <c r="A524" s="139" t="s">
        <v>63</v>
      </c>
      <c r="B524" s="107">
        <v>21</v>
      </c>
      <c r="C524" s="195">
        <v>4</v>
      </c>
      <c r="D524" s="196" t="s">
        <v>430</v>
      </c>
      <c r="E524" s="195"/>
      <c r="F524" s="108">
        <f>SUM(F521:F523)</f>
        <v>3864989.98</v>
      </c>
      <c r="G524" s="108">
        <f t="shared" ref="G524:L524" si="36">SUM(G521:G523)</f>
        <v>1791571.6099999999</v>
      </c>
      <c r="H524" s="108">
        <f t="shared" si="36"/>
        <v>1343524.3199999998</v>
      </c>
      <c r="I524" s="108">
        <f t="shared" si="36"/>
        <v>32894.910000000003</v>
      </c>
      <c r="J524" s="108">
        <f t="shared" si="36"/>
        <v>9843.82</v>
      </c>
      <c r="K524" s="108">
        <f t="shared" si="36"/>
        <v>17968.93</v>
      </c>
      <c r="L524" s="89">
        <f t="shared" si="36"/>
        <v>7060793.5699999994</v>
      </c>
      <c r="N524" s="271"/>
    </row>
    <row r="525" spans="1:14" s="52" customFormat="1" ht="12.2" customHeight="1" x14ac:dyDescent="0.2">
      <c r="A525" s="96" t="s">
        <v>64</v>
      </c>
      <c r="B525" s="105"/>
      <c r="C525" s="115"/>
      <c r="D525" s="115"/>
      <c r="E525" s="115"/>
      <c r="F525" s="24" t="s">
        <v>286</v>
      </c>
      <c r="G525" s="24" t="s">
        <v>286</v>
      </c>
      <c r="H525" s="24" t="s">
        <v>286</v>
      </c>
      <c r="I525" s="24" t="s">
        <v>286</v>
      </c>
      <c r="J525" s="24" t="s">
        <v>286</v>
      </c>
      <c r="K525" s="24" t="s">
        <v>286</v>
      </c>
      <c r="L525" s="24" t="s">
        <v>286</v>
      </c>
      <c r="N525" s="271"/>
    </row>
    <row r="526" spans="1:14" s="3" customFormat="1" ht="12.2" customHeight="1" x14ac:dyDescent="0.15">
      <c r="A526" s="22" t="s">
        <v>631</v>
      </c>
      <c r="B526" s="105">
        <v>21</v>
      </c>
      <c r="C526" s="115">
        <v>5</v>
      </c>
      <c r="D526" s="2" t="s">
        <v>430</v>
      </c>
      <c r="E526" s="115"/>
      <c r="F526" s="18">
        <v>902453.04</v>
      </c>
      <c r="G526" s="18">
        <v>446994.58</v>
      </c>
      <c r="H526" s="18">
        <v>331915.59999999998</v>
      </c>
      <c r="I526" s="18">
        <v>10971.7</v>
      </c>
      <c r="J526" s="18">
        <v>18361.22</v>
      </c>
      <c r="K526" s="18">
        <v>443.02</v>
      </c>
      <c r="L526" s="88">
        <f>SUM(F526:K526)</f>
        <v>1711139.1600000001</v>
      </c>
      <c r="M526" s="8"/>
      <c r="N526" s="272"/>
    </row>
    <row r="527" spans="1:14" s="3" customFormat="1" ht="12.2" customHeight="1" x14ac:dyDescent="0.15">
      <c r="A527" s="22" t="s">
        <v>632</v>
      </c>
      <c r="B527" s="105">
        <v>21</v>
      </c>
      <c r="C527" s="115">
        <v>6</v>
      </c>
      <c r="D527" s="2" t="s">
        <v>430</v>
      </c>
      <c r="E527" s="11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.2" customHeight="1" thickBot="1" x14ac:dyDescent="0.2">
      <c r="A528" s="22" t="s">
        <v>633</v>
      </c>
      <c r="B528" s="118">
        <v>21</v>
      </c>
      <c r="C528" s="118">
        <v>7</v>
      </c>
      <c r="D528" s="2" t="s">
        <v>430</v>
      </c>
      <c r="E528" s="118"/>
      <c r="F528" s="18">
        <v>124331.99</v>
      </c>
      <c r="G528" s="18">
        <v>55941.45</v>
      </c>
      <c r="H528" s="18">
        <v>157389.69</v>
      </c>
      <c r="I528" s="18">
        <v>4624.9399999999996</v>
      </c>
      <c r="J528" s="18">
        <v>3845.17</v>
      </c>
      <c r="K528" s="18">
        <v>208.48</v>
      </c>
      <c r="L528" s="88">
        <f>SUM(F528:K528)</f>
        <v>346341.72</v>
      </c>
      <c r="M528" s="8"/>
      <c r="N528" s="272"/>
    </row>
    <row r="529" spans="1:14" s="3" customFormat="1" ht="12.2" customHeight="1" thickTop="1" x14ac:dyDescent="0.15">
      <c r="A529" s="139" t="s">
        <v>65</v>
      </c>
      <c r="B529" s="107">
        <v>21</v>
      </c>
      <c r="C529" s="107">
        <v>8</v>
      </c>
      <c r="D529" s="158" t="s">
        <v>430</v>
      </c>
      <c r="E529" s="107"/>
      <c r="F529" s="89">
        <f>SUM(F526:F528)</f>
        <v>1026785.03</v>
      </c>
      <c r="G529" s="89">
        <f t="shared" ref="G529:L529" si="37">SUM(G526:G528)</f>
        <v>502936.03</v>
      </c>
      <c r="H529" s="89">
        <f t="shared" si="37"/>
        <v>489305.29</v>
      </c>
      <c r="I529" s="89">
        <f t="shared" si="37"/>
        <v>15596.64</v>
      </c>
      <c r="J529" s="89">
        <f t="shared" si="37"/>
        <v>22206.39</v>
      </c>
      <c r="K529" s="89">
        <f t="shared" si="37"/>
        <v>651.5</v>
      </c>
      <c r="L529" s="89">
        <f t="shared" si="37"/>
        <v>2057480.8800000001</v>
      </c>
      <c r="M529" s="8"/>
      <c r="N529" s="272"/>
    </row>
    <row r="530" spans="1:14" s="3" customFormat="1" ht="12.2" customHeight="1" x14ac:dyDescent="0.15">
      <c r="A530" s="97" t="s">
        <v>66</v>
      </c>
      <c r="B530" s="105"/>
      <c r="C530" s="105"/>
      <c r="D530" s="105"/>
      <c r="E530" s="105"/>
      <c r="F530" s="24" t="s">
        <v>286</v>
      </c>
      <c r="G530" s="24" t="s">
        <v>286</v>
      </c>
      <c r="H530" s="24" t="s">
        <v>286</v>
      </c>
      <c r="I530" s="24" t="s">
        <v>286</v>
      </c>
      <c r="J530" s="24" t="s">
        <v>286</v>
      </c>
      <c r="K530" s="24" t="s">
        <v>286</v>
      </c>
      <c r="L530" s="24" t="s">
        <v>286</v>
      </c>
      <c r="M530" s="8"/>
      <c r="N530" s="272"/>
    </row>
    <row r="531" spans="1:14" s="3" customFormat="1" ht="12.2" customHeight="1" x14ac:dyDescent="0.15">
      <c r="A531" s="22" t="s">
        <v>631</v>
      </c>
      <c r="B531" s="105">
        <v>21</v>
      </c>
      <c r="C531" s="105">
        <v>9</v>
      </c>
      <c r="D531" s="2" t="s">
        <v>430</v>
      </c>
      <c r="E531" s="105"/>
      <c r="F531" s="18">
        <v>307417.34999999998</v>
      </c>
      <c r="G531" s="18">
        <v>169079.54</v>
      </c>
      <c r="H531" s="18">
        <v>1726.85</v>
      </c>
      <c r="I531" s="18">
        <v>634.59</v>
      </c>
      <c r="J531" s="18"/>
      <c r="K531" s="18">
        <v>846.6</v>
      </c>
      <c r="L531" s="88">
        <f>SUM(F531:K531)</f>
        <v>479704.93</v>
      </c>
      <c r="M531" s="8"/>
      <c r="N531" s="272"/>
    </row>
    <row r="532" spans="1:14" s="3" customFormat="1" ht="12.2" customHeight="1" x14ac:dyDescent="0.15">
      <c r="A532" s="22" t="s">
        <v>632</v>
      </c>
      <c r="B532" s="105">
        <v>21</v>
      </c>
      <c r="C532" s="105">
        <v>10</v>
      </c>
      <c r="D532" s="2" t="s">
        <v>430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.2" customHeight="1" thickBot="1" x14ac:dyDescent="0.2">
      <c r="A533" s="22" t="s">
        <v>633</v>
      </c>
      <c r="B533" s="105">
        <v>21</v>
      </c>
      <c r="C533" s="105">
        <v>11</v>
      </c>
      <c r="D533" s="2" t="s">
        <v>430</v>
      </c>
      <c r="E533" s="105"/>
      <c r="F533" s="18">
        <v>144666.99</v>
      </c>
      <c r="G533" s="18">
        <v>63653.48</v>
      </c>
      <c r="H533" s="18">
        <v>812.64</v>
      </c>
      <c r="I533" s="18">
        <v>298.63</v>
      </c>
      <c r="J533" s="18"/>
      <c r="K533" s="18">
        <v>398.4</v>
      </c>
      <c r="L533" s="88">
        <f>SUM(F533:K533)</f>
        <v>209830.14</v>
      </c>
      <c r="M533" s="8"/>
      <c r="N533" s="272"/>
    </row>
    <row r="534" spans="1:14" s="3" customFormat="1" ht="12.2" customHeight="1" thickTop="1" x14ac:dyDescent="0.15">
      <c r="A534" s="139" t="s">
        <v>67</v>
      </c>
      <c r="B534" s="107">
        <v>21</v>
      </c>
      <c r="C534" s="107">
        <v>12</v>
      </c>
      <c r="D534" s="158" t="s">
        <v>430</v>
      </c>
      <c r="E534" s="107"/>
      <c r="F534" s="89">
        <f>SUM(F531:F533)</f>
        <v>452084.33999999997</v>
      </c>
      <c r="G534" s="89">
        <f t="shared" ref="G534:L534" si="38">SUM(G531:G533)</f>
        <v>232733.02000000002</v>
      </c>
      <c r="H534" s="89">
        <f t="shared" si="38"/>
        <v>2539.4899999999998</v>
      </c>
      <c r="I534" s="89">
        <f t="shared" si="38"/>
        <v>933.22</v>
      </c>
      <c r="J534" s="89">
        <f t="shared" si="38"/>
        <v>0</v>
      </c>
      <c r="K534" s="89">
        <f t="shared" si="38"/>
        <v>1245</v>
      </c>
      <c r="L534" s="89">
        <f t="shared" si="38"/>
        <v>689535.07000000007</v>
      </c>
      <c r="M534" s="8"/>
      <c r="N534" s="272"/>
    </row>
    <row r="535" spans="1:14" s="3" customFormat="1" ht="12.2" customHeight="1" x14ac:dyDescent="0.15">
      <c r="A535" s="97" t="s">
        <v>68</v>
      </c>
      <c r="B535" s="105"/>
      <c r="C535" s="105"/>
      <c r="D535" s="105"/>
      <c r="E535" s="105"/>
      <c r="F535" s="194" t="s">
        <v>286</v>
      </c>
      <c r="G535" s="194" t="s">
        <v>286</v>
      </c>
      <c r="H535" s="194" t="s">
        <v>286</v>
      </c>
      <c r="I535" s="194" t="s">
        <v>286</v>
      </c>
      <c r="J535" s="194" t="s">
        <v>286</v>
      </c>
      <c r="K535" s="194" t="s">
        <v>286</v>
      </c>
      <c r="L535" s="194" t="s">
        <v>286</v>
      </c>
      <c r="M535" s="8"/>
      <c r="N535" s="272"/>
    </row>
    <row r="536" spans="1:14" s="3" customFormat="1" ht="12.2" customHeight="1" x14ac:dyDescent="0.15">
      <c r="A536" s="22" t="s">
        <v>631</v>
      </c>
      <c r="B536" s="105">
        <v>21</v>
      </c>
      <c r="C536" s="105">
        <v>13</v>
      </c>
      <c r="D536" s="2" t="s">
        <v>430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.2" customHeight="1" x14ac:dyDescent="0.15">
      <c r="A537" s="22" t="s">
        <v>632</v>
      </c>
      <c r="B537" s="105">
        <v>21</v>
      </c>
      <c r="C537" s="105">
        <v>14</v>
      </c>
      <c r="D537" s="2" t="s">
        <v>430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.2" customHeight="1" thickBot="1" x14ac:dyDescent="0.2">
      <c r="A538" s="22" t="s">
        <v>633</v>
      </c>
      <c r="B538" s="105">
        <v>21</v>
      </c>
      <c r="C538" s="105">
        <v>15</v>
      </c>
      <c r="D538" s="2" t="s">
        <v>430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.2" customHeight="1" thickTop="1" x14ac:dyDescent="0.15">
      <c r="A539" s="139" t="s">
        <v>69</v>
      </c>
      <c r="B539" s="107">
        <v>21</v>
      </c>
      <c r="C539" s="107">
        <v>16</v>
      </c>
      <c r="D539" s="158" t="s">
        <v>430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>SUM(H536:H538)</f>
        <v>0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0</v>
      </c>
      <c r="M539" s="8"/>
      <c r="N539" s="272"/>
    </row>
    <row r="540" spans="1:14" s="3" customFormat="1" ht="12.2" customHeight="1" x14ac:dyDescent="0.15">
      <c r="A540" s="97" t="s">
        <v>70</v>
      </c>
      <c r="B540" s="105"/>
      <c r="C540" s="105"/>
      <c r="D540" s="105"/>
      <c r="E540" s="105"/>
      <c r="F540" s="24" t="s">
        <v>286</v>
      </c>
      <c r="G540" s="24" t="s">
        <v>286</v>
      </c>
      <c r="H540" s="24" t="s">
        <v>286</v>
      </c>
      <c r="I540" s="24" t="s">
        <v>286</v>
      </c>
      <c r="J540" s="24" t="s">
        <v>286</v>
      </c>
      <c r="K540" s="24" t="s">
        <v>286</v>
      </c>
      <c r="L540" s="24" t="s">
        <v>286</v>
      </c>
      <c r="M540" s="8"/>
      <c r="N540" s="272"/>
    </row>
    <row r="541" spans="1:14" s="3" customFormat="1" ht="12.2" customHeight="1" x14ac:dyDescent="0.15">
      <c r="A541" s="22" t="s">
        <v>631</v>
      </c>
      <c r="B541" s="105">
        <v>21</v>
      </c>
      <c r="C541" s="105">
        <v>17</v>
      </c>
      <c r="D541" s="2" t="s">
        <v>430</v>
      </c>
      <c r="E541" s="105"/>
      <c r="F541" s="18"/>
      <c r="G541" s="18"/>
      <c r="H541" s="18">
        <v>442227.22</v>
      </c>
      <c r="I541" s="18"/>
      <c r="J541" s="18"/>
      <c r="K541" s="18"/>
      <c r="L541" s="88">
        <f>SUM(F541:K541)</f>
        <v>442227.22</v>
      </c>
      <c r="M541" s="8"/>
      <c r="N541" s="272"/>
    </row>
    <row r="542" spans="1:14" s="3" customFormat="1" ht="12.2" customHeight="1" x14ac:dyDescent="0.15">
      <c r="A542" s="22" t="s">
        <v>632</v>
      </c>
      <c r="B542" s="105">
        <v>21</v>
      </c>
      <c r="C542" s="105">
        <v>18</v>
      </c>
      <c r="D542" s="2" t="s">
        <v>430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.2" customHeight="1" thickBot="1" x14ac:dyDescent="0.2">
      <c r="A543" s="22" t="s">
        <v>633</v>
      </c>
      <c r="B543" s="105">
        <v>21</v>
      </c>
      <c r="C543" s="105">
        <v>19</v>
      </c>
      <c r="D543" s="2" t="s">
        <v>430</v>
      </c>
      <c r="E543" s="105"/>
      <c r="F543" s="18"/>
      <c r="G543" s="18"/>
      <c r="H543" s="18">
        <v>208106.93</v>
      </c>
      <c r="I543" s="18"/>
      <c r="J543" s="18"/>
      <c r="K543" s="18"/>
      <c r="L543" s="88">
        <f>SUM(F543:K543)</f>
        <v>208106.93</v>
      </c>
      <c r="M543" s="8"/>
      <c r="N543" s="272"/>
    </row>
    <row r="544" spans="1:14" s="3" customFormat="1" ht="12.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430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>SUM(H541:H543)</f>
        <v>650334.14999999991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650334.14999999991</v>
      </c>
      <c r="M544" s="8"/>
      <c r="N544" s="272"/>
    </row>
    <row r="545" spans="1:14" s="3" customFormat="1" ht="12.2" customHeight="1" thickTop="1" x14ac:dyDescent="0.15">
      <c r="A545" s="98" t="s">
        <v>72</v>
      </c>
      <c r="B545" s="107">
        <v>21</v>
      </c>
      <c r="C545" s="107">
        <v>21</v>
      </c>
      <c r="D545" s="158" t="s">
        <v>430</v>
      </c>
      <c r="E545" s="107"/>
      <c r="F545" s="89">
        <f>F524+F529+F534+F539+F544</f>
        <v>5343859.3499999996</v>
      </c>
      <c r="G545" s="89">
        <f t="shared" ref="G545:L545" si="41">G524+G529+G534+G539+G544</f>
        <v>2527240.6599999997</v>
      </c>
      <c r="H545" s="89">
        <f t="shared" si="41"/>
        <v>2485703.25</v>
      </c>
      <c r="I545" s="89">
        <f t="shared" si="41"/>
        <v>49424.770000000004</v>
      </c>
      <c r="J545" s="89">
        <f t="shared" si="41"/>
        <v>32050.21</v>
      </c>
      <c r="K545" s="89">
        <f t="shared" si="41"/>
        <v>19865.43</v>
      </c>
      <c r="L545" s="89">
        <f t="shared" si="41"/>
        <v>10458143.67</v>
      </c>
      <c r="M545" s="8"/>
      <c r="N545" s="272"/>
    </row>
    <row r="546" spans="1:14" s="3" customFormat="1" ht="12.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.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286</v>
      </c>
      <c r="M547" s="8"/>
      <c r="N547" s="272"/>
    </row>
    <row r="548" spans="1:14" s="3" customFormat="1" ht="12.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286</v>
      </c>
      <c r="M548" s="8"/>
      <c r="N548" s="272"/>
    </row>
    <row r="549" spans="1:14" s="3" customFormat="1" ht="12.2" customHeight="1" x14ac:dyDescent="0.15">
      <c r="A549" s="22" t="s">
        <v>631</v>
      </c>
      <c r="B549" s="75">
        <v>21</v>
      </c>
      <c r="C549" s="75">
        <v>22</v>
      </c>
      <c r="D549" s="2" t="s">
        <v>430</v>
      </c>
      <c r="E549" s="75"/>
      <c r="F549" s="87">
        <f>L521</f>
        <v>5018974.8199999994</v>
      </c>
      <c r="G549" s="87">
        <f>L526</f>
        <v>1711139.1600000001</v>
      </c>
      <c r="H549" s="87">
        <f>L531</f>
        <v>479704.93</v>
      </c>
      <c r="I549" s="87">
        <f>L536</f>
        <v>0</v>
      </c>
      <c r="J549" s="87">
        <f>L541</f>
        <v>442227.22</v>
      </c>
      <c r="K549" s="87">
        <f>SUM(F549:J549)</f>
        <v>7652046.129999999</v>
      </c>
      <c r="L549" s="24" t="s">
        <v>286</v>
      </c>
      <c r="M549" s="8"/>
      <c r="N549" s="272"/>
    </row>
    <row r="550" spans="1:14" s="3" customFormat="1" ht="12.2" customHeight="1" x14ac:dyDescent="0.15">
      <c r="A550" s="22" t="s">
        <v>632</v>
      </c>
      <c r="B550" s="75">
        <v>21</v>
      </c>
      <c r="C550" s="75">
        <v>23</v>
      </c>
      <c r="D550" s="2" t="s">
        <v>430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286</v>
      </c>
      <c r="M550" s="8"/>
      <c r="N550" s="272"/>
    </row>
    <row r="551" spans="1:14" s="3" customFormat="1" ht="12.2" customHeight="1" thickBot="1" x14ac:dyDescent="0.2">
      <c r="A551" s="22" t="s">
        <v>633</v>
      </c>
      <c r="B551" s="75">
        <v>21</v>
      </c>
      <c r="C551" s="75">
        <v>24</v>
      </c>
      <c r="D551" s="2" t="s">
        <v>430</v>
      </c>
      <c r="E551" s="75"/>
      <c r="F551" s="87">
        <f>L523</f>
        <v>2041818.75</v>
      </c>
      <c r="G551" s="87">
        <f>L528</f>
        <v>346341.72</v>
      </c>
      <c r="H551" s="87">
        <f>L533</f>
        <v>209830.14</v>
      </c>
      <c r="I551" s="87">
        <f>L538</f>
        <v>0</v>
      </c>
      <c r="J551" s="87">
        <f>L543</f>
        <v>208106.93</v>
      </c>
      <c r="K551" s="87">
        <f>SUM(F551:J551)</f>
        <v>2806097.54</v>
      </c>
      <c r="L551" s="24" t="s">
        <v>286</v>
      </c>
      <c r="M551" s="8"/>
      <c r="N551" s="272"/>
    </row>
    <row r="552" spans="1:14" s="3" customFormat="1" ht="12.2" customHeight="1" thickTop="1" x14ac:dyDescent="0.15">
      <c r="A552" s="172" t="s">
        <v>338</v>
      </c>
      <c r="B552" s="44">
        <v>21</v>
      </c>
      <c r="C552" s="44">
        <v>25</v>
      </c>
      <c r="D552" s="39" t="s">
        <v>430</v>
      </c>
      <c r="E552" s="44"/>
      <c r="F552" s="89">
        <f t="shared" ref="F552:K552" si="42">SUM(F549:F551)</f>
        <v>7060793.5699999994</v>
      </c>
      <c r="G552" s="89">
        <f t="shared" si="42"/>
        <v>2057480.8800000001</v>
      </c>
      <c r="H552" s="89">
        <f t="shared" si="42"/>
        <v>689535.07000000007</v>
      </c>
      <c r="I552" s="89">
        <f t="shared" si="42"/>
        <v>0</v>
      </c>
      <c r="J552" s="89">
        <f t="shared" si="42"/>
        <v>650334.14999999991</v>
      </c>
      <c r="K552" s="89">
        <f t="shared" si="42"/>
        <v>10458143.669999998</v>
      </c>
      <c r="L552" s="24"/>
      <c r="M552" s="8"/>
      <c r="N552" s="272"/>
    </row>
    <row r="553" spans="1:14" s="3" customFormat="1" ht="12.2" customHeight="1" x14ac:dyDescent="0.15">
      <c r="A553" s="96" t="s">
        <v>578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.2" customHeight="1" x14ac:dyDescent="0.15">
      <c r="B554" s="105"/>
      <c r="C554" s="115"/>
      <c r="D554" s="115"/>
      <c r="E554" s="115"/>
      <c r="F554" s="177" t="s">
        <v>687</v>
      </c>
      <c r="G554" s="177" t="s">
        <v>688</v>
      </c>
      <c r="H554" s="177" t="s">
        <v>689</v>
      </c>
      <c r="I554" s="177" t="s">
        <v>690</v>
      </c>
      <c r="J554" s="177" t="s">
        <v>691</v>
      </c>
      <c r="K554" s="177" t="s">
        <v>692</v>
      </c>
      <c r="L554" s="106"/>
      <c r="M554" s="8"/>
      <c r="N554" s="272"/>
    </row>
    <row r="555" spans="1:14" s="3" customFormat="1" ht="12.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.2" customHeight="1" x14ac:dyDescent="0.15">
      <c r="A556" s="96" t="s">
        <v>85</v>
      </c>
      <c r="B556" s="105"/>
      <c r="C556" s="115"/>
      <c r="D556" s="115"/>
      <c r="E556" s="115"/>
      <c r="F556" s="24" t="s">
        <v>286</v>
      </c>
      <c r="G556" s="24" t="s">
        <v>286</v>
      </c>
      <c r="H556" s="24" t="s">
        <v>286</v>
      </c>
      <c r="I556" s="24" t="s">
        <v>286</v>
      </c>
      <c r="J556" s="24" t="s">
        <v>286</v>
      </c>
      <c r="K556" s="24" t="s">
        <v>286</v>
      </c>
      <c r="L556" s="24" t="s">
        <v>286</v>
      </c>
      <c r="M556" s="8"/>
      <c r="N556" s="272"/>
    </row>
    <row r="557" spans="1:14" s="3" customFormat="1" ht="12.2" customHeight="1" x14ac:dyDescent="0.15">
      <c r="A557" s="22" t="s">
        <v>631</v>
      </c>
      <c r="B557" s="105">
        <v>22</v>
      </c>
      <c r="C557" s="115">
        <v>1</v>
      </c>
      <c r="D557" s="2" t="s">
        <v>430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.2" customHeight="1" x14ac:dyDescent="0.15">
      <c r="A558" s="22" t="s">
        <v>632</v>
      </c>
      <c r="B558" s="105">
        <v>22</v>
      </c>
      <c r="C558" s="115">
        <v>2</v>
      </c>
      <c r="D558" s="2" t="s">
        <v>430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.2" customHeight="1" thickBot="1" x14ac:dyDescent="0.2">
      <c r="A559" s="22" t="s">
        <v>633</v>
      </c>
      <c r="B559" s="105">
        <v>22</v>
      </c>
      <c r="C559" s="115">
        <v>3</v>
      </c>
      <c r="D559" s="2" t="s">
        <v>430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.2" customHeight="1" thickTop="1" x14ac:dyDescent="0.15">
      <c r="A560" s="139" t="s">
        <v>63</v>
      </c>
      <c r="B560" s="107">
        <v>22</v>
      </c>
      <c r="C560" s="195">
        <v>4</v>
      </c>
      <c r="D560" s="196" t="s">
        <v>430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.2" customHeight="1" x14ac:dyDescent="0.15">
      <c r="A561" s="96" t="s">
        <v>86</v>
      </c>
      <c r="B561" s="105"/>
      <c r="C561" s="115"/>
      <c r="D561" s="115"/>
      <c r="E561" s="115"/>
      <c r="F561" s="24" t="s">
        <v>286</v>
      </c>
      <c r="G561" s="24" t="s">
        <v>286</v>
      </c>
      <c r="H561" s="24" t="s">
        <v>286</v>
      </c>
      <c r="I561" s="24" t="s">
        <v>286</v>
      </c>
      <c r="J561" s="24" t="s">
        <v>286</v>
      </c>
      <c r="K561" s="24" t="s">
        <v>286</v>
      </c>
      <c r="L561" s="24" t="s">
        <v>286</v>
      </c>
      <c r="M561" s="8"/>
      <c r="N561" s="272"/>
    </row>
    <row r="562" spans="1:14" s="3" customFormat="1" ht="12.2" customHeight="1" x14ac:dyDescent="0.15">
      <c r="A562" s="22" t="s">
        <v>631</v>
      </c>
      <c r="B562" s="105">
        <v>22</v>
      </c>
      <c r="C562" s="115">
        <v>5</v>
      </c>
      <c r="D562" s="2" t="s">
        <v>430</v>
      </c>
      <c r="E562" s="115"/>
      <c r="F562" s="18">
        <v>78314.38</v>
      </c>
      <c r="G562" s="18"/>
      <c r="H562" s="18">
        <v>306.32</v>
      </c>
      <c r="I562" s="18">
        <v>124.27</v>
      </c>
      <c r="J562" s="18"/>
      <c r="K562" s="18"/>
      <c r="L562" s="88">
        <f>SUM(F562:K562)</f>
        <v>78744.970000000016</v>
      </c>
      <c r="M562" s="8"/>
      <c r="N562" s="272"/>
    </row>
    <row r="563" spans="1:14" s="3" customFormat="1" ht="12.2" customHeight="1" x14ac:dyDescent="0.15">
      <c r="A563" s="22" t="s">
        <v>632</v>
      </c>
      <c r="B563" s="105">
        <v>22</v>
      </c>
      <c r="C563" s="115">
        <v>6</v>
      </c>
      <c r="D563" s="2" t="s">
        <v>430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.2" customHeight="1" thickBot="1" x14ac:dyDescent="0.2">
      <c r="A564" s="22" t="s">
        <v>633</v>
      </c>
      <c r="B564" s="105">
        <v>22</v>
      </c>
      <c r="C564" s="118">
        <v>7</v>
      </c>
      <c r="D564" s="2" t="s">
        <v>430</v>
      </c>
      <c r="E564" s="118"/>
      <c r="F564" s="18">
        <v>36958.01</v>
      </c>
      <c r="G564" s="18"/>
      <c r="H564" s="18">
        <v>144.15</v>
      </c>
      <c r="I564" s="18">
        <v>58.48</v>
      </c>
      <c r="J564" s="18"/>
      <c r="K564" s="18"/>
      <c r="L564" s="88">
        <f>SUM(F564:K564)</f>
        <v>37160.640000000007</v>
      </c>
      <c r="M564" s="8"/>
      <c r="N564" s="272"/>
    </row>
    <row r="565" spans="1:14" s="3" customFormat="1" ht="12.2" customHeight="1" thickTop="1" x14ac:dyDescent="0.15">
      <c r="A565" s="139" t="s">
        <v>65</v>
      </c>
      <c r="B565" s="107">
        <v>22</v>
      </c>
      <c r="C565" s="107">
        <v>8</v>
      </c>
      <c r="D565" s="196" t="s">
        <v>430</v>
      </c>
      <c r="E565" s="107"/>
      <c r="F565" s="89">
        <f t="shared" ref="F565:L565" si="44">SUM(F562:F564)</f>
        <v>115272.39000000001</v>
      </c>
      <c r="G565" s="89">
        <f t="shared" si="44"/>
        <v>0</v>
      </c>
      <c r="H565" s="89">
        <f t="shared" si="44"/>
        <v>450.47</v>
      </c>
      <c r="I565" s="89">
        <f t="shared" si="44"/>
        <v>182.75</v>
      </c>
      <c r="J565" s="89">
        <f t="shared" si="44"/>
        <v>0</v>
      </c>
      <c r="K565" s="89">
        <f t="shared" si="44"/>
        <v>0</v>
      </c>
      <c r="L565" s="89">
        <f t="shared" si="44"/>
        <v>115905.61000000002</v>
      </c>
      <c r="M565" s="8"/>
      <c r="N565" s="272"/>
    </row>
    <row r="566" spans="1:14" s="3" customFormat="1" ht="12.2" customHeight="1" x14ac:dyDescent="0.15">
      <c r="A566" s="97" t="s">
        <v>87</v>
      </c>
      <c r="B566" s="105"/>
      <c r="C566" s="105"/>
      <c r="D566" s="105"/>
      <c r="E566" s="105"/>
      <c r="F566" s="24" t="s">
        <v>286</v>
      </c>
      <c r="G566" s="24" t="s">
        <v>286</v>
      </c>
      <c r="H566" s="24" t="s">
        <v>286</v>
      </c>
      <c r="I566" s="24" t="s">
        <v>286</v>
      </c>
      <c r="J566" s="24" t="s">
        <v>286</v>
      </c>
      <c r="K566" s="24" t="s">
        <v>286</v>
      </c>
      <c r="L566" s="24" t="s">
        <v>286</v>
      </c>
      <c r="M566" s="8"/>
      <c r="N566" s="272"/>
    </row>
    <row r="567" spans="1:14" s="3" customFormat="1" ht="12.2" customHeight="1" x14ac:dyDescent="0.15">
      <c r="A567" s="22" t="s">
        <v>631</v>
      </c>
      <c r="B567" s="105">
        <v>22</v>
      </c>
      <c r="C567" s="105">
        <v>9</v>
      </c>
      <c r="D567" s="2" t="s">
        <v>430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.2" customHeight="1" x14ac:dyDescent="0.15">
      <c r="A568" s="22" t="s">
        <v>632</v>
      </c>
      <c r="B568" s="105">
        <v>22</v>
      </c>
      <c r="C568" s="105">
        <v>10</v>
      </c>
      <c r="D568" s="2" t="s">
        <v>430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.2" customHeight="1" thickBot="1" x14ac:dyDescent="0.2">
      <c r="A569" s="22" t="s">
        <v>633</v>
      </c>
      <c r="B569" s="105">
        <v>22</v>
      </c>
      <c r="C569" s="105">
        <v>11</v>
      </c>
      <c r="D569" s="2" t="s">
        <v>430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.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430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.2" customHeight="1" thickTop="1" x14ac:dyDescent="0.15">
      <c r="A571" s="98" t="s">
        <v>88</v>
      </c>
      <c r="B571" s="107">
        <v>22</v>
      </c>
      <c r="C571" s="107">
        <v>13</v>
      </c>
      <c r="D571" s="158" t="s">
        <v>430</v>
      </c>
      <c r="E571" s="107"/>
      <c r="F571" s="89">
        <f>F560+F565+F570</f>
        <v>115272.39000000001</v>
      </c>
      <c r="G571" s="89">
        <f t="shared" ref="G571:L571" si="46">G560+G565+G570</f>
        <v>0</v>
      </c>
      <c r="H571" s="89">
        <f t="shared" si="46"/>
        <v>450.47</v>
      </c>
      <c r="I571" s="89">
        <f t="shared" si="46"/>
        <v>182.75</v>
      </c>
      <c r="J571" s="89">
        <f t="shared" si="46"/>
        <v>0</v>
      </c>
      <c r="K571" s="89">
        <f t="shared" si="46"/>
        <v>0</v>
      </c>
      <c r="L571" s="89">
        <f t="shared" si="46"/>
        <v>115905.61000000002</v>
      </c>
      <c r="M571" s="8"/>
      <c r="N571" s="272"/>
    </row>
    <row r="572" spans="1:14" s="3" customFormat="1" ht="12.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.2" customHeight="1" x14ac:dyDescent="0.15">
      <c r="A573" s="97" t="s">
        <v>769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.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286</v>
      </c>
      <c r="K574" s="24" t="s">
        <v>286</v>
      </c>
      <c r="L574" s="24" t="s">
        <v>286</v>
      </c>
      <c r="M574" s="8"/>
      <c r="N574" s="272"/>
    </row>
    <row r="575" spans="1:14" s="3" customFormat="1" ht="12.2" customHeight="1" x14ac:dyDescent="0.15">
      <c r="A575" s="99" t="s">
        <v>667</v>
      </c>
      <c r="B575" s="75">
        <v>22</v>
      </c>
      <c r="C575" s="75">
        <v>14</v>
      </c>
      <c r="D575" s="2" t="s">
        <v>430</v>
      </c>
      <c r="E575" s="75">
        <v>561</v>
      </c>
      <c r="F575" s="18"/>
      <c r="G575" s="18"/>
      <c r="H575" s="18"/>
      <c r="I575" s="87">
        <f>SUM(F575:H575)</f>
        <v>0</v>
      </c>
      <c r="J575" s="24" t="s">
        <v>286</v>
      </c>
      <c r="K575" s="24" t="s">
        <v>286</v>
      </c>
      <c r="L575" s="24" t="s">
        <v>286</v>
      </c>
      <c r="M575" s="8"/>
      <c r="N575" s="272"/>
    </row>
    <row r="576" spans="1:14" s="3" customFormat="1" ht="12.2" customHeight="1" x14ac:dyDescent="0.15">
      <c r="A576" s="99" t="s">
        <v>668</v>
      </c>
      <c r="B576" s="75">
        <v>22</v>
      </c>
      <c r="C576" s="75">
        <v>15</v>
      </c>
      <c r="D576" s="2" t="s">
        <v>430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286</v>
      </c>
      <c r="K576" s="24" t="s">
        <v>286</v>
      </c>
      <c r="L576" s="24" t="s">
        <v>286</v>
      </c>
      <c r="M576" s="8"/>
      <c r="N576" s="272"/>
    </row>
    <row r="577" spans="1:14" s="3" customFormat="1" ht="12.2" customHeight="1" x14ac:dyDescent="0.15">
      <c r="A577" s="99" t="s">
        <v>738</v>
      </c>
      <c r="B577" s="75">
        <v>22</v>
      </c>
      <c r="C577" s="75">
        <v>16</v>
      </c>
      <c r="D577" s="2" t="s">
        <v>430</v>
      </c>
      <c r="E577" s="75">
        <v>563</v>
      </c>
      <c r="F577" s="24" t="s">
        <v>286</v>
      </c>
      <c r="G577" s="24" t="s">
        <v>286</v>
      </c>
      <c r="H577" s="18"/>
      <c r="I577" s="87">
        <f t="shared" si="47"/>
        <v>0</v>
      </c>
      <c r="J577" s="24" t="s">
        <v>286</v>
      </c>
      <c r="K577" s="24" t="s">
        <v>286</v>
      </c>
      <c r="L577" s="24" t="s">
        <v>286</v>
      </c>
      <c r="M577" s="8"/>
      <c r="N577" s="272"/>
    </row>
    <row r="578" spans="1:14" s="3" customFormat="1" ht="12.2" customHeight="1" x14ac:dyDescent="0.15">
      <c r="A578" s="99" t="s">
        <v>672</v>
      </c>
      <c r="B578" s="75">
        <v>22</v>
      </c>
      <c r="C578" s="75">
        <v>17</v>
      </c>
      <c r="D578" s="2" t="s">
        <v>430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286</v>
      </c>
      <c r="K578" s="24" t="s">
        <v>286</v>
      </c>
      <c r="L578" s="24" t="s">
        <v>286</v>
      </c>
      <c r="M578" s="8"/>
      <c r="N578" s="272"/>
    </row>
    <row r="579" spans="1:14" s="3" customFormat="1" ht="12.2" customHeight="1" x14ac:dyDescent="0.15">
      <c r="A579" s="99" t="s">
        <v>669</v>
      </c>
      <c r="B579" s="75">
        <v>22</v>
      </c>
      <c r="C579" s="75">
        <v>18</v>
      </c>
      <c r="D579" s="2" t="s">
        <v>430</v>
      </c>
      <c r="E579" s="75">
        <v>561</v>
      </c>
      <c r="F579" s="18"/>
      <c r="G579" s="18"/>
      <c r="H579" s="18"/>
      <c r="I579" s="87">
        <f t="shared" si="47"/>
        <v>0</v>
      </c>
      <c r="J579" s="24" t="s">
        <v>286</v>
      </c>
      <c r="K579" s="24" t="s">
        <v>286</v>
      </c>
      <c r="L579" s="24" t="s">
        <v>286</v>
      </c>
      <c r="M579" s="8"/>
      <c r="N579" s="272"/>
    </row>
    <row r="580" spans="1:14" s="3" customFormat="1" ht="12.2" customHeight="1" x14ac:dyDescent="0.15">
      <c r="A580" s="99" t="s">
        <v>670</v>
      </c>
      <c r="B580" s="75">
        <v>22</v>
      </c>
      <c r="C580" s="75">
        <v>19</v>
      </c>
      <c r="D580" s="2" t="s">
        <v>430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286</v>
      </c>
      <c r="K580" s="24" t="s">
        <v>286</v>
      </c>
      <c r="L580" s="24" t="s">
        <v>286</v>
      </c>
      <c r="M580" s="8"/>
      <c r="N580" s="272"/>
    </row>
    <row r="581" spans="1:14" s="3" customFormat="1" ht="12.2" customHeight="1" x14ac:dyDescent="0.15">
      <c r="A581" s="146" t="s">
        <v>739</v>
      </c>
      <c r="B581" s="75">
        <v>22</v>
      </c>
      <c r="C581" s="75">
        <v>20</v>
      </c>
      <c r="D581" s="2" t="s">
        <v>430</v>
      </c>
      <c r="E581" s="75">
        <v>563</v>
      </c>
      <c r="F581" s="24" t="s">
        <v>286</v>
      </c>
      <c r="G581" s="24" t="s">
        <v>286</v>
      </c>
      <c r="H581" s="18"/>
      <c r="I581" s="87">
        <f t="shared" si="47"/>
        <v>0</v>
      </c>
      <c r="J581" s="24" t="s">
        <v>286</v>
      </c>
      <c r="K581" s="24" t="s">
        <v>286</v>
      </c>
      <c r="L581" s="24" t="s">
        <v>286</v>
      </c>
      <c r="M581" s="8"/>
      <c r="N581" s="272"/>
    </row>
    <row r="582" spans="1:14" s="3" customFormat="1" ht="12.2" customHeight="1" x14ac:dyDescent="0.15">
      <c r="A582" s="146" t="s">
        <v>671</v>
      </c>
      <c r="B582" s="75">
        <v>22</v>
      </c>
      <c r="C582" s="75">
        <v>21</v>
      </c>
      <c r="D582" s="2" t="s">
        <v>430</v>
      </c>
      <c r="E582" s="75">
        <v>564</v>
      </c>
      <c r="F582" s="18">
        <v>697949.79</v>
      </c>
      <c r="G582" s="18"/>
      <c r="H582" s="18">
        <v>214131.41</v>
      </c>
      <c r="I582" s="87">
        <f t="shared" si="47"/>
        <v>912081.20000000007</v>
      </c>
      <c r="J582" s="24" t="s">
        <v>286</v>
      </c>
      <c r="K582" s="24" t="s">
        <v>286</v>
      </c>
      <c r="L582" s="24" t="s">
        <v>286</v>
      </c>
      <c r="M582" s="8"/>
      <c r="N582" s="272"/>
    </row>
    <row r="583" spans="1:14" s="3" customFormat="1" ht="12.2" customHeight="1" x14ac:dyDescent="0.15">
      <c r="A583" s="146" t="s">
        <v>634</v>
      </c>
      <c r="B583" s="75">
        <v>22</v>
      </c>
      <c r="C583" s="75">
        <v>22</v>
      </c>
      <c r="D583" s="2" t="s">
        <v>430</v>
      </c>
      <c r="E583" s="75">
        <v>569</v>
      </c>
      <c r="F583" s="18">
        <v>10784.63</v>
      </c>
      <c r="G583" s="18"/>
      <c r="H583" s="18">
        <v>166813.98000000001</v>
      </c>
      <c r="I583" s="87">
        <f t="shared" si="47"/>
        <v>177598.61000000002</v>
      </c>
      <c r="J583" s="24" t="s">
        <v>286</v>
      </c>
      <c r="K583" s="24" t="s">
        <v>286</v>
      </c>
      <c r="L583" s="24" t="s">
        <v>286</v>
      </c>
      <c r="M583" s="8"/>
      <c r="N583" s="272"/>
    </row>
    <row r="584" spans="1:14" s="3" customFormat="1" ht="12.2" customHeight="1" x14ac:dyDescent="0.15">
      <c r="A584" s="22" t="s">
        <v>673</v>
      </c>
      <c r="B584" s="75">
        <v>22</v>
      </c>
      <c r="C584" s="75">
        <v>23</v>
      </c>
      <c r="D584" s="2" t="s">
        <v>430</v>
      </c>
      <c r="E584" s="75">
        <v>561</v>
      </c>
      <c r="F584" s="18"/>
      <c r="G584" s="18"/>
      <c r="H584" s="18">
        <v>120084.99</v>
      </c>
      <c r="I584" s="87">
        <f t="shared" si="47"/>
        <v>120084.99</v>
      </c>
      <c r="J584" s="24" t="s">
        <v>286</v>
      </c>
      <c r="K584" s="24" t="s">
        <v>286</v>
      </c>
      <c r="L584" s="24" t="s">
        <v>286</v>
      </c>
      <c r="M584" s="8"/>
      <c r="N584" s="272"/>
    </row>
    <row r="585" spans="1:14" s="3" customFormat="1" ht="12.2" customHeight="1" x14ac:dyDescent="0.15">
      <c r="A585" s="22" t="s">
        <v>674</v>
      </c>
      <c r="B585" s="75">
        <v>22</v>
      </c>
      <c r="C585" s="75">
        <v>24</v>
      </c>
      <c r="D585" s="2" t="s">
        <v>430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286</v>
      </c>
      <c r="K585" s="24" t="s">
        <v>286</v>
      </c>
      <c r="L585" s="24" t="s">
        <v>286</v>
      </c>
      <c r="M585" s="8"/>
      <c r="N585" s="272"/>
    </row>
    <row r="586" spans="1:14" s="3" customFormat="1" ht="12.2" customHeight="1" x14ac:dyDescent="0.15">
      <c r="A586" s="22" t="s">
        <v>740</v>
      </c>
      <c r="B586" s="75">
        <v>22</v>
      </c>
      <c r="C586" s="75">
        <v>25</v>
      </c>
      <c r="D586" s="2" t="s">
        <v>430</v>
      </c>
      <c r="E586" s="75">
        <v>563</v>
      </c>
      <c r="F586" s="24" t="s">
        <v>286</v>
      </c>
      <c r="G586" s="24" t="s">
        <v>286</v>
      </c>
      <c r="H586" s="18"/>
      <c r="I586" s="87">
        <f t="shared" si="47"/>
        <v>0</v>
      </c>
      <c r="J586" s="24" t="s">
        <v>286</v>
      </c>
      <c r="K586" s="24" t="s">
        <v>286</v>
      </c>
      <c r="L586" s="24" t="s">
        <v>286</v>
      </c>
      <c r="M586" s="8"/>
      <c r="N586" s="272"/>
    </row>
    <row r="587" spans="1:14" s="3" customFormat="1" ht="12.2" customHeight="1" x14ac:dyDescent="0.15">
      <c r="A587" s="22" t="s">
        <v>675</v>
      </c>
      <c r="B587" s="75">
        <v>22</v>
      </c>
      <c r="C587" s="75">
        <v>26</v>
      </c>
      <c r="D587" s="2" t="s">
        <v>430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286</v>
      </c>
      <c r="K587" s="24" t="s">
        <v>286</v>
      </c>
      <c r="L587" s="24" t="s">
        <v>286</v>
      </c>
      <c r="M587" s="8"/>
      <c r="N587" s="272"/>
    </row>
    <row r="588" spans="1:14" s="3" customFormat="1" ht="12.2" customHeight="1" x14ac:dyDescent="0.15">
      <c r="A588" s="173" t="s">
        <v>741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.2" customHeight="1" x14ac:dyDescent="0.15">
      <c r="A589" s="147" t="s">
        <v>652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.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.2" customHeight="1" x14ac:dyDescent="0.15">
      <c r="A591" s="3" t="s">
        <v>635</v>
      </c>
      <c r="B591" s="75">
        <v>23</v>
      </c>
      <c r="C591" s="75">
        <v>1</v>
      </c>
      <c r="D591" s="2" t="s">
        <v>430</v>
      </c>
      <c r="E591" s="75"/>
      <c r="F591" s="102">
        <v>2721</v>
      </c>
      <c r="G591" s="103" t="s">
        <v>97</v>
      </c>
      <c r="H591" s="18">
        <v>1053760.82</v>
      </c>
      <c r="I591" s="18"/>
      <c r="J591" s="18">
        <v>495887.44</v>
      </c>
      <c r="K591" s="104">
        <f t="shared" ref="K591:K597" si="48">SUM(H591:J591)</f>
        <v>1549648.26</v>
      </c>
      <c r="L591" s="24" t="s">
        <v>286</v>
      </c>
      <c r="M591" s="8"/>
      <c r="N591" s="272"/>
    </row>
    <row r="592" spans="1:14" s="3" customFormat="1" ht="12.2" customHeight="1" x14ac:dyDescent="0.15">
      <c r="A592" s="3" t="s">
        <v>636</v>
      </c>
      <c r="B592" s="75">
        <v>23</v>
      </c>
      <c r="C592" s="75">
        <v>2</v>
      </c>
      <c r="D592" s="2" t="s">
        <v>430</v>
      </c>
      <c r="E592" s="75"/>
      <c r="F592" s="102">
        <v>2722</v>
      </c>
      <c r="G592" s="103" t="s">
        <v>97</v>
      </c>
      <c r="H592" s="18">
        <v>442227.22</v>
      </c>
      <c r="I592" s="18"/>
      <c r="J592" s="18">
        <v>208106.93</v>
      </c>
      <c r="K592" s="104">
        <f t="shared" si="48"/>
        <v>650334.14999999991</v>
      </c>
      <c r="L592" s="24" t="s">
        <v>286</v>
      </c>
      <c r="M592" s="8"/>
      <c r="N592" s="272"/>
    </row>
    <row r="593" spans="1:14" s="3" customFormat="1" ht="12.2" customHeight="1" x14ac:dyDescent="0.15">
      <c r="A593" s="3" t="s">
        <v>637</v>
      </c>
      <c r="B593" s="75">
        <v>23</v>
      </c>
      <c r="C593" s="75">
        <v>3</v>
      </c>
      <c r="D593" s="2" t="s">
        <v>430</v>
      </c>
      <c r="E593" s="75"/>
      <c r="F593" s="102">
        <v>2723</v>
      </c>
      <c r="G593" s="103" t="s">
        <v>97</v>
      </c>
      <c r="H593" s="18">
        <v>69391.83</v>
      </c>
      <c r="I593" s="18"/>
      <c r="J593" s="18">
        <v>32654.98</v>
      </c>
      <c r="K593" s="104">
        <f t="shared" si="48"/>
        <v>102046.81</v>
      </c>
      <c r="L593" s="24" t="s">
        <v>286</v>
      </c>
      <c r="M593" s="8"/>
      <c r="N593" s="272"/>
    </row>
    <row r="594" spans="1:14" s="3" customFormat="1" ht="12.2" customHeight="1" x14ac:dyDescent="0.15">
      <c r="A594" s="22" t="s">
        <v>638</v>
      </c>
      <c r="B594" s="75">
        <v>23</v>
      </c>
      <c r="C594" s="75">
        <v>4</v>
      </c>
      <c r="D594" s="2" t="s">
        <v>430</v>
      </c>
      <c r="E594" s="75"/>
      <c r="F594" s="102">
        <v>2724</v>
      </c>
      <c r="G594" s="103" t="s">
        <v>97</v>
      </c>
      <c r="H594" s="18">
        <v>38578.82</v>
      </c>
      <c r="I594" s="18"/>
      <c r="J594" s="18">
        <v>98506.44</v>
      </c>
      <c r="K594" s="104">
        <f t="shared" si="48"/>
        <v>137085.26</v>
      </c>
      <c r="L594" s="24" t="s">
        <v>286</v>
      </c>
      <c r="M594" s="8"/>
      <c r="N594" s="272"/>
    </row>
    <row r="595" spans="1:14" s="3" customFormat="1" ht="12.2" customHeight="1" x14ac:dyDescent="0.15">
      <c r="A595" s="171" t="s">
        <v>650</v>
      </c>
      <c r="B595" s="75">
        <v>23</v>
      </c>
      <c r="C595" s="75">
        <v>5</v>
      </c>
      <c r="D595" s="2" t="s">
        <v>430</v>
      </c>
      <c r="E595" s="75"/>
      <c r="F595" s="102">
        <v>2725</v>
      </c>
      <c r="G595" s="103" t="s">
        <v>97</v>
      </c>
      <c r="H595" s="18"/>
      <c r="I595" s="18"/>
      <c r="J595" s="18">
        <v>4200</v>
      </c>
      <c r="K595" s="104">
        <f t="shared" si="48"/>
        <v>4200</v>
      </c>
      <c r="L595" s="24" t="s">
        <v>286</v>
      </c>
      <c r="M595" s="8"/>
      <c r="N595" s="272"/>
    </row>
    <row r="596" spans="1:14" s="3" customFormat="1" ht="12.2" customHeight="1" x14ac:dyDescent="0.15">
      <c r="A596" s="22" t="s">
        <v>639</v>
      </c>
      <c r="B596" s="75">
        <v>23</v>
      </c>
      <c r="C596" s="75">
        <v>6</v>
      </c>
      <c r="D596" s="2" t="s">
        <v>430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286</v>
      </c>
      <c r="M596" s="8"/>
      <c r="N596" s="272"/>
    </row>
    <row r="597" spans="1:14" s="3" customFormat="1" ht="12.2" customHeight="1" thickBot="1" x14ac:dyDescent="0.2">
      <c r="A597" s="3" t="s">
        <v>653</v>
      </c>
      <c r="B597" s="75">
        <v>23</v>
      </c>
      <c r="C597" s="75">
        <v>7</v>
      </c>
      <c r="D597" s="2" t="s">
        <v>430</v>
      </c>
      <c r="E597" s="75"/>
      <c r="F597" s="102">
        <v>2729</v>
      </c>
      <c r="G597" s="103" t="s">
        <v>97</v>
      </c>
      <c r="H597" s="18">
        <v>9848.0300000000007</v>
      </c>
      <c r="I597" s="18"/>
      <c r="J597" s="18">
        <v>4634.37</v>
      </c>
      <c r="K597" s="104">
        <f t="shared" si="48"/>
        <v>14482.400000000001</v>
      </c>
      <c r="L597" s="24" t="s">
        <v>286</v>
      </c>
      <c r="M597" s="8"/>
      <c r="N597" s="272"/>
    </row>
    <row r="598" spans="1:14" s="3" customFormat="1" ht="12.2" customHeight="1" thickTop="1" x14ac:dyDescent="0.15">
      <c r="A598" s="98" t="s">
        <v>338</v>
      </c>
      <c r="B598" s="44">
        <v>23</v>
      </c>
      <c r="C598" s="44">
        <v>8</v>
      </c>
      <c r="D598" s="39" t="s">
        <v>430</v>
      </c>
      <c r="E598" s="44"/>
      <c r="F598" s="148">
        <v>2700</v>
      </c>
      <c r="G598" s="149" t="s">
        <v>97</v>
      </c>
      <c r="H598" s="108">
        <f>SUM(H591:H597)</f>
        <v>1613806.7200000002</v>
      </c>
      <c r="I598" s="108">
        <f>SUM(I591:I597)</f>
        <v>0</v>
      </c>
      <c r="J598" s="108">
        <f>SUM(J591:J597)</f>
        <v>843990.16</v>
      </c>
      <c r="K598" s="108">
        <f>SUM(K591:K597)</f>
        <v>2457796.8800000004</v>
      </c>
      <c r="L598" s="24" t="s">
        <v>286</v>
      </c>
      <c r="M598" s="8"/>
      <c r="N598" s="272"/>
    </row>
    <row r="599" spans="1:14" s="3" customFormat="1" ht="12.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.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.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.2" customHeight="1" x14ac:dyDescent="0.15">
      <c r="A602" s="22" t="s">
        <v>640</v>
      </c>
      <c r="B602" s="105">
        <v>23</v>
      </c>
      <c r="C602" s="105">
        <v>9</v>
      </c>
      <c r="D602" s="2" t="s">
        <v>430</v>
      </c>
      <c r="E602" s="105"/>
      <c r="F602" s="103" t="s">
        <v>474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286</v>
      </c>
      <c r="M602" s="8"/>
      <c r="N602" s="272"/>
    </row>
    <row r="603" spans="1:14" s="3" customFormat="1" ht="12.2" customHeight="1" x14ac:dyDescent="0.15">
      <c r="A603" s="22" t="s">
        <v>641</v>
      </c>
      <c r="B603" s="105">
        <v>23</v>
      </c>
      <c r="C603" s="105">
        <v>10</v>
      </c>
      <c r="D603" s="2" t="s">
        <v>430</v>
      </c>
      <c r="E603" s="105"/>
      <c r="F603" s="103" t="s">
        <v>474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286</v>
      </c>
      <c r="M603" s="8"/>
      <c r="N603" s="272"/>
    </row>
    <row r="604" spans="1:14" s="3" customFormat="1" ht="12.2" customHeight="1" thickBot="1" x14ac:dyDescent="0.2">
      <c r="A604" s="22" t="s">
        <v>642</v>
      </c>
      <c r="B604" s="105">
        <v>23</v>
      </c>
      <c r="C604" s="105">
        <v>11</v>
      </c>
      <c r="D604" s="2" t="s">
        <v>430</v>
      </c>
      <c r="E604" s="105"/>
      <c r="F604" s="103" t="s">
        <v>474</v>
      </c>
      <c r="G604" s="102">
        <v>730</v>
      </c>
      <c r="H604" s="18">
        <v>413604.44</v>
      </c>
      <c r="I604" s="18"/>
      <c r="J604" s="18">
        <v>592839.47</v>
      </c>
      <c r="K604" s="104">
        <f>SUM(H604:J604)</f>
        <v>1006443.9099999999</v>
      </c>
      <c r="L604" s="24" t="s">
        <v>286</v>
      </c>
      <c r="M604" s="8"/>
      <c r="N604" s="272"/>
    </row>
    <row r="605" spans="1:14" s="3" customFormat="1" ht="12.2" customHeight="1" thickTop="1" x14ac:dyDescent="0.15">
      <c r="A605" s="98" t="s">
        <v>338</v>
      </c>
      <c r="B605" s="44">
        <v>23</v>
      </c>
      <c r="C605" s="44">
        <v>12</v>
      </c>
      <c r="D605" s="39" t="s">
        <v>430</v>
      </c>
      <c r="E605" s="44"/>
      <c r="F605" s="149" t="s">
        <v>474</v>
      </c>
      <c r="G605" s="148">
        <v>700</v>
      </c>
      <c r="H605" s="108">
        <f>SUM(H602:H604)</f>
        <v>413604.44</v>
      </c>
      <c r="I605" s="108">
        <f>SUM(I602:I604)</f>
        <v>0</v>
      </c>
      <c r="J605" s="108">
        <f>SUM(J602:J604)</f>
        <v>592839.47</v>
      </c>
      <c r="K605" s="108">
        <f>SUM(K602:K604)</f>
        <v>1006443.9099999999</v>
      </c>
      <c r="L605" s="24" t="s">
        <v>286</v>
      </c>
      <c r="M605" s="8"/>
      <c r="N605" s="272"/>
    </row>
    <row r="606" spans="1:14" s="3" customFormat="1" ht="12.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.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.2" customHeight="1" x14ac:dyDescent="0.15">
      <c r="A608" s="96" t="s">
        <v>579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.2" customHeight="1" x14ac:dyDescent="0.15">
      <c r="B609" s="105"/>
      <c r="C609" s="105"/>
      <c r="D609" s="105"/>
      <c r="E609" s="105"/>
      <c r="F609" s="177" t="s">
        <v>687</v>
      </c>
      <c r="G609" s="177" t="s">
        <v>688</v>
      </c>
      <c r="H609" s="177" t="s">
        <v>689</v>
      </c>
      <c r="I609" s="177" t="s">
        <v>690</v>
      </c>
      <c r="J609" s="177" t="s">
        <v>691</v>
      </c>
      <c r="K609" s="177" t="s">
        <v>692</v>
      </c>
      <c r="L609" s="88"/>
      <c r="M609" s="8"/>
      <c r="N609" s="272"/>
    </row>
    <row r="610" spans="1:14" s="3" customFormat="1" ht="12.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.2" customHeight="1" x14ac:dyDescent="0.15">
      <c r="A611" s="22" t="s">
        <v>631</v>
      </c>
      <c r="B611" s="75">
        <v>23</v>
      </c>
      <c r="C611" s="75">
        <v>13</v>
      </c>
      <c r="D611" s="2" t="s">
        <v>430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2"/>
    </row>
    <row r="612" spans="1:14" s="3" customFormat="1" ht="12.2" customHeight="1" x14ac:dyDescent="0.15">
      <c r="A612" s="22" t="s">
        <v>632</v>
      </c>
      <c r="B612" s="75">
        <v>23</v>
      </c>
      <c r="C612" s="75">
        <v>14</v>
      </c>
      <c r="D612" s="2" t="s">
        <v>430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.2" customHeight="1" thickBot="1" x14ac:dyDescent="0.2">
      <c r="A613" s="22" t="s">
        <v>643</v>
      </c>
      <c r="B613" s="75">
        <v>23</v>
      </c>
      <c r="C613" s="75">
        <v>15</v>
      </c>
      <c r="D613" s="2" t="s">
        <v>430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.2" customHeight="1" thickTop="1" x14ac:dyDescent="0.15">
      <c r="A614" s="98" t="s">
        <v>338</v>
      </c>
      <c r="B614" s="107">
        <v>23</v>
      </c>
      <c r="C614" s="107">
        <v>16</v>
      </c>
      <c r="D614" s="39" t="s">
        <v>430</v>
      </c>
      <c r="E614" s="107"/>
      <c r="F614" s="108">
        <f t="shared" ref="F614:L614" si="49">SUM(F611:F613)</f>
        <v>0</v>
      </c>
      <c r="G614" s="108">
        <f t="shared" si="49"/>
        <v>0</v>
      </c>
      <c r="H614" s="108">
        <f t="shared" si="49"/>
        <v>0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0</v>
      </c>
      <c r="M614" s="8"/>
      <c r="N614" s="272"/>
    </row>
    <row r="615" spans="1:14" s="3" customFormat="1" ht="12.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.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.2" customHeight="1" x14ac:dyDescent="0.15">
      <c r="A617" s="97" t="s">
        <v>99</v>
      </c>
      <c r="B617" s="105"/>
      <c r="C617" s="105"/>
      <c r="D617" s="105"/>
      <c r="E617" s="105"/>
      <c r="F617" s="121" t="s">
        <v>681</v>
      </c>
      <c r="G617" s="109">
        <f>SUM(F19)</f>
        <v>3006401.9100000006</v>
      </c>
      <c r="H617" s="109">
        <f>SUM(F52)</f>
        <v>3006401.91</v>
      </c>
      <c r="I617" s="121" t="s">
        <v>885</v>
      </c>
      <c r="J617" s="109">
        <f>G617-H617</f>
        <v>0</v>
      </c>
      <c r="K617" s="109"/>
      <c r="L617" s="109"/>
      <c r="M617" s="8"/>
    </row>
    <row r="618" spans="1:14" s="3" customFormat="1" ht="12.2" customHeight="1" x14ac:dyDescent="0.15">
      <c r="A618" s="97" t="s">
        <v>100</v>
      </c>
      <c r="B618" s="105"/>
      <c r="C618" s="105"/>
      <c r="D618" s="105"/>
      <c r="E618" s="105"/>
      <c r="F618" s="121" t="s">
        <v>682</v>
      </c>
      <c r="G618" s="109">
        <f>SUM(G19)</f>
        <v>269467.11</v>
      </c>
      <c r="H618" s="109">
        <f>SUM(G52)</f>
        <v>269467.11</v>
      </c>
      <c r="I618" s="121" t="s">
        <v>886</v>
      </c>
      <c r="J618" s="109">
        <f>G618-H618</f>
        <v>0</v>
      </c>
      <c r="K618" s="109"/>
      <c r="L618" s="109"/>
      <c r="M618" s="8"/>
    </row>
    <row r="619" spans="1:14" s="3" customFormat="1" ht="12.2" customHeight="1" x14ac:dyDescent="0.15">
      <c r="A619" s="97"/>
      <c r="B619" s="105"/>
      <c r="C619" s="105"/>
      <c r="D619" s="105"/>
      <c r="E619" s="105"/>
      <c r="F619" s="121" t="s">
        <v>683</v>
      </c>
      <c r="G619" s="109">
        <f>SUM(H19)</f>
        <v>272309.5</v>
      </c>
      <c r="H619" s="109">
        <f>SUM(H52)</f>
        <v>272309.5</v>
      </c>
      <c r="I619" s="121" t="s">
        <v>887</v>
      </c>
      <c r="J619" s="109">
        <f>G619-H619</f>
        <v>0</v>
      </c>
      <c r="K619" s="109"/>
      <c r="L619" s="109"/>
      <c r="M619" s="8"/>
    </row>
    <row r="620" spans="1:14" s="3" customFormat="1" ht="12.2" customHeight="1" x14ac:dyDescent="0.15">
      <c r="A620" s="97"/>
      <c r="B620" s="105"/>
      <c r="C620" s="105"/>
      <c r="D620" s="105"/>
      <c r="E620" s="105"/>
      <c r="F620" s="121" t="s">
        <v>684</v>
      </c>
      <c r="G620" s="109">
        <f>SUM(I19)</f>
        <v>27031296.43</v>
      </c>
      <c r="H620" s="109">
        <f>SUM(I52)</f>
        <v>27031296.43</v>
      </c>
      <c r="I620" s="121" t="s">
        <v>888</v>
      </c>
      <c r="J620" s="109">
        <f>G620-H620</f>
        <v>0</v>
      </c>
      <c r="K620" s="109"/>
      <c r="L620" s="109"/>
      <c r="M620" s="8"/>
    </row>
    <row r="621" spans="1:14" s="3" customFormat="1" ht="12.2" customHeight="1" x14ac:dyDescent="0.15">
      <c r="A621" s="97"/>
      <c r="B621" s="105"/>
      <c r="C621" s="105"/>
      <c r="D621" s="105"/>
      <c r="E621" s="105"/>
      <c r="F621" s="121" t="s">
        <v>685</v>
      </c>
      <c r="G621" s="109">
        <f>SUM(J19)</f>
        <v>1004049</v>
      </c>
      <c r="H621" s="109">
        <f>SUM(J52)</f>
        <v>1004049</v>
      </c>
      <c r="I621" s="121" t="s">
        <v>889</v>
      </c>
      <c r="J621" s="109">
        <f>G621-H621</f>
        <v>0</v>
      </c>
      <c r="K621" s="109"/>
      <c r="L621" s="109"/>
      <c r="M621" s="8"/>
    </row>
    <row r="622" spans="1:14" s="3" customFormat="1" ht="12.2" customHeight="1" x14ac:dyDescent="0.15">
      <c r="A622" s="97"/>
      <c r="B622" s="105"/>
      <c r="C622" s="105"/>
      <c r="D622" s="105"/>
      <c r="E622" s="105"/>
      <c r="F622" s="121" t="s">
        <v>875</v>
      </c>
      <c r="G622" s="109">
        <f>F51</f>
        <v>2351179.48</v>
      </c>
      <c r="H622" s="109">
        <f>F476</f>
        <v>2351179.4799999967</v>
      </c>
      <c r="I622" s="121" t="s">
        <v>101</v>
      </c>
      <c r="J622" s="109">
        <f t="shared" ref="J622:J655" si="50">G622-H622</f>
        <v>0</v>
      </c>
      <c r="K622" s="109"/>
      <c r="L622" s="109"/>
      <c r="M622" s="8"/>
    </row>
    <row r="623" spans="1:14" s="3" customFormat="1" ht="12.2" customHeight="1" x14ac:dyDescent="0.15">
      <c r="A623" s="97"/>
      <c r="B623" s="105"/>
      <c r="C623" s="119"/>
      <c r="D623" s="119"/>
      <c r="E623" s="119"/>
      <c r="F623" s="119" t="s">
        <v>876</v>
      </c>
      <c r="G623" s="109">
        <f>G51</f>
        <v>233862.55</v>
      </c>
      <c r="H623" s="109">
        <f>G476</f>
        <v>233862.55000000016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.2" customHeight="1" x14ac:dyDescent="0.15">
      <c r="A624" s="97"/>
      <c r="B624" s="105"/>
      <c r="C624" s="105"/>
      <c r="D624" s="105"/>
      <c r="E624" s="105"/>
      <c r="F624" s="120" t="s">
        <v>877</v>
      </c>
      <c r="G624" s="109">
        <f>H51</f>
        <v>173169.79</v>
      </c>
      <c r="H624" s="109">
        <f>H476</f>
        <v>173169.79000000004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.2" customHeight="1" x14ac:dyDescent="0.15">
      <c r="A625" s="97"/>
      <c r="B625" s="105"/>
      <c r="C625" s="105"/>
      <c r="D625" s="105"/>
      <c r="E625" s="105"/>
      <c r="F625" s="120" t="s">
        <v>878</v>
      </c>
      <c r="G625" s="109">
        <f>I51</f>
        <v>27031296.43</v>
      </c>
      <c r="H625" s="109">
        <f>I476</f>
        <v>27031296.43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.2" customHeight="1" x14ac:dyDescent="0.15">
      <c r="A626" s="22"/>
      <c r="B626" s="105"/>
      <c r="C626" s="105"/>
      <c r="D626" s="105"/>
      <c r="E626" s="105"/>
      <c r="F626" s="120" t="s">
        <v>879</v>
      </c>
      <c r="G626" s="109">
        <f>J51</f>
        <v>1004049</v>
      </c>
      <c r="H626" s="109">
        <f>J476</f>
        <v>1004049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.2" customHeight="1" x14ac:dyDescent="0.15">
      <c r="A627" s="22"/>
      <c r="B627" s="105"/>
      <c r="C627" s="105"/>
      <c r="D627" s="105"/>
      <c r="E627" s="105"/>
      <c r="F627" s="120" t="s">
        <v>656</v>
      </c>
      <c r="G627" s="109">
        <f>F193</f>
        <v>44899162.25</v>
      </c>
      <c r="H627" s="104">
        <f>SUM(F468)</f>
        <v>44899162.25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.2" customHeight="1" x14ac:dyDescent="0.15">
      <c r="A628" s="22"/>
      <c r="B628" s="105"/>
      <c r="C628" s="105"/>
      <c r="D628" s="105"/>
      <c r="E628" s="105"/>
      <c r="F628" s="120" t="s">
        <v>657</v>
      </c>
      <c r="G628" s="109">
        <f>G193</f>
        <v>845599.52000000014</v>
      </c>
      <c r="H628" s="104">
        <f>SUM(G468)</f>
        <v>845599.52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.2" customHeight="1" x14ac:dyDescent="0.15">
      <c r="A629" s="22"/>
      <c r="B629" s="105"/>
      <c r="C629" s="105"/>
      <c r="D629" s="105"/>
      <c r="E629" s="105"/>
      <c r="F629" s="120" t="s">
        <v>658</v>
      </c>
      <c r="G629" s="109">
        <f>H193</f>
        <v>833713.52</v>
      </c>
      <c r="H629" s="104">
        <f>SUM(H468)</f>
        <v>833713.52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.2" customHeight="1" x14ac:dyDescent="0.15">
      <c r="A630" s="22"/>
      <c r="B630" s="105"/>
      <c r="C630" s="105"/>
      <c r="D630" s="105"/>
      <c r="E630" s="105"/>
      <c r="F630" s="120" t="s">
        <v>659</v>
      </c>
      <c r="G630" s="109">
        <f>I193</f>
        <v>39296098.140000001</v>
      </c>
      <c r="H630" s="104">
        <f>SUM(I468)</f>
        <v>39296098.140000001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.2" customHeight="1" x14ac:dyDescent="0.15">
      <c r="A631" s="22"/>
      <c r="B631" s="105"/>
      <c r="C631" s="105"/>
      <c r="D631" s="105"/>
      <c r="E631" s="105"/>
      <c r="F631" s="120" t="s">
        <v>660</v>
      </c>
      <c r="G631" s="109">
        <f>J193</f>
        <v>100115</v>
      </c>
      <c r="H631" s="104">
        <f>SUM(J468)</f>
        <v>100115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.2" customHeight="1" x14ac:dyDescent="0.15">
      <c r="A632" s="22"/>
      <c r="B632" s="105"/>
      <c r="C632" s="105"/>
      <c r="D632" s="105"/>
      <c r="E632" s="105"/>
      <c r="F632" s="120" t="s">
        <v>392</v>
      </c>
      <c r="G632" s="109">
        <f>SUM(L271)</f>
        <v>47458339.870000005</v>
      </c>
      <c r="H632" s="104">
        <f>SUM(F472)</f>
        <v>47458339.870000005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.2" customHeight="1" x14ac:dyDescent="0.15">
      <c r="A633" s="22"/>
      <c r="B633" s="105"/>
      <c r="C633" s="105"/>
      <c r="D633" s="105"/>
      <c r="E633" s="105"/>
      <c r="F633" s="120" t="s">
        <v>393</v>
      </c>
      <c r="G633" s="109">
        <f>SUM(L352)</f>
        <v>836200.51</v>
      </c>
      <c r="H633" s="104">
        <f>SUM(H472)</f>
        <v>836200.51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.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412838.18999999994</v>
      </c>
      <c r="H634" s="104">
        <f>I369</f>
        <v>412838.19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.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836011.83999999985</v>
      </c>
      <c r="H635" s="104">
        <f>SUM(G472)</f>
        <v>836011.84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.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11373411.320000002</v>
      </c>
      <c r="H636" s="104">
        <f>SUM(I472)</f>
        <v>11373411.32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.2" customHeight="1" x14ac:dyDescent="0.15">
      <c r="A637" s="161"/>
      <c r="B637" s="162"/>
      <c r="C637" s="162"/>
      <c r="D637" s="162"/>
      <c r="E637" s="162"/>
      <c r="F637" s="163" t="s">
        <v>475</v>
      </c>
      <c r="G637" s="151">
        <f>SUM(L408)</f>
        <v>100114.99999999999</v>
      </c>
      <c r="H637" s="164">
        <f>SUM(J468)</f>
        <v>100115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.2" customHeight="1" x14ac:dyDescent="0.15">
      <c r="A638" s="161"/>
      <c r="B638" s="162"/>
      <c r="C638" s="162"/>
      <c r="D638" s="162"/>
      <c r="E638" s="162"/>
      <c r="F638" s="163" t="s">
        <v>476</v>
      </c>
      <c r="G638" s="151">
        <f>SUM(L434)</f>
        <v>1290000</v>
      </c>
      <c r="H638" s="164">
        <f>SUM(J472)</f>
        <v>1290000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.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71048.13</v>
      </c>
      <c r="H639" s="104">
        <f>SUM(F461)</f>
        <v>71048.13</v>
      </c>
      <c r="I639" s="140" t="s">
        <v>851</v>
      </c>
      <c r="J639" s="109">
        <f t="shared" si="50"/>
        <v>0</v>
      </c>
      <c r="K639" s="85"/>
      <c r="L639" s="88"/>
      <c r="M639" s="8"/>
    </row>
    <row r="640" spans="1:13" s="3" customFormat="1" ht="12.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933000.87</v>
      </c>
      <c r="H640" s="104">
        <f>SUM(G461)</f>
        <v>933000.87</v>
      </c>
      <c r="I640" s="140" t="s">
        <v>852</v>
      </c>
      <c r="J640" s="109">
        <f t="shared" si="50"/>
        <v>0</v>
      </c>
      <c r="K640" s="85"/>
      <c r="L640" s="88"/>
      <c r="M640" s="8"/>
    </row>
    <row r="641" spans="1:13" s="3" customFormat="1" ht="12.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853</v>
      </c>
      <c r="J641" s="109">
        <f t="shared" si="50"/>
        <v>0</v>
      </c>
      <c r="K641" s="85"/>
      <c r="L641" s="88"/>
      <c r="M641" s="8"/>
    </row>
    <row r="642" spans="1:13" s="3" customFormat="1" ht="12.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1004049</v>
      </c>
      <c r="H642" s="104">
        <f>SUM(I461)</f>
        <v>1004049</v>
      </c>
      <c r="I642" s="140" t="s">
        <v>854</v>
      </c>
      <c r="J642" s="109">
        <f t="shared" si="50"/>
        <v>0</v>
      </c>
      <c r="K642" s="85"/>
      <c r="L642" s="88"/>
      <c r="M642" s="8"/>
    </row>
    <row r="643" spans="1:13" s="3" customFormat="1" ht="12.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477</v>
      </c>
      <c r="J643" s="109">
        <f t="shared" si="50"/>
        <v>0</v>
      </c>
      <c r="K643" s="85"/>
      <c r="L643" s="88"/>
      <c r="M643" s="8"/>
    </row>
    <row r="644" spans="1:13" s="3" customFormat="1" ht="12.2" customHeight="1" x14ac:dyDescent="0.15">
      <c r="A644" s="22"/>
      <c r="B644" s="105"/>
      <c r="C644" s="105"/>
      <c r="D644" s="105"/>
      <c r="E644" s="105"/>
      <c r="F644" s="120" t="s">
        <v>661</v>
      </c>
      <c r="G644" s="109">
        <f>J96</f>
        <v>115</v>
      </c>
      <c r="H644" s="104">
        <f>H408</f>
        <v>115.00000000000001</v>
      </c>
      <c r="I644" s="140" t="s">
        <v>478</v>
      </c>
      <c r="J644" s="109">
        <f t="shared" si="50"/>
        <v>0</v>
      </c>
      <c r="K644" s="85"/>
      <c r="L644" s="88"/>
      <c r="M644" s="8"/>
    </row>
    <row r="645" spans="1:13" s="3" customFormat="1" ht="12.2" customHeight="1" x14ac:dyDescent="0.15">
      <c r="A645" s="22"/>
      <c r="B645" s="105"/>
      <c r="C645" s="105"/>
      <c r="D645" s="105"/>
      <c r="E645" s="105"/>
      <c r="F645" s="120" t="s">
        <v>662</v>
      </c>
      <c r="G645" s="109">
        <f>J183</f>
        <v>100000</v>
      </c>
      <c r="H645" s="104">
        <f>G408</f>
        <v>100000</v>
      </c>
      <c r="I645" s="140" t="s">
        <v>479</v>
      </c>
      <c r="J645" s="109">
        <f t="shared" si="50"/>
        <v>0</v>
      </c>
      <c r="K645" s="85"/>
      <c r="L645" s="88"/>
      <c r="M645" s="8"/>
    </row>
    <row r="646" spans="1:13" s="3" customFormat="1" ht="12.2" customHeight="1" x14ac:dyDescent="0.15">
      <c r="A646" s="22"/>
      <c r="B646" s="105"/>
      <c r="C646" s="105"/>
      <c r="D646" s="105"/>
      <c r="E646" s="105"/>
      <c r="F646" s="120" t="s">
        <v>660</v>
      </c>
      <c r="G646" s="109">
        <f>J193</f>
        <v>100115</v>
      </c>
      <c r="H646" s="104">
        <f>L408</f>
        <v>100114.99999999999</v>
      </c>
      <c r="I646" s="140" t="s">
        <v>475</v>
      </c>
      <c r="J646" s="109">
        <f t="shared" si="50"/>
        <v>0</v>
      </c>
      <c r="K646" s="85"/>
      <c r="L646" s="88"/>
      <c r="M646" s="8"/>
    </row>
    <row r="647" spans="1:13" s="3" customFormat="1" ht="12.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2457796.8800000004</v>
      </c>
      <c r="H647" s="104">
        <f>L208+L226+L244</f>
        <v>2457796.88</v>
      </c>
      <c r="I647" s="140" t="s">
        <v>394</v>
      </c>
      <c r="J647" s="109">
        <f t="shared" si="50"/>
        <v>0</v>
      </c>
      <c r="K647" s="85"/>
      <c r="L647" s="88"/>
      <c r="M647" s="8"/>
    </row>
    <row r="648" spans="1:13" s="3" customFormat="1" ht="12.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1006443.9099999999</v>
      </c>
      <c r="H648" s="104">
        <f>(J257+J338)-(J255+J336)</f>
        <v>1006443.9099999999</v>
      </c>
      <c r="I648" s="140" t="s">
        <v>697</v>
      </c>
      <c r="J648" s="109">
        <f t="shared" si="50"/>
        <v>0</v>
      </c>
      <c r="K648" s="85"/>
      <c r="L648" s="88"/>
      <c r="M648" s="8"/>
    </row>
    <row r="649" spans="1:13" s="3" customFormat="1" ht="12.2" customHeight="1" x14ac:dyDescent="0.15">
      <c r="A649" s="22"/>
      <c r="B649" s="105"/>
      <c r="C649" s="105"/>
      <c r="D649" s="105"/>
      <c r="E649" s="105"/>
      <c r="F649" s="120" t="s">
        <v>385</v>
      </c>
      <c r="G649" s="109">
        <f>L208</f>
        <v>1613806.72</v>
      </c>
      <c r="H649" s="104">
        <f>H598</f>
        <v>1613806.7200000002</v>
      </c>
      <c r="I649" s="140" t="s">
        <v>386</v>
      </c>
      <c r="J649" s="109">
        <f t="shared" si="50"/>
        <v>0</v>
      </c>
      <c r="K649" s="85"/>
      <c r="L649" s="88"/>
      <c r="M649" s="8"/>
    </row>
    <row r="650" spans="1:13" s="3" customFormat="1" ht="12.2" customHeight="1" x14ac:dyDescent="0.15">
      <c r="A650" s="22"/>
      <c r="B650" s="105"/>
      <c r="C650" s="105"/>
      <c r="D650" s="105"/>
      <c r="E650" s="105"/>
      <c r="F650" s="120" t="s">
        <v>390</v>
      </c>
      <c r="G650" s="109">
        <f>L226</f>
        <v>0</v>
      </c>
      <c r="H650" s="104">
        <f>I598</f>
        <v>0</v>
      </c>
      <c r="I650" s="140" t="s">
        <v>387</v>
      </c>
      <c r="J650" s="109">
        <f t="shared" si="50"/>
        <v>0</v>
      </c>
      <c r="K650" s="85"/>
      <c r="L650" s="88"/>
      <c r="M650" s="8"/>
    </row>
    <row r="651" spans="1:13" s="3" customFormat="1" ht="12.2" customHeight="1" x14ac:dyDescent="0.15">
      <c r="A651" s="22"/>
      <c r="B651" s="105"/>
      <c r="C651" s="105"/>
      <c r="D651" s="105"/>
      <c r="E651" s="105"/>
      <c r="F651" s="120" t="s">
        <v>391</v>
      </c>
      <c r="G651" s="109">
        <f>L244</f>
        <v>843990.15999999992</v>
      </c>
      <c r="H651" s="104">
        <f>J598</f>
        <v>843990.16</v>
      </c>
      <c r="I651" s="140" t="s">
        <v>388</v>
      </c>
      <c r="J651" s="109">
        <f t="shared" si="50"/>
        <v>0</v>
      </c>
      <c r="K651" s="85"/>
      <c r="L651" s="88"/>
      <c r="M651" s="8"/>
    </row>
    <row r="652" spans="1:13" s="3" customFormat="1" ht="12.2" customHeight="1" x14ac:dyDescent="0.15">
      <c r="A652" s="22"/>
      <c r="B652" s="105"/>
      <c r="C652" s="105"/>
      <c r="D652" s="105"/>
      <c r="E652" s="105"/>
      <c r="F652" s="120" t="s">
        <v>663</v>
      </c>
      <c r="G652" s="109">
        <f>G179</f>
        <v>0</v>
      </c>
      <c r="H652" s="104">
        <f>K263+K345</f>
        <v>0</v>
      </c>
      <c r="I652" s="140" t="s">
        <v>395</v>
      </c>
      <c r="J652" s="109">
        <f t="shared" si="50"/>
        <v>0</v>
      </c>
      <c r="K652" s="85"/>
      <c r="L652" s="88"/>
      <c r="M652" s="8"/>
    </row>
    <row r="653" spans="1:13" s="3" customFormat="1" ht="12.2" customHeight="1" x14ac:dyDescent="0.15">
      <c r="A653" s="22"/>
      <c r="B653" s="105"/>
      <c r="C653" s="105"/>
      <c r="D653" s="105"/>
      <c r="E653" s="105"/>
      <c r="F653" s="120" t="s">
        <v>664</v>
      </c>
      <c r="G653" s="109">
        <f>H179</f>
        <v>0</v>
      </c>
      <c r="H653" s="104">
        <f>K264</f>
        <v>0</v>
      </c>
      <c r="I653" s="140" t="s">
        <v>396</v>
      </c>
      <c r="J653" s="109">
        <f t="shared" si="50"/>
        <v>0</v>
      </c>
      <c r="K653" s="85"/>
      <c r="L653" s="88"/>
      <c r="M653" s="8"/>
    </row>
    <row r="654" spans="1:13" s="3" customFormat="1" ht="12.2" customHeight="1" x14ac:dyDescent="0.15">
      <c r="A654" s="22"/>
      <c r="B654" s="105"/>
      <c r="C654" s="105"/>
      <c r="D654" s="105"/>
      <c r="E654" s="105"/>
      <c r="F654" s="120" t="s">
        <v>665</v>
      </c>
      <c r="G654" s="109">
        <f>I179</f>
        <v>0</v>
      </c>
      <c r="H654" s="104">
        <f>K265+K346</f>
        <v>0</v>
      </c>
      <c r="I654" s="140" t="s">
        <v>397</v>
      </c>
      <c r="J654" s="109">
        <f t="shared" si="50"/>
        <v>0</v>
      </c>
      <c r="K654" s="85"/>
      <c r="L654" s="88"/>
      <c r="M654" s="8"/>
    </row>
    <row r="655" spans="1:13" s="3" customFormat="1" ht="12.2" customHeight="1" x14ac:dyDescent="0.15">
      <c r="A655" s="22"/>
      <c r="B655" s="105"/>
      <c r="C655" s="105"/>
      <c r="D655" s="105"/>
      <c r="E655" s="105"/>
      <c r="F655" s="120" t="s">
        <v>666</v>
      </c>
      <c r="G655" s="109">
        <f>J179+J181</f>
        <v>100000</v>
      </c>
      <c r="H655" s="104">
        <f>K266+K347</f>
        <v>100000</v>
      </c>
      <c r="I655" s="140" t="s">
        <v>398</v>
      </c>
      <c r="J655" s="109">
        <f t="shared" si="50"/>
        <v>0</v>
      </c>
      <c r="K655" s="85"/>
      <c r="L655" s="88"/>
      <c r="M655" s="8"/>
    </row>
    <row r="656" spans="1:13" s="3" customFormat="1" ht="12.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.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.2" customHeight="1" x14ac:dyDescent="0.15">
      <c r="A658" s="29" t="s">
        <v>123</v>
      </c>
      <c r="F658" s="25" t="s">
        <v>124</v>
      </c>
      <c r="G658" s="25" t="s">
        <v>125</v>
      </c>
      <c r="H658" s="25" t="s">
        <v>365</v>
      </c>
      <c r="I658" s="25" t="s">
        <v>338</v>
      </c>
      <c r="J658" s="13"/>
      <c r="K658" s="13"/>
      <c r="L658" s="13"/>
      <c r="M658" s="9"/>
    </row>
    <row r="659" spans="1:13" s="3" customFormat="1" ht="12.2" customHeight="1" x14ac:dyDescent="0.15">
      <c r="A659" s="274" t="s">
        <v>907</v>
      </c>
      <c r="F659" s="14" t="s">
        <v>284</v>
      </c>
      <c r="G659" s="13"/>
      <c r="H659" s="13"/>
      <c r="I659" s="13"/>
      <c r="J659" s="13"/>
      <c r="K659" s="13"/>
      <c r="L659" s="13"/>
      <c r="M659" s="9"/>
    </row>
    <row r="660" spans="1:13" s="3" customFormat="1" ht="12.2" customHeight="1" x14ac:dyDescent="0.15">
      <c r="A660" s="1" t="s">
        <v>126</v>
      </c>
      <c r="F660" s="19">
        <f>(L211+L290+L358)</f>
        <v>30353305.540000003</v>
      </c>
      <c r="G660" s="19">
        <f>(L229+L309+L359)</f>
        <v>267523.78999999998</v>
      </c>
      <c r="H660" s="19">
        <f>(L247+L328+L360)</f>
        <v>15185385.689999998</v>
      </c>
      <c r="I660" s="19">
        <f>SUM(F660:H660)</f>
        <v>45806215.019999996</v>
      </c>
      <c r="J660" s="13"/>
      <c r="K660" s="13"/>
      <c r="L660" s="13"/>
      <c r="M660" s="9"/>
    </row>
    <row r="661" spans="1:13" s="3" customFormat="1" ht="12.2" customHeight="1" x14ac:dyDescent="0.2">
      <c r="A661" s="1" t="s">
        <v>127</v>
      </c>
      <c r="F661" s="19">
        <f>(L358/IF(SUM(L358:L360)=0,1,SUM(L358:L360))*(SUM(G97:G110)))</f>
        <v>470193.77820748574</v>
      </c>
      <c r="G661" s="19">
        <f>(L359/IF(SUM(L358:L360)=0,1,SUM(L358:L360))*(SUM(G97:G110)))</f>
        <v>221267.66179251438</v>
      </c>
      <c r="H661" s="19">
        <f>(L360/IF(SUM(L358:L360)=0,1,SUM(L358:L360))*(SUM(G97:G110)))</f>
        <v>0</v>
      </c>
      <c r="I661" s="19">
        <f>SUM(F661:H661)</f>
        <v>691461.44000000018</v>
      </c>
      <c r="J661"/>
      <c r="K661" s="13"/>
      <c r="L661" s="13"/>
      <c r="M661" s="9"/>
    </row>
    <row r="662" spans="1:13" s="3" customFormat="1" ht="12.2" customHeight="1" x14ac:dyDescent="0.2">
      <c r="A662" s="1" t="s">
        <v>128</v>
      </c>
      <c r="F662" s="19">
        <f>(L208+L287)-(J208+J287)</f>
        <v>1613806.72</v>
      </c>
      <c r="G662" s="19">
        <f>(L226+L306)-(J226+J306)</f>
        <v>0</v>
      </c>
      <c r="H662" s="19">
        <f>(L244+L325)-(J244+J325)</f>
        <v>843990.15999999992</v>
      </c>
      <c r="I662" s="19">
        <f>SUM(F662:H662)</f>
        <v>2457796.88</v>
      </c>
      <c r="J662"/>
      <c r="K662" s="13"/>
      <c r="L662" s="13"/>
      <c r="M662" s="8"/>
    </row>
    <row r="663" spans="1:13" s="3" customFormat="1" ht="12.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1122338.8600000001</v>
      </c>
      <c r="G663" s="199">
        <f>SUM(G575:G587)+SUM(I602:I604)+L612</f>
        <v>0</v>
      </c>
      <c r="H663" s="199">
        <f>SUM(H575:H587)+SUM(J602:J604)+L613</f>
        <v>1093869.8500000001</v>
      </c>
      <c r="I663" s="19">
        <f>SUM(F663:H663)</f>
        <v>2216208.71</v>
      </c>
      <c r="J663" s="13"/>
      <c r="K663" s="13"/>
      <c r="L663" s="13"/>
      <c r="M663" s="9"/>
    </row>
    <row r="664" spans="1:13" s="3" customFormat="1" ht="12.2" customHeight="1" x14ac:dyDescent="0.15">
      <c r="A664" s="1" t="s">
        <v>130</v>
      </c>
      <c r="F664" s="19">
        <f>F660-SUM(F661:F663)</f>
        <v>27146966.181792516</v>
      </c>
      <c r="G664" s="19">
        <f>G660-SUM(G661:G663)</f>
        <v>46256.128207485599</v>
      </c>
      <c r="H664" s="19">
        <f>H660-SUM(H661:H663)</f>
        <v>13247525.679999998</v>
      </c>
      <c r="I664" s="19">
        <f>I660-SUM(I661:I663)</f>
        <v>40440747.989999995</v>
      </c>
      <c r="J664" s="13"/>
      <c r="K664" s="13"/>
      <c r="L664" s="13"/>
      <c r="M664" s="9"/>
    </row>
    <row r="665" spans="1:13" s="3" customFormat="1" ht="12.2" customHeight="1" x14ac:dyDescent="0.2">
      <c r="A665" s="1" t="s">
        <v>131</v>
      </c>
      <c r="F665" s="247">
        <v>1955.82</v>
      </c>
      <c r="G665" s="248"/>
      <c r="H665" s="248">
        <v>913.99</v>
      </c>
      <c r="I665" s="19">
        <f>SUM(F665:H665)</f>
        <v>2869.81</v>
      </c>
      <c r="J665" s="13"/>
      <c r="K665" s="13"/>
      <c r="L665" s="13"/>
      <c r="M665" s="8"/>
    </row>
    <row r="666" spans="1:13" s="3" customFormat="1" ht="12.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.2" customHeight="1" x14ac:dyDescent="0.15">
      <c r="A667" s="29" t="s">
        <v>133</v>
      </c>
      <c r="F667" s="19">
        <f>ROUND(F664/F665,2)</f>
        <v>13880.09</v>
      </c>
      <c r="G667" s="19" t="e">
        <f>ROUND(G664/G665,2)</f>
        <v>#DIV/0!</v>
      </c>
      <c r="H667" s="19">
        <f>ROUND(H664/H665,2)</f>
        <v>14494.17</v>
      </c>
      <c r="I667" s="19">
        <f>ROUND(I664/I665,2)</f>
        <v>14091.79</v>
      </c>
      <c r="J667" s="13"/>
      <c r="K667" s="13"/>
      <c r="L667" s="13"/>
      <c r="M667" s="9"/>
    </row>
    <row r="668" spans="1:13" s="3" customFormat="1" ht="12.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.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.2" customHeight="1" x14ac:dyDescent="0.15">
      <c r="A670" s="1" t="s">
        <v>135</v>
      </c>
      <c r="F670" s="18"/>
      <c r="G670" s="18"/>
      <c r="H670" s="18">
        <v>-20.78</v>
      </c>
      <c r="I670" s="19">
        <f>SUM(F670:H670)</f>
        <v>-20.78</v>
      </c>
      <c r="J670" s="13"/>
      <c r="K670" s="13"/>
      <c r="L670" s="13"/>
      <c r="M670" s="9"/>
    </row>
    <row r="671" spans="1:13" s="3" customFormat="1" ht="12.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.2" customHeight="1" x14ac:dyDescent="0.15">
      <c r="A672" s="1" t="s">
        <v>136</v>
      </c>
      <c r="B672" s="2" t="s">
        <v>137</v>
      </c>
      <c r="C672" s="2" t="s">
        <v>288</v>
      </c>
      <c r="D672" s="2"/>
      <c r="E672" s="2"/>
      <c r="F672" s="19">
        <f>ROUND((F664+F669)/(F665+F670),2)</f>
        <v>13880.09</v>
      </c>
      <c r="G672" s="19" t="e">
        <f>ROUND((G664+G669)/(G665+G670),2)</f>
        <v>#DIV/0!</v>
      </c>
      <c r="H672" s="19">
        <f>ROUND((H664+H669)/(H665+H670),2)</f>
        <v>14831.37</v>
      </c>
      <c r="I672" s="19">
        <f>ROUND((I664+I669)/(I665+I670),2)</f>
        <v>14194.57</v>
      </c>
      <c r="J672" s="13"/>
      <c r="K672" s="13"/>
      <c r="L672" s="13"/>
    </row>
    <row r="673" spans="1:12" s="3" customFormat="1" ht="12.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.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.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.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97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45" bottom="0.56000000000000005" header="0.3" footer="0.33"/>
  <pageSetup scale="90" orientation="landscape" r:id="rId1"/>
  <headerFooter alignWithMargins="0">
    <oddHeader xml:space="preserve">&amp;CDOE 25 for 2017-2018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0"/>
  </sheetPr>
  <dimension ref="A1:C52"/>
  <sheetViews>
    <sheetView workbookViewId="0">
      <selection activeCell="K32" sqref="K32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779</v>
      </c>
      <c r="B1" s="232" t="str">
        <f>'DOE25'!A2</f>
        <v>Windham</v>
      </c>
      <c r="C1" s="238" t="s">
        <v>833</v>
      </c>
    </row>
    <row r="2" spans="1:3" x14ac:dyDescent="0.2">
      <c r="A2" s="233"/>
      <c r="B2" s="232"/>
    </row>
    <row r="3" spans="1:3" x14ac:dyDescent="0.2">
      <c r="A3" s="279" t="s">
        <v>778</v>
      </c>
      <c r="B3" s="279"/>
      <c r="C3" s="279"/>
    </row>
    <row r="4" spans="1:3" x14ac:dyDescent="0.2">
      <c r="A4" s="236"/>
      <c r="B4" s="237" t="str">
        <f>'DOE25'!H1</f>
        <v>DOE 25  2017-2018</v>
      </c>
      <c r="C4" s="236"/>
    </row>
    <row r="5" spans="1:3" x14ac:dyDescent="0.2">
      <c r="A5" s="233"/>
      <c r="B5" s="232"/>
    </row>
    <row r="6" spans="1:3" x14ac:dyDescent="0.2">
      <c r="A6" s="227"/>
      <c r="B6" s="278" t="s">
        <v>777</v>
      </c>
      <c r="C6" s="278"/>
    </row>
    <row r="7" spans="1:3" x14ac:dyDescent="0.2">
      <c r="A7" s="239" t="s">
        <v>780</v>
      </c>
      <c r="B7" s="276" t="s">
        <v>776</v>
      </c>
      <c r="C7" s="277"/>
    </row>
    <row r="8" spans="1:3" x14ac:dyDescent="0.2">
      <c r="B8" s="228" t="s">
        <v>54</v>
      </c>
      <c r="C8" s="228" t="s">
        <v>770</v>
      </c>
    </row>
    <row r="9" spans="1:3" x14ac:dyDescent="0.2">
      <c r="A9" s="33" t="s">
        <v>771</v>
      </c>
      <c r="B9" s="229">
        <f>'DOE25'!F197+'DOE25'!F215+'DOE25'!F233+'DOE25'!F276+'DOE25'!F295+'DOE25'!F314</f>
        <v>11597909.630000001</v>
      </c>
      <c r="C9" s="229">
        <f>'DOE25'!G197+'DOE25'!G215+'DOE25'!G233+'DOE25'!G276+'DOE25'!G295+'DOE25'!G314</f>
        <v>5931112.9799999995</v>
      </c>
    </row>
    <row r="10" spans="1:3" x14ac:dyDescent="0.2">
      <c r="A10" t="s">
        <v>773</v>
      </c>
      <c r="B10" s="240">
        <v>10789627.119999999</v>
      </c>
      <c r="C10" s="240">
        <v>5515935.0700000003</v>
      </c>
    </row>
    <row r="11" spans="1:3" x14ac:dyDescent="0.2">
      <c r="A11" t="s">
        <v>774</v>
      </c>
      <c r="B11" s="240">
        <v>163493.87</v>
      </c>
      <c r="C11" s="240">
        <v>59311.13</v>
      </c>
    </row>
    <row r="12" spans="1:3" x14ac:dyDescent="0.2">
      <c r="A12" t="s">
        <v>775</v>
      </c>
      <c r="B12" s="240">
        <v>644788.64</v>
      </c>
      <c r="C12" s="240">
        <v>355866.78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11597909.629999999</v>
      </c>
      <c r="C13" s="231">
        <f>SUM(C10:C12)</f>
        <v>5931112.9800000004</v>
      </c>
    </row>
    <row r="14" spans="1:3" x14ac:dyDescent="0.2">
      <c r="B14" s="230"/>
      <c r="C14" s="230"/>
    </row>
    <row r="15" spans="1:3" x14ac:dyDescent="0.2">
      <c r="B15" s="278" t="s">
        <v>777</v>
      </c>
      <c r="C15" s="278"/>
    </row>
    <row r="16" spans="1:3" x14ac:dyDescent="0.2">
      <c r="A16" s="239" t="s">
        <v>781</v>
      </c>
      <c r="B16" s="276" t="s">
        <v>701</v>
      </c>
      <c r="C16" s="277"/>
    </row>
    <row r="17" spans="1:3" x14ac:dyDescent="0.2">
      <c r="B17" s="228" t="s">
        <v>54</v>
      </c>
      <c r="C17" s="228" t="s">
        <v>770</v>
      </c>
    </row>
    <row r="18" spans="1:3" x14ac:dyDescent="0.2">
      <c r="A18" s="33" t="s">
        <v>771</v>
      </c>
      <c r="B18" s="229">
        <f>'DOE25'!F198+'DOE25'!F216+'DOE25'!F234+'DOE25'!F277+'DOE25'!F296+'DOE25'!F315</f>
        <v>4308679.8199999994</v>
      </c>
      <c r="C18" s="229">
        <f>'DOE25'!G198+'DOE25'!G216+'DOE25'!G234+'DOE25'!G277+'DOE25'!G296+'DOE25'!G315</f>
        <v>2202678.42</v>
      </c>
    </row>
    <row r="19" spans="1:3" x14ac:dyDescent="0.2">
      <c r="A19" t="s">
        <v>773</v>
      </c>
      <c r="B19" s="240">
        <v>2276168.91</v>
      </c>
      <c r="C19" s="240">
        <v>1167419.56</v>
      </c>
    </row>
    <row r="20" spans="1:3" x14ac:dyDescent="0.2">
      <c r="A20" t="s">
        <v>774</v>
      </c>
      <c r="B20" s="240">
        <v>1653620.77</v>
      </c>
      <c r="C20" s="240">
        <v>837017.8</v>
      </c>
    </row>
    <row r="21" spans="1:3" x14ac:dyDescent="0.2">
      <c r="A21" t="s">
        <v>775</v>
      </c>
      <c r="B21" s="240">
        <v>378890.14</v>
      </c>
      <c r="C21" s="240">
        <v>198241.06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4308679.82</v>
      </c>
      <c r="C22" s="231">
        <f>SUM(C19:C21)</f>
        <v>2202678.42</v>
      </c>
    </row>
    <row r="23" spans="1:3" x14ac:dyDescent="0.2">
      <c r="B23" s="230"/>
      <c r="C23" s="230"/>
    </row>
    <row r="24" spans="1:3" x14ac:dyDescent="0.2">
      <c r="B24" s="278" t="s">
        <v>777</v>
      </c>
      <c r="C24" s="278"/>
    </row>
    <row r="25" spans="1:3" x14ac:dyDescent="0.2">
      <c r="A25" s="239" t="s">
        <v>782</v>
      </c>
      <c r="B25" s="276" t="s">
        <v>702</v>
      </c>
      <c r="C25" s="277"/>
    </row>
    <row r="26" spans="1:3" x14ac:dyDescent="0.2">
      <c r="B26" s="228" t="s">
        <v>54</v>
      </c>
      <c r="C26" s="228" t="s">
        <v>770</v>
      </c>
    </row>
    <row r="27" spans="1:3" x14ac:dyDescent="0.2">
      <c r="A27" s="33" t="s">
        <v>771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773</v>
      </c>
      <c r="B28" s="240"/>
      <c r="C28" s="240"/>
    </row>
    <row r="29" spans="1:3" x14ac:dyDescent="0.2">
      <c r="A29" t="s">
        <v>774</v>
      </c>
      <c r="B29" s="240"/>
      <c r="C29" s="240"/>
    </row>
    <row r="30" spans="1:3" x14ac:dyDescent="0.2">
      <c r="A30" t="s">
        <v>775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8" t="s">
        <v>777</v>
      </c>
      <c r="C33" s="278"/>
    </row>
    <row r="34" spans="1:3" x14ac:dyDescent="0.2">
      <c r="A34" s="239" t="s">
        <v>783</v>
      </c>
      <c r="B34" s="276" t="s">
        <v>703</v>
      </c>
      <c r="C34" s="277"/>
    </row>
    <row r="35" spans="1:3" x14ac:dyDescent="0.2">
      <c r="B35" s="228" t="s">
        <v>54</v>
      </c>
      <c r="C35" s="228" t="s">
        <v>770</v>
      </c>
    </row>
    <row r="36" spans="1:3" x14ac:dyDescent="0.2">
      <c r="A36" s="33" t="s">
        <v>771</v>
      </c>
      <c r="B36" s="235">
        <f>'DOE25'!F200+'DOE25'!F218+'DOE25'!F236+'DOE25'!F279+'DOE25'!F298+'DOE25'!F317</f>
        <v>553424.05000000005</v>
      </c>
      <c r="C36" s="235">
        <f>'DOE25'!G200+'DOE25'!G218+'DOE25'!G236+'DOE25'!G279+'DOE25'!G298+'DOE25'!G317</f>
        <v>238730.88</v>
      </c>
    </row>
    <row r="37" spans="1:3" x14ac:dyDescent="0.2">
      <c r="A37" t="s">
        <v>773</v>
      </c>
      <c r="B37" s="240"/>
      <c r="C37" s="240"/>
    </row>
    <row r="38" spans="1:3" x14ac:dyDescent="0.2">
      <c r="A38" t="s">
        <v>774</v>
      </c>
      <c r="B38" s="240"/>
      <c r="C38" s="240"/>
    </row>
    <row r="39" spans="1:3" x14ac:dyDescent="0.2">
      <c r="A39" t="s">
        <v>775</v>
      </c>
      <c r="B39" s="240">
        <v>553424.05000000005</v>
      </c>
      <c r="C39" s="240">
        <v>238730.88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553424.05000000005</v>
      </c>
      <c r="C40" s="231">
        <f>SUM(C37:C39)</f>
        <v>238730.88</v>
      </c>
    </row>
    <row r="41" spans="1:3" x14ac:dyDescent="0.2">
      <c r="B41" s="230"/>
      <c r="C41" s="230"/>
    </row>
    <row r="42" spans="1:3" x14ac:dyDescent="0.2">
      <c r="A42" s="33" t="s">
        <v>831</v>
      </c>
      <c r="B42" s="230"/>
      <c r="C42" s="230"/>
    </row>
    <row r="43" spans="1:3" x14ac:dyDescent="0.2">
      <c r="A43" t="s">
        <v>835</v>
      </c>
      <c r="B43" s="230"/>
      <c r="C43" s="230"/>
    </row>
    <row r="44" spans="1:3" x14ac:dyDescent="0.2">
      <c r="A44" t="s">
        <v>836</v>
      </c>
    </row>
    <row r="45" spans="1:3" x14ac:dyDescent="0.2">
      <c r="A45" t="s">
        <v>837</v>
      </c>
    </row>
    <row r="48" spans="1:3" x14ac:dyDescent="0.2">
      <c r="A48" s="264" t="s">
        <v>772</v>
      </c>
    </row>
    <row r="49" spans="1:1" x14ac:dyDescent="0.2">
      <c r="A49" s="268" t="s">
        <v>838</v>
      </c>
    </row>
    <row r="50" spans="1:1" x14ac:dyDescent="0.2">
      <c r="A50" s="268" t="s">
        <v>832</v>
      </c>
    </row>
    <row r="51" spans="1:1" x14ac:dyDescent="0.2">
      <c r="A51" s="268" t="s">
        <v>839</v>
      </c>
    </row>
    <row r="52" spans="1:1" x14ac:dyDescent="0.2">
      <c r="A52" s="269" t="s">
        <v>834</v>
      </c>
    </row>
  </sheetData>
  <sheetProtection password="97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FY2017-2018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I51"/>
  <sheetViews>
    <sheetView workbookViewId="0">
      <pane ySplit="4" topLeftCell="A8" activePane="bottomLeft" state="frozen"/>
      <selection activeCell="F46" sqref="F46"/>
      <selection pane="bottomLeft" activeCell="D47" sqref="D47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8" t="s">
        <v>784</v>
      </c>
      <c r="B1" s="283"/>
      <c r="C1" s="283"/>
      <c r="D1" s="283"/>
      <c r="E1" s="283"/>
      <c r="F1" s="283"/>
      <c r="G1" s="283"/>
      <c r="H1" s="283"/>
      <c r="I1" s="181"/>
    </row>
    <row r="2" spans="1:9" x14ac:dyDescent="0.2">
      <c r="A2" s="33" t="s">
        <v>711</v>
      </c>
      <c r="B2" s="265" t="str">
        <f>'DOE25'!A2</f>
        <v>Windham</v>
      </c>
      <c r="C2" s="181"/>
      <c r="D2" s="181" t="s">
        <v>786</v>
      </c>
      <c r="E2" s="181" t="s">
        <v>788</v>
      </c>
      <c r="F2" s="280" t="s">
        <v>815</v>
      </c>
      <c r="G2" s="281"/>
      <c r="H2" s="282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787</v>
      </c>
      <c r="E3" s="181" t="s">
        <v>789</v>
      </c>
      <c r="F3" s="241" t="s">
        <v>829</v>
      </c>
      <c r="G3" s="217" t="s">
        <v>59</v>
      </c>
      <c r="H3" s="242" t="s">
        <v>792</v>
      </c>
    </row>
    <row r="4" spans="1:9" x14ac:dyDescent="0.2">
      <c r="A4" s="251" t="s">
        <v>794</v>
      </c>
      <c r="B4" s="251" t="s">
        <v>810</v>
      </c>
      <c r="C4" s="251" t="s">
        <v>785</v>
      </c>
      <c r="D4" s="251" t="s">
        <v>811</v>
      </c>
      <c r="E4" s="251" t="s">
        <v>811</v>
      </c>
      <c r="F4" s="250" t="s">
        <v>791</v>
      </c>
      <c r="G4" s="251" t="s">
        <v>805</v>
      </c>
      <c r="H4" s="252" t="s">
        <v>793</v>
      </c>
    </row>
    <row r="5" spans="1:9" x14ac:dyDescent="0.2">
      <c r="A5" s="32">
        <v>1000</v>
      </c>
      <c r="B5" t="s">
        <v>195</v>
      </c>
      <c r="C5" s="245">
        <f t="shared" ref="C5:C19" si="0">SUM(D5:H5)</f>
        <v>26826426.620000001</v>
      </c>
      <c r="D5" s="20">
        <f>SUM('DOE25'!L197:L200)+SUM('DOE25'!L215:L218)+SUM('DOE25'!L233:L236)-F5-G5</f>
        <v>26535177.73</v>
      </c>
      <c r="E5" s="243"/>
      <c r="F5" s="255">
        <f>SUM('DOE25'!J197:J200)+SUM('DOE25'!J215:J218)+SUM('DOE25'!J233:J236)</f>
        <v>176787.59</v>
      </c>
      <c r="G5" s="53">
        <f>SUM('DOE25'!K197:K200)+SUM('DOE25'!K215:K218)+SUM('DOE25'!K233:K236)</f>
        <v>114461.29999999999</v>
      </c>
      <c r="H5" s="259"/>
    </row>
    <row r="6" spans="1:9" x14ac:dyDescent="0.2">
      <c r="A6" s="32">
        <v>2100</v>
      </c>
      <c r="B6" t="s">
        <v>795</v>
      </c>
      <c r="C6" s="245">
        <f t="shared" si="0"/>
        <v>3902585.9699999988</v>
      </c>
      <c r="D6" s="20">
        <f>'DOE25'!L202+'DOE25'!L220+'DOE25'!L238-F6-G6</f>
        <v>3862017.7499999991</v>
      </c>
      <c r="E6" s="243"/>
      <c r="F6" s="255">
        <f>'DOE25'!J202+'DOE25'!J220+'DOE25'!J238</f>
        <v>35269.129999999997</v>
      </c>
      <c r="G6" s="53">
        <f>'DOE25'!K202+'DOE25'!K220+'DOE25'!K238</f>
        <v>5299.0899999999992</v>
      </c>
      <c r="H6" s="259"/>
    </row>
    <row r="7" spans="1:9" x14ac:dyDescent="0.2">
      <c r="A7" s="32">
        <v>2200</v>
      </c>
      <c r="B7" t="s">
        <v>828</v>
      </c>
      <c r="C7" s="245">
        <f t="shared" si="0"/>
        <v>2980344.37</v>
      </c>
      <c r="D7" s="20">
        <f>'DOE25'!L203+'DOE25'!L221+'DOE25'!L239-F7-G7</f>
        <v>2319673.4000000004</v>
      </c>
      <c r="E7" s="243"/>
      <c r="F7" s="255">
        <f>'DOE25'!J203+'DOE25'!J221+'DOE25'!J239</f>
        <v>660670.97</v>
      </c>
      <c r="G7" s="53">
        <f>'DOE25'!K203+'DOE25'!K221+'DOE25'!K239</f>
        <v>0</v>
      </c>
      <c r="H7" s="259"/>
    </row>
    <row r="8" spans="1:9" x14ac:dyDescent="0.2">
      <c r="A8" s="32">
        <v>2300</v>
      </c>
      <c r="B8" t="s">
        <v>796</v>
      </c>
      <c r="C8" s="245">
        <f t="shared" si="0"/>
        <v>1475901.0499999996</v>
      </c>
      <c r="D8" s="243"/>
      <c r="E8" s="20">
        <f>'DOE25'!L204+'DOE25'!L222+'DOE25'!L240-F8-G8-D9-D11</f>
        <v>1441082.5599999996</v>
      </c>
      <c r="F8" s="255">
        <f>'DOE25'!J204+'DOE25'!J222+'DOE25'!J240</f>
        <v>3342.88</v>
      </c>
      <c r="G8" s="53">
        <f>'DOE25'!K204+'DOE25'!K222+'DOE25'!K240</f>
        <v>31475.61</v>
      </c>
      <c r="H8" s="259"/>
    </row>
    <row r="9" spans="1:9" x14ac:dyDescent="0.2">
      <c r="A9" s="32">
        <v>2310</v>
      </c>
      <c r="B9" t="s">
        <v>812</v>
      </c>
      <c r="C9" s="245">
        <f t="shared" si="0"/>
        <v>39637.15</v>
      </c>
      <c r="D9" s="244">
        <v>39637.15</v>
      </c>
      <c r="E9" s="243"/>
      <c r="F9" s="258"/>
      <c r="G9" s="256"/>
      <c r="H9" s="259"/>
    </row>
    <row r="10" spans="1:9" x14ac:dyDescent="0.2">
      <c r="A10" s="32">
        <v>2317</v>
      </c>
      <c r="B10" t="s">
        <v>813</v>
      </c>
      <c r="C10" s="245">
        <f t="shared" si="0"/>
        <v>33540</v>
      </c>
      <c r="D10" s="243"/>
      <c r="E10" s="244">
        <v>33540</v>
      </c>
      <c r="F10" s="258"/>
      <c r="G10" s="256"/>
      <c r="H10" s="259"/>
    </row>
    <row r="11" spans="1:9" x14ac:dyDescent="0.2">
      <c r="A11" s="32">
        <v>2321</v>
      </c>
      <c r="B11" t="s">
        <v>825</v>
      </c>
      <c r="C11" s="245">
        <f t="shared" si="0"/>
        <v>435338.38</v>
      </c>
      <c r="D11" s="244">
        <v>435338.38</v>
      </c>
      <c r="E11" s="243"/>
      <c r="F11" s="258"/>
      <c r="G11" s="256"/>
      <c r="H11" s="259"/>
    </row>
    <row r="12" spans="1:9" x14ac:dyDescent="0.2">
      <c r="A12" s="32">
        <v>2400</v>
      </c>
      <c r="B12" t="s">
        <v>709</v>
      </c>
      <c r="C12" s="245">
        <f t="shared" si="0"/>
        <v>2033868.0100000002</v>
      </c>
      <c r="D12" s="20">
        <f>'DOE25'!L205+'DOE25'!L223+'DOE25'!L241-F12-G12</f>
        <v>1969740.1400000001</v>
      </c>
      <c r="E12" s="243"/>
      <c r="F12" s="255">
        <f>'DOE25'!J205+'DOE25'!J223+'DOE25'!J241</f>
        <v>21053.08</v>
      </c>
      <c r="G12" s="53">
        <f>'DOE25'!K205+'DOE25'!K223+'DOE25'!K241</f>
        <v>43074.79</v>
      </c>
      <c r="H12" s="259"/>
    </row>
    <row r="13" spans="1:9" x14ac:dyDescent="0.2">
      <c r="A13" s="32">
        <v>2500</v>
      </c>
      <c r="B13" t="s">
        <v>797</v>
      </c>
      <c r="C13" s="245">
        <f t="shared" si="0"/>
        <v>816467.43000000017</v>
      </c>
      <c r="D13" s="243"/>
      <c r="E13" s="20">
        <f>'DOE25'!L206+'DOE25'!L224+'DOE25'!L242-F13-G13</f>
        <v>810088.68000000017</v>
      </c>
      <c r="F13" s="255">
        <f>'DOE25'!J206+'DOE25'!J224+'DOE25'!J242</f>
        <v>0</v>
      </c>
      <c r="G13" s="53">
        <f>'DOE25'!K206+'DOE25'!K224+'DOE25'!K242</f>
        <v>6378.75</v>
      </c>
      <c r="H13" s="259"/>
    </row>
    <row r="14" spans="1:9" x14ac:dyDescent="0.2">
      <c r="A14" s="32">
        <v>2600</v>
      </c>
      <c r="B14" t="s">
        <v>826</v>
      </c>
      <c r="C14" s="245">
        <f t="shared" si="0"/>
        <v>3087294.56</v>
      </c>
      <c r="D14" s="20">
        <f>'DOE25'!L207+'DOE25'!L225+'DOE25'!L243-F14-G14</f>
        <v>3019582.16</v>
      </c>
      <c r="E14" s="243"/>
      <c r="F14" s="255">
        <f>'DOE25'!J207+'DOE25'!J225+'DOE25'!J243</f>
        <v>67712.399999999994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798</v>
      </c>
      <c r="C15" s="245">
        <f t="shared" si="0"/>
        <v>2457796.88</v>
      </c>
      <c r="D15" s="20">
        <f>'DOE25'!L208+'DOE25'!L226+'DOE25'!L244-F15-G15</f>
        <v>2457796.88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799</v>
      </c>
      <c r="C16" s="245">
        <f t="shared" si="0"/>
        <v>78342.25</v>
      </c>
      <c r="D16" s="243"/>
      <c r="E16" s="20">
        <f>'DOE25'!L209+'DOE25'!L227+'DOE25'!L245-F16-G16</f>
        <v>78342.25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800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801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802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790</v>
      </c>
      <c r="F21" s="260"/>
      <c r="G21" s="52"/>
      <c r="H21" s="261"/>
    </row>
    <row r="22" spans="1:8" x14ac:dyDescent="0.2">
      <c r="A22" s="32">
        <v>4000</v>
      </c>
      <c r="B22" t="s">
        <v>827</v>
      </c>
      <c r="C22" s="245">
        <f>SUM(D22:H22)</f>
        <v>20500</v>
      </c>
      <c r="D22" s="243"/>
      <c r="E22" s="243"/>
      <c r="F22" s="255">
        <f>'DOE25'!L255+'DOE25'!L336</f>
        <v>20500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461</v>
      </c>
      <c r="F24" s="260"/>
      <c r="G24" s="52"/>
      <c r="H24" s="261"/>
    </row>
    <row r="25" spans="1:8" x14ac:dyDescent="0.2">
      <c r="A25" s="32" t="s">
        <v>803</v>
      </c>
      <c r="B25" t="s">
        <v>804</v>
      </c>
      <c r="C25" s="245">
        <f>SUM(D25:H25)</f>
        <v>3203837.2</v>
      </c>
      <c r="D25" s="243"/>
      <c r="E25" s="243"/>
      <c r="F25" s="258"/>
      <c r="G25" s="256"/>
      <c r="H25" s="257">
        <f>'DOE25'!L260+'DOE25'!L261+'DOE25'!L341+'DOE25'!L342</f>
        <v>3203837.2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806</v>
      </c>
      <c r="F27" s="260"/>
      <c r="G27" s="52"/>
      <c r="H27" s="261"/>
    </row>
    <row r="28" spans="1:8" x14ac:dyDescent="0.2">
      <c r="A28" s="32">
        <v>3100</v>
      </c>
      <c r="B28" t="s">
        <v>819</v>
      </c>
      <c r="F28" s="260"/>
      <c r="G28" s="52"/>
      <c r="H28" s="261"/>
    </row>
    <row r="29" spans="1:8" x14ac:dyDescent="0.2">
      <c r="A29" s="32"/>
      <c r="B29" t="s">
        <v>807</v>
      </c>
      <c r="C29" s="245">
        <f>SUM(D29:H29)</f>
        <v>444171.69999999984</v>
      </c>
      <c r="D29" s="20">
        <f>'DOE25'!L358+'DOE25'!L359+'DOE25'!L360-'DOE25'!I367-F29-G29</f>
        <v>441010.11999999982</v>
      </c>
      <c r="E29" s="243"/>
      <c r="F29" s="255">
        <f>'DOE25'!J358+'DOE25'!J359+'DOE25'!J360</f>
        <v>1499.18</v>
      </c>
      <c r="G29" s="53">
        <f>'DOE25'!K358+'DOE25'!K359+'DOE25'!K360</f>
        <v>1662.4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821</v>
      </c>
      <c r="B31" t="s">
        <v>820</v>
      </c>
      <c r="C31" s="245">
        <f>SUM(D31:H31)</f>
        <v>836200.51</v>
      </c>
      <c r="D31" s="20">
        <f>'DOE25'!L290+'DOE25'!L309+'DOE25'!L328+'DOE25'!L333+'DOE25'!L334+'DOE25'!L335-F31-G31</f>
        <v>779604.54</v>
      </c>
      <c r="E31" s="243"/>
      <c r="F31" s="255">
        <f>'DOE25'!J290+'DOE25'!J309+'DOE25'!J328+'DOE25'!J333+'DOE25'!J334+'DOE25'!J335</f>
        <v>41607.86</v>
      </c>
      <c r="G31" s="53">
        <f>'DOE25'!K290+'DOE25'!K309+'DOE25'!K328+'DOE25'!K333+'DOE25'!K334+'DOE25'!K335</f>
        <v>14988.11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808</v>
      </c>
      <c r="D33" s="246">
        <f>SUM(D5:D31)</f>
        <v>41859578.249999993</v>
      </c>
      <c r="E33" s="246">
        <f>SUM(E5:E31)</f>
        <v>2363053.4899999998</v>
      </c>
      <c r="F33" s="246">
        <f>SUM(F5:F31)</f>
        <v>1028443.09</v>
      </c>
      <c r="G33" s="246">
        <f>SUM(G5:G31)</f>
        <v>217340.05</v>
      </c>
      <c r="H33" s="246">
        <f>SUM(H5:H31)</f>
        <v>3203837.2</v>
      </c>
    </row>
    <row r="35" spans="2:8" ht="12" thickBot="1" x14ac:dyDescent="0.25">
      <c r="B35" s="253" t="s">
        <v>841</v>
      </c>
      <c r="D35" s="254">
        <f>E33</f>
        <v>2363053.4899999998</v>
      </c>
      <c r="E35" s="249"/>
    </row>
    <row r="36" spans="2:8" ht="12" thickTop="1" x14ac:dyDescent="0.2">
      <c r="B36" t="s">
        <v>809</v>
      </c>
      <c r="D36" s="20">
        <f>D33</f>
        <v>41859578.249999993</v>
      </c>
    </row>
    <row r="38" spans="2:8" x14ac:dyDescent="0.2">
      <c r="B38" s="187" t="s">
        <v>908</v>
      </c>
      <c r="C38" s="266"/>
      <c r="D38" s="267"/>
    </row>
    <row r="39" spans="2:8" x14ac:dyDescent="0.2">
      <c r="B39" t="s">
        <v>818</v>
      </c>
      <c r="D39" s="181" t="str">
        <f>IF(E10&gt;0,"Y","N")</f>
        <v>Y</v>
      </c>
    </row>
    <row r="41" spans="2:8" x14ac:dyDescent="0.2">
      <c r="B41" s="264" t="s">
        <v>765</v>
      </c>
    </row>
    <row r="42" spans="2:8" x14ac:dyDescent="0.2">
      <c r="B42" t="s">
        <v>822</v>
      </c>
    </row>
    <row r="43" spans="2:8" x14ac:dyDescent="0.2">
      <c r="B43" t="s">
        <v>816</v>
      </c>
    </row>
    <row r="45" spans="2:8" x14ac:dyDescent="0.2">
      <c r="B45" t="s">
        <v>814</v>
      </c>
    </row>
    <row r="47" spans="2:8" x14ac:dyDescent="0.2">
      <c r="B47" t="s">
        <v>824</v>
      </c>
    </row>
    <row r="48" spans="2:8" x14ac:dyDescent="0.2">
      <c r="B48" t="s">
        <v>840</v>
      </c>
    </row>
    <row r="49" spans="2:2" x14ac:dyDescent="0.2">
      <c r="B49" t="s">
        <v>830</v>
      </c>
    </row>
    <row r="50" spans="2:2" x14ac:dyDescent="0.2">
      <c r="B50" t="s">
        <v>823</v>
      </c>
    </row>
    <row r="51" spans="2:2" x14ac:dyDescent="0.2">
      <c r="B51" t="s">
        <v>817</v>
      </c>
    </row>
  </sheetData>
  <sheetProtection password="9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>
    <tabColor indexed="10"/>
  </sheetPr>
  <dimension ref="A1:I164"/>
  <sheetViews>
    <sheetView zoomScale="80" zoomScaleNormal="80" workbookViewId="0">
      <pane ySplit="2" topLeftCell="A84" activePane="bottomLeft" state="frozen"/>
      <selection activeCell="F46" sqref="F46"/>
      <selection pane="bottomLeft" activeCell="E110" sqref="E110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Windham</v>
      </c>
      <c r="B2" s="126"/>
      <c r="C2" s="15" t="s">
        <v>262</v>
      </c>
      <c r="D2" s="15" t="s">
        <v>263</v>
      </c>
      <c r="E2" s="15" t="s">
        <v>264</v>
      </c>
      <c r="F2" s="15" t="s">
        <v>265</v>
      </c>
      <c r="G2" s="15" t="s">
        <v>266</v>
      </c>
      <c r="H2" s="125"/>
      <c r="I2" s="125"/>
    </row>
    <row r="3" spans="1:9" x14ac:dyDescent="0.2">
      <c r="A3" s="5" t="s">
        <v>268</v>
      </c>
      <c r="B3" s="6" t="s">
        <v>138</v>
      </c>
      <c r="C3" s="23" t="s">
        <v>271</v>
      </c>
      <c r="D3" s="23" t="s">
        <v>272</v>
      </c>
      <c r="E3" s="23" t="s">
        <v>273</v>
      </c>
      <c r="F3" s="23" t="s">
        <v>274</v>
      </c>
      <c r="G3" s="23" t="s">
        <v>275</v>
      </c>
      <c r="H3" s="4"/>
      <c r="I3" s="4"/>
    </row>
    <row r="4" spans="1:9" x14ac:dyDescent="0.2">
      <c r="A4" s="1" t="s">
        <v>277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278</v>
      </c>
      <c r="D5" s="26" t="s">
        <v>279</v>
      </c>
      <c r="E5" s="25" t="s">
        <v>280</v>
      </c>
      <c r="F5" s="25" t="s">
        <v>281</v>
      </c>
      <c r="G5" s="25" t="s">
        <v>282</v>
      </c>
      <c r="H5" s="124"/>
      <c r="I5" s="124"/>
    </row>
    <row r="6" spans="1:9" x14ac:dyDescent="0.2">
      <c r="A6" s="1" t="s">
        <v>283</v>
      </c>
      <c r="B6" s="7"/>
      <c r="C6" s="14" t="s">
        <v>284</v>
      </c>
      <c r="D6" s="13"/>
      <c r="E6" s="13"/>
      <c r="F6" s="13"/>
      <c r="G6" s="13"/>
      <c r="H6" s="124"/>
      <c r="I6" s="124"/>
    </row>
    <row r="7" spans="1:9" x14ac:dyDescent="0.2">
      <c r="A7" s="29" t="s">
        <v>285</v>
      </c>
      <c r="B7" s="7"/>
      <c r="C7" s="24" t="s">
        <v>286</v>
      </c>
      <c r="D7" s="24" t="s">
        <v>286</v>
      </c>
      <c r="E7" s="24" t="s">
        <v>286</v>
      </c>
      <c r="F7" s="24" t="s">
        <v>286</v>
      </c>
      <c r="G7" s="24" t="s">
        <v>286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2960282.45</v>
      </c>
      <c r="D8" s="95">
        <f>'DOE25'!G9</f>
        <v>0</v>
      </c>
      <c r="E8" s="95">
        <f>'DOE25'!H9</f>
        <v>0</v>
      </c>
      <c r="F8" s="95">
        <f>'DOE25'!I9</f>
        <v>1374111.81</v>
      </c>
      <c r="G8" s="95">
        <f>'DOE25'!J9</f>
        <v>1004049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25657184.620000001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286</v>
      </c>
      <c r="E10" s="24" t="s">
        <v>286</v>
      </c>
      <c r="F10" s="24" t="s">
        <v>286</v>
      </c>
      <c r="G10" s="24" t="s">
        <v>286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0</v>
      </c>
      <c r="D11" s="95">
        <f>'DOE25'!G12</f>
        <v>232173.95</v>
      </c>
      <c r="E11" s="95">
        <f>'DOE25'!H12</f>
        <v>123728.07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40241.949999999997</v>
      </c>
      <c r="D12" s="95">
        <f>'DOE25'!G13</f>
        <v>7475.11</v>
      </c>
      <c r="E12" s="95">
        <f>'DOE25'!H13</f>
        <v>147932.43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5299.91</v>
      </c>
      <c r="D13" s="95">
        <f>'DOE25'!G14</f>
        <v>0</v>
      </c>
      <c r="E13" s="95">
        <f>'DOE25'!H14</f>
        <v>649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286</v>
      </c>
      <c r="D14" s="24" t="s">
        <v>286</v>
      </c>
      <c r="E14" s="24" t="s">
        <v>286</v>
      </c>
      <c r="F14" s="95">
        <f>'DOE25'!I15</f>
        <v>0</v>
      </c>
      <c r="G14" s="24" t="s">
        <v>286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29818.05</v>
      </c>
      <c r="E15" s="95">
        <f>'DOE25'!H16</f>
        <v>0</v>
      </c>
      <c r="F15" s="95">
        <f>'DOE25'!I16</f>
        <v>0</v>
      </c>
      <c r="G15" s="24" t="s">
        <v>286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577.6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3006401.9100000006</v>
      </c>
      <c r="D18" s="41">
        <f>SUM(D8:D17)</f>
        <v>269467.11</v>
      </c>
      <c r="E18" s="41">
        <f>SUM(E8:E17)</f>
        <v>272309.5</v>
      </c>
      <c r="F18" s="41">
        <f>SUM(F8:F17)</f>
        <v>27031296.43</v>
      </c>
      <c r="G18" s="41">
        <f>SUM(G8:G17)</f>
        <v>1004049</v>
      </c>
      <c r="H18" s="124"/>
      <c r="I18" s="124"/>
    </row>
    <row r="19" spans="1:9" x14ac:dyDescent="0.2">
      <c r="A19" s="1" t="s">
        <v>300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301</v>
      </c>
      <c r="B20" s="7"/>
      <c r="C20" s="24" t="s">
        <v>286</v>
      </c>
      <c r="D20" s="24" t="s">
        <v>286</v>
      </c>
      <c r="E20" s="24" t="s">
        <v>286</v>
      </c>
      <c r="F20" s="24" t="s">
        <v>286</v>
      </c>
      <c r="G20" s="24" t="s">
        <v>286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355902.02</v>
      </c>
      <c r="D21" s="95">
        <f>'DOE25'!G22</f>
        <v>0</v>
      </c>
      <c r="E21" s="95">
        <f>'DOE25'!H22</f>
        <v>0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253568.01</v>
      </c>
      <c r="D23" s="95">
        <f>'DOE25'!G24</f>
        <v>497.13</v>
      </c>
      <c r="E23" s="95">
        <f>'DOE25'!H24</f>
        <v>1993.96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286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286</v>
      </c>
      <c r="E25" s="24" t="s">
        <v>286</v>
      </c>
      <c r="F25" s="95">
        <f>'DOE25'!I26</f>
        <v>0</v>
      </c>
      <c r="G25" s="24" t="s">
        <v>286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286</v>
      </c>
      <c r="E26" s="24" t="s">
        <v>286</v>
      </c>
      <c r="F26" s="95">
        <f>'DOE25'!I27</f>
        <v>0</v>
      </c>
      <c r="G26" s="24" t="s">
        <v>286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286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286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10350</v>
      </c>
      <c r="D29" s="95">
        <f>'DOE25'!G30</f>
        <v>35107.43</v>
      </c>
      <c r="E29" s="95">
        <f>'DOE25'!H30</f>
        <v>97145.75</v>
      </c>
      <c r="F29" s="95">
        <f>'DOE25'!I30</f>
        <v>0</v>
      </c>
      <c r="G29" s="24" t="s">
        <v>286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35402.400000000001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655222.43000000005</v>
      </c>
      <c r="D31" s="41">
        <f>SUM(D21:D30)</f>
        <v>35604.559999999998</v>
      </c>
      <c r="E31" s="41">
        <f>SUM(E21:E30)</f>
        <v>99139.71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302</v>
      </c>
      <c r="B32" s="2" t="s">
        <v>284</v>
      </c>
      <c r="C32" s="24" t="s">
        <v>286</v>
      </c>
      <c r="D32" s="24" t="s">
        <v>286</v>
      </c>
      <c r="E32" s="24" t="s">
        <v>286</v>
      </c>
      <c r="F32" s="24" t="s">
        <v>286</v>
      </c>
      <c r="G32" s="24" t="s">
        <v>286</v>
      </c>
      <c r="H32" s="124"/>
      <c r="I32" s="124"/>
    </row>
    <row r="33" spans="1:9" x14ac:dyDescent="0.2">
      <c r="A33" s="29" t="s">
        <v>856</v>
      </c>
      <c r="B33" s="2"/>
      <c r="C33" s="24" t="s">
        <v>286</v>
      </c>
      <c r="D33" s="24" t="s">
        <v>286</v>
      </c>
      <c r="E33" s="24" t="s">
        <v>286</v>
      </c>
      <c r="F33" s="24" t="s">
        <v>286</v>
      </c>
      <c r="G33" s="24" t="s">
        <v>286</v>
      </c>
      <c r="H33" s="124"/>
      <c r="I33" s="124"/>
    </row>
    <row r="34" spans="1:9" x14ac:dyDescent="0.2">
      <c r="A34" s="1" t="s">
        <v>859</v>
      </c>
      <c r="B34" s="6">
        <v>751</v>
      </c>
      <c r="C34" s="95">
        <f>'DOE25'!F35</f>
        <v>0</v>
      </c>
      <c r="D34" s="95">
        <f>'DOE25'!G35</f>
        <v>29818.05</v>
      </c>
      <c r="E34" s="95">
        <f>'DOE25'!H35</f>
        <v>0</v>
      </c>
      <c r="F34" s="95">
        <f>'DOE25'!I35</f>
        <v>0</v>
      </c>
      <c r="G34" s="24" t="s">
        <v>286</v>
      </c>
      <c r="H34" s="124"/>
      <c r="I34" s="124"/>
    </row>
    <row r="35" spans="1:9" x14ac:dyDescent="0.2">
      <c r="A35" s="1" t="s">
        <v>860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286</v>
      </c>
      <c r="H35" s="124"/>
      <c r="I35" s="124"/>
    </row>
    <row r="36" spans="1:9" x14ac:dyDescent="0.2">
      <c r="A36" s="1" t="s">
        <v>866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855</v>
      </c>
      <c r="B37" s="6"/>
      <c r="C37" s="24" t="s">
        <v>286</v>
      </c>
      <c r="D37" s="24" t="s">
        <v>286</v>
      </c>
      <c r="E37" s="24" t="s">
        <v>286</v>
      </c>
      <c r="F37" s="24" t="s">
        <v>286</v>
      </c>
      <c r="G37" s="24" t="s">
        <v>286</v>
      </c>
      <c r="H37" s="124"/>
      <c r="I37" s="124"/>
    </row>
    <row r="38" spans="1:9" x14ac:dyDescent="0.2">
      <c r="A38" s="1" t="s">
        <v>867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871</v>
      </c>
      <c r="B39" s="6"/>
      <c r="C39" s="24" t="s">
        <v>286</v>
      </c>
      <c r="D39" s="95">
        <f>'DOE25'!G40</f>
        <v>204044.5</v>
      </c>
      <c r="E39" s="24" t="s">
        <v>286</v>
      </c>
      <c r="F39" s="24" t="s">
        <v>286</v>
      </c>
      <c r="G39" s="24" t="s">
        <v>286</v>
      </c>
      <c r="H39" s="124"/>
      <c r="I39" s="124"/>
    </row>
    <row r="40" spans="1:9" x14ac:dyDescent="0.2">
      <c r="A40" s="1" t="s">
        <v>881</v>
      </c>
      <c r="B40" s="6"/>
      <c r="C40" s="24" t="s">
        <v>286</v>
      </c>
      <c r="D40" s="24" t="s">
        <v>286</v>
      </c>
      <c r="E40" s="24" t="s">
        <v>286</v>
      </c>
      <c r="F40" s="95">
        <f>'DOE25'!I41</f>
        <v>0</v>
      </c>
      <c r="G40" s="24" t="s">
        <v>286</v>
      </c>
      <c r="H40" s="124"/>
      <c r="I40" s="124"/>
    </row>
    <row r="41" spans="1:9" x14ac:dyDescent="0.2">
      <c r="A41" s="29" t="s">
        <v>857</v>
      </c>
      <c r="B41" s="6"/>
      <c r="C41" s="24" t="s">
        <v>286</v>
      </c>
      <c r="D41" s="24" t="s">
        <v>286</v>
      </c>
      <c r="E41" s="24" t="s">
        <v>286</v>
      </c>
      <c r="F41" s="24" t="s">
        <v>286</v>
      </c>
      <c r="G41" s="24" t="s">
        <v>286</v>
      </c>
      <c r="H41" s="124"/>
      <c r="I41" s="124"/>
    </row>
    <row r="42" spans="1:9" x14ac:dyDescent="0.2">
      <c r="A42" s="1" t="s">
        <v>872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873</v>
      </c>
      <c r="B43" s="6">
        <v>755</v>
      </c>
      <c r="C43" s="95">
        <f>'DOE25'!F44</f>
        <v>100000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286</v>
      </c>
      <c r="H43" s="124"/>
      <c r="I43" s="124"/>
    </row>
    <row r="44" spans="1:9" x14ac:dyDescent="0.2">
      <c r="A44" s="1" t="s">
        <v>874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890</v>
      </c>
      <c r="B45" s="6"/>
      <c r="C45" s="95">
        <f>'DOE25'!F46</f>
        <v>0</v>
      </c>
      <c r="D45" s="24" t="s">
        <v>286</v>
      </c>
      <c r="E45" s="24" t="s">
        <v>286</v>
      </c>
      <c r="F45" s="24" t="s">
        <v>286</v>
      </c>
      <c r="G45" s="24" t="s">
        <v>286</v>
      </c>
      <c r="H45" s="124"/>
      <c r="I45" s="124"/>
    </row>
    <row r="46" spans="1:9" x14ac:dyDescent="0.2">
      <c r="A46" s="29" t="s">
        <v>858</v>
      </c>
      <c r="B46" s="6"/>
      <c r="C46" s="24" t="s">
        <v>286</v>
      </c>
      <c r="D46" s="24" t="s">
        <v>286</v>
      </c>
      <c r="E46" s="24" t="s">
        <v>286</v>
      </c>
      <c r="F46" s="24" t="s">
        <v>286</v>
      </c>
      <c r="G46" s="24" t="s">
        <v>286</v>
      </c>
      <c r="H46" s="124"/>
      <c r="I46" s="124"/>
    </row>
    <row r="47" spans="1:9" x14ac:dyDescent="0.2">
      <c r="A47" s="1" t="s">
        <v>891</v>
      </c>
      <c r="B47" s="6">
        <v>760</v>
      </c>
      <c r="C47" s="95">
        <f>'DOE25'!F48</f>
        <v>234325</v>
      </c>
      <c r="D47" s="95">
        <f>'DOE25'!G48</f>
        <v>0</v>
      </c>
      <c r="E47" s="95">
        <f>'DOE25'!H48</f>
        <v>173169.79</v>
      </c>
      <c r="F47" s="95">
        <f>'DOE25'!I48</f>
        <v>27031296.43</v>
      </c>
      <c r="G47" s="95">
        <f>'DOE25'!J48</f>
        <v>1004049</v>
      </c>
      <c r="H47" s="124"/>
      <c r="I47" s="124"/>
    </row>
    <row r="48" spans="1:9" x14ac:dyDescent="0.2">
      <c r="A48" s="1" t="s">
        <v>892</v>
      </c>
      <c r="B48" s="6">
        <v>753</v>
      </c>
      <c r="C48" s="95">
        <f>'DOE25'!F49</f>
        <v>69158.53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893</v>
      </c>
      <c r="B49" s="71">
        <v>770</v>
      </c>
      <c r="C49" s="95">
        <f>'DOE25'!F50</f>
        <v>1947695.95</v>
      </c>
      <c r="D49" s="24" t="s">
        <v>286</v>
      </c>
      <c r="E49" s="24" t="s">
        <v>286</v>
      </c>
      <c r="F49" s="24" t="s">
        <v>286</v>
      </c>
      <c r="G49" s="24" t="s">
        <v>286</v>
      </c>
      <c r="H49" s="124"/>
      <c r="I49" s="124"/>
    </row>
    <row r="50" spans="1:9" ht="12.75" thickTop="1" thickBot="1" x14ac:dyDescent="0.25">
      <c r="A50" s="38" t="s">
        <v>894</v>
      </c>
      <c r="B50" s="48"/>
      <c r="C50" s="41">
        <f>SUM(C34:C49)</f>
        <v>2351179.48</v>
      </c>
      <c r="D50" s="41">
        <f>SUM(D34:D49)</f>
        <v>233862.55</v>
      </c>
      <c r="E50" s="41">
        <f>SUM(E34:E49)</f>
        <v>173169.79</v>
      </c>
      <c r="F50" s="41">
        <f>SUM(F34:F49)</f>
        <v>27031296.43</v>
      </c>
      <c r="G50" s="41">
        <f>SUM(G34:G49)</f>
        <v>1004049</v>
      </c>
      <c r="H50" s="124"/>
      <c r="I50" s="124"/>
    </row>
    <row r="51" spans="1:9" ht="12" thickTop="1" x14ac:dyDescent="0.2">
      <c r="A51" s="38" t="s">
        <v>895</v>
      </c>
      <c r="B51" s="2"/>
      <c r="C51" s="41">
        <f>C50+C31</f>
        <v>3006401.91</v>
      </c>
      <c r="D51" s="41">
        <f>D50+D31</f>
        <v>269467.11</v>
      </c>
      <c r="E51" s="41">
        <f>E50+E31</f>
        <v>272309.5</v>
      </c>
      <c r="F51" s="41">
        <f>F50+F31</f>
        <v>27031296.43</v>
      </c>
      <c r="G51" s="41">
        <f>G50+G31</f>
        <v>1004049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278</v>
      </c>
      <c r="D53" s="16" t="s">
        <v>279</v>
      </c>
      <c r="E53" s="16" t="s">
        <v>280</v>
      </c>
      <c r="F53" s="16" t="s">
        <v>281</v>
      </c>
      <c r="G53" s="16" t="s">
        <v>304</v>
      </c>
    </row>
    <row r="54" spans="1:9" x14ac:dyDescent="0.2">
      <c r="A54" s="1" t="s">
        <v>317</v>
      </c>
      <c r="B54" s="127"/>
      <c r="C54" s="24" t="s">
        <v>286</v>
      </c>
      <c r="D54" s="24" t="s">
        <v>286</v>
      </c>
      <c r="E54" s="24" t="s">
        <v>286</v>
      </c>
      <c r="F54" s="24" t="s">
        <v>286</v>
      </c>
      <c r="G54" s="24" t="s">
        <v>286</v>
      </c>
      <c r="H54" s="20"/>
      <c r="I54" s="20"/>
    </row>
    <row r="55" spans="1:9" x14ac:dyDescent="0.2">
      <c r="A55" s="128" t="s">
        <v>161</v>
      </c>
      <c r="B55" s="127"/>
      <c r="C55" s="24" t="s">
        <v>286</v>
      </c>
      <c r="D55" s="24" t="s">
        <v>286</v>
      </c>
      <c r="E55" s="24" t="s">
        <v>286</v>
      </c>
      <c r="F55" s="24" t="s">
        <v>286</v>
      </c>
      <c r="G55" s="24" t="s">
        <v>286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31219130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84750</v>
      </c>
      <c r="D57" s="24" t="s">
        <v>286</v>
      </c>
      <c r="E57" s="95">
        <f>'DOE25'!H79</f>
        <v>88353</v>
      </c>
      <c r="F57" s="24" t="s">
        <v>286</v>
      </c>
      <c r="G57" s="24" t="s">
        <v>286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286</v>
      </c>
      <c r="E58" s="95">
        <f>'DOE25'!H94</f>
        <v>0</v>
      </c>
      <c r="F58" s="24" t="s">
        <v>286</v>
      </c>
      <c r="G58" s="24" t="s">
        <v>286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46077.36</v>
      </c>
      <c r="D59" s="95">
        <f>'DOE25'!G96</f>
        <v>0</v>
      </c>
      <c r="E59" s="95">
        <f>'DOE25'!H96</f>
        <v>0</v>
      </c>
      <c r="F59" s="95">
        <f>'DOE25'!I96</f>
        <v>388996.14</v>
      </c>
      <c r="G59" s="95">
        <f>'DOE25'!J96</f>
        <v>115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286</v>
      </c>
      <c r="D60" s="95">
        <f>'DOE25'!G97</f>
        <v>681459.39</v>
      </c>
      <c r="E60" s="24" t="s">
        <v>286</v>
      </c>
      <c r="F60" s="24" t="s">
        <v>286</v>
      </c>
      <c r="G60" s="24" t="s">
        <v>286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398690.45</v>
      </c>
      <c r="D61" s="95">
        <f>SUM('DOE25'!G98:G110)</f>
        <v>10002.049999999999</v>
      </c>
      <c r="E61" s="95">
        <f>SUM('DOE25'!H98:H110)</f>
        <v>116432.39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529517.81000000006</v>
      </c>
      <c r="D62" s="130">
        <f>SUM(D57:D61)</f>
        <v>691461.44000000006</v>
      </c>
      <c r="E62" s="130">
        <f>SUM(E57:E61)</f>
        <v>204785.39</v>
      </c>
      <c r="F62" s="130">
        <f>SUM(F57:F61)</f>
        <v>388996.14</v>
      </c>
      <c r="G62" s="130">
        <f>SUM(G57:G61)</f>
        <v>115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31748647.809999999</v>
      </c>
      <c r="D63" s="22">
        <f>D56+D62</f>
        <v>691461.44000000006</v>
      </c>
      <c r="E63" s="22">
        <f>E56+E62</f>
        <v>204785.39</v>
      </c>
      <c r="F63" s="22">
        <f>F56+F62</f>
        <v>388996.14</v>
      </c>
      <c r="G63" s="22">
        <f>G56+G62</f>
        <v>115</v>
      </c>
      <c r="H63"/>
      <c r="I63"/>
    </row>
    <row r="64" spans="1:9" x14ac:dyDescent="0.2">
      <c r="A64" s="29" t="s">
        <v>318</v>
      </c>
      <c r="B64" s="6"/>
      <c r="C64" s="24" t="s">
        <v>286</v>
      </c>
      <c r="D64" s="24" t="s">
        <v>286</v>
      </c>
      <c r="E64" s="24" t="s">
        <v>286</v>
      </c>
      <c r="F64" s="24" t="s">
        <v>286</v>
      </c>
      <c r="G64" s="24" t="s">
        <v>286</v>
      </c>
      <c r="H64"/>
      <c r="I64"/>
    </row>
    <row r="65" spans="1:9" x14ac:dyDescent="0.2">
      <c r="A65" s="29" t="s">
        <v>176</v>
      </c>
      <c r="B65" s="6"/>
      <c r="C65" s="24" t="s">
        <v>286</v>
      </c>
      <c r="D65" s="24" t="s">
        <v>286</v>
      </c>
      <c r="E65" s="24" t="s">
        <v>286</v>
      </c>
      <c r="F65" s="24" t="s">
        <v>286</v>
      </c>
      <c r="G65" s="24" t="s">
        <v>286</v>
      </c>
      <c r="H65"/>
      <c r="I65"/>
    </row>
    <row r="66" spans="1:9" x14ac:dyDescent="0.2">
      <c r="A66" s="1" t="s">
        <v>844</v>
      </c>
      <c r="B66" s="6">
        <v>3111</v>
      </c>
      <c r="C66" s="95">
        <f>'DOE25'!F117</f>
        <v>6083541.21</v>
      </c>
      <c r="D66" s="24" t="s">
        <v>286</v>
      </c>
      <c r="E66" s="24" t="s">
        <v>286</v>
      </c>
      <c r="F66" s="24" t="s">
        <v>286</v>
      </c>
      <c r="G66" s="24" t="s">
        <v>286</v>
      </c>
      <c r="H66"/>
      <c r="I66"/>
    </row>
    <row r="67" spans="1:9" x14ac:dyDescent="0.2">
      <c r="A67" s="1" t="s">
        <v>768</v>
      </c>
      <c r="B67" s="6">
        <v>3112</v>
      </c>
      <c r="C67" s="95">
        <f>'DOE25'!F118</f>
        <v>5377756</v>
      </c>
      <c r="D67" s="24"/>
      <c r="E67" s="24"/>
      <c r="F67" s="24"/>
      <c r="G67" s="24"/>
      <c r="H67"/>
      <c r="I67"/>
    </row>
    <row r="68" spans="1:9" x14ac:dyDescent="0.2">
      <c r="A68" s="1" t="s">
        <v>883</v>
      </c>
      <c r="B68" s="6">
        <v>3119</v>
      </c>
      <c r="C68" s="24" t="str">
        <f>'DOE25'!F119</f>
        <v>............</v>
      </c>
      <c r="D68" s="24" t="s">
        <v>286</v>
      </c>
      <c r="E68" s="24" t="s">
        <v>286</v>
      </c>
      <c r="F68" s="24" t="s">
        <v>286</v>
      </c>
      <c r="G68" s="24" t="s">
        <v>286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31876.97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11493174.180000002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286</v>
      </c>
      <c r="D71" s="24" t="s">
        <v>286</v>
      </c>
      <c r="E71" s="24" t="s">
        <v>286</v>
      </c>
      <c r="F71" s="24" t="s">
        <v>286</v>
      </c>
      <c r="G71" s="24" t="s">
        <v>286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721925.96</v>
      </c>
      <c r="D72" s="24" t="s">
        <v>286</v>
      </c>
      <c r="E72" s="24" t="s">
        <v>286</v>
      </c>
      <c r="F72" s="95">
        <f>'DOE25'!I123</f>
        <v>0</v>
      </c>
      <c r="G72" s="24" t="s">
        <v>286</v>
      </c>
      <c r="H72"/>
      <c r="I72"/>
    </row>
    <row r="73" spans="1:9" x14ac:dyDescent="0.2">
      <c r="A73" s="1" t="s">
        <v>254</v>
      </c>
      <c r="B73" s="6">
        <v>3215</v>
      </c>
      <c r="C73" s="95" t="str">
        <f>'DOE25'!F124</f>
        <v>............</v>
      </c>
      <c r="D73" s="24" t="s">
        <v>286</v>
      </c>
      <c r="E73" s="24" t="s">
        <v>286</v>
      </c>
      <c r="F73" s="95" t="str">
        <f>'DOE25'!I124</f>
        <v>............</v>
      </c>
      <c r="G73" s="24" t="s">
        <v>286</v>
      </c>
      <c r="H73"/>
      <c r="I73"/>
    </row>
    <row r="74" spans="1:9" x14ac:dyDescent="0.2">
      <c r="A74" s="1" t="s">
        <v>901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899</v>
      </c>
      <c r="B75" s="6">
        <v>3230</v>
      </c>
      <c r="C75" s="95">
        <f>'DOE25'!F126</f>
        <v>228969.74</v>
      </c>
      <c r="D75" s="24" t="s">
        <v>286</v>
      </c>
      <c r="E75" s="24" t="s">
        <v>286</v>
      </c>
      <c r="F75" s="24" t="s">
        <v>286</v>
      </c>
      <c r="G75" s="24" t="s">
        <v>286</v>
      </c>
      <c r="H75"/>
      <c r="I75"/>
    </row>
    <row r="76" spans="1:9" x14ac:dyDescent="0.2">
      <c r="A76" s="1" t="s">
        <v>255</v>
      </c>
      <c r="B76" s="6" t="s">
        <v>179</v>
      </c>
      <c r="C76" s="95">
        <f>SUM('DOE25'!F127:F130)</f>
        <v>11180.2</v>
      </c>
      <c r="D76" s="24" t="s">
        <v>286</v>
      </c>
      <c r="E76" s="95">
        <f>SUM('DOE25'!H127:H130)</f>
        <v>0</v>
      </c>
      <c r="F76" s="95">
        <f>SUM('DOE25'!I127:I130)</f>
        <v>0</v>
      </c>
      <c r="G76" s="24" t="s">
        <v>286</v>
      </c>
      <c r="H76"/>
      <c r="I76"/>
    </row>
    <row r="77" spans="1:9" ht="12" thickBot="1" x14ac:dyDescent="0.25">
      <c r="A77" s="1" t="s">
        <v>256</v>
      </c>
      <c r="B77" s="6" t="s">
        <v>180</v>
      </c>
      <c r="C77" s="95">
        <f>SUM('DOE25'!F131:F135)</f>
        <v>0</v>
      </c>
      <c r="D77" s="95">
        <f>SUM('DOE25'!G131:G135)</f>
        <v>10086.92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257</v>
      </c>
      <c r="B78" s="6"/>
      <c r="C78" s="130">
        <f>SUM(C72:C77)</f>
        <v>962075.89999999991</v>
      </c>
      <c r="D78" s="130">
        <f>SUM(D72:D77)</f>
        <v>10086.92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258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286</v>
      </c>
      <c r="G79" s="24" t="s">
        <v>286</v>
      </c>
      <c r="H79"/>
      <c r="I79"/>
    </row>
    <row r="80" spans="1:9" ht="12" thickBot="1" x14ac:dyDescent="0.25">
      <c r="A80" s="1" t="s">
        <v>896</v>
      </c>
      <c r="B80" s="6">
        <v>3800</v>
      </c>
      <c r="C80" s="95">
        <f>'DOE25'!F138</f>
        <v>0</v>
      </c>
      <c r="D80" s="24" t="s">
        <v>286</v>
      </c>
      <c r="E80" s="95">
        <f>'DOE25'!H138</f>
        <v>0</v>
      </c>
      <c r="F80" s="24" t="s">
        <v>286</v>
      </c>
      <c r="G80" s="24" t="s">
        <v>286</v>
      </c>
      <c r="H80"/>
      <c r="I80"/>
    </row>
    <row r="81" spans="1:9" ht="12.75" thickTop="1" thickBot="1" x14ac:dyDescent="0.25">
      <c r="A81" s="29" t="s">
        <v>742</v>
      </c>
      <c r="B81" s="2"/>
      <c r="C81" s="130">
        <f>SUM(C79:C80)+C78+C70</f>
        <v>12455250.080000002</v>
      </c>
      <c r="D81" s="130">
        <f>SUM(D79:D80)+D78+D70</f>
        <v>10086.92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278</v>
      </c>
      <c r="D82" s="16" t="s">
        <v>279</v>
      </c>
      <c r="E82" s="16" t="s">
        <v>280</v>
      </c>
      <c r="F82" s="16" t="s">
        <v>281</v>
      </c>
      <c r="G82" s="16" t="s">
        <v>304</v>
      </c>
      <c r="H82"/>
      <c r="I82"/>
    </row>
    <row r="83" spans="1:9" x14ac:dyDescent="0.2">
      <c r="A83" s="1" t="s">
        <v>317</v>
      </c>
      <c r="B83" s="127"/>
      <c r="C83" s="24" t="s">
        <v>286</v>
      </c>
      <c r="D83" s="24" t="s">
        <v>286</v>
      </c>
      <c r="E83" s="24" t="s">
        <v>286</v>
      </c>
      <c r="F83" s="24" t="s">
        <v>286</v>
      </c>
      <c r="G83" s="24" t="s">
        <v>286</v>
      </c>
      <c r="H83"/>
      <c r="I83"/>
    </row>
    <row r="84" spans="1:9" x14ac:dyDescent="0.2">
      <c r="A84" s="128" t="s">
        <v>181</v>
      </c>
      <c r="B84" s="127"/>
      <c r="C84" s="24" t="s">
        <v>286</v>
      </c>
      <c r="D84" s="24" t="s">
        <v>286</v>
      </c>
      <c r="E84" s="24" t="s">
        <v>286</v>
      </c>
      <c r="F84" s="24" t="s">
        <v>286</v>
      </c>
      <c r="G84" s="24" t="s">
        <v>286</v>
      </c>
      <c r="H84"/>
      <c r="I84"/>
    </row>
    <row r="85" spans="1:9" x14ac:dyDescent="0.2">
      <c r="A85" t="s">
        <v>743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286</v>
      </c>
      <c r="H85"/>
      <c r="I85"/>
    </row>
    <row r="86" spans="1:9" x14ac:dyDescent="0.2">
      <c r="A86" s="33" t="s">
        <v>178</v>
      </c>
      <c r="B86" s="32"/>
      <c r="C86" s="24" t="s">
        <v>286</v>
      </c>
      <c r="D86" s="24" t="s">
        <v>286</v>
      </c>
      <c r="E86" s="24" t="s">
        <v>286</v>
      </c>
      <c r="F86" s="24" t="s">
        <v>286</v>
      </c>
      <c r="G86" s="24" t="s">
        <v>286</v>
      </c>
    </row>
    <row r="87" spans="1:9" x14ac:dyDescent="0.2">
      <c r="A87" t="s">
        <v>744</v>
      </c>
      <c r="B87" s="32" t="s">
        <v>183</v>
      </c>
      <c r="C87" s="95">
        <f>SUM('DOE25'!F149:F152)</f>
        <v>0</v>
      </c>
      <c r="D87" s="24" t="s">
        <v>286</v>
      </c>
      <c r="E87" s="95">
        <f>SUM('DOE25'!H149:H152)</f>
        <v>0</v>
      </c>
      <c r="F87" s="95">
        <f>SUM('DOE25'!I149:I152)</f>
        <v>0</v>
      </c>
      <c r="G87" s="24" t="s">
        <v>286</v>
      </c>
    </row>
    <row r="88" spans="1:9" x14ac:dyDescent="0.2">
      <c r="A88" t="s">
        <v>745</v>
      </c>
      <c r="B88" s="32" t="s">
        <v>184</v>
      </c>
      <c r="C88" s="95">
        <f>SUM('DOE25'!F153:F161)</f>
        <v>205264.36</v>
      </c>
      <c r="D88" s="95">
        <f>SUM('DOE25'!G153:G161)</f>
        <v>144051.16</v>
      </c>
      <c r="E88" s="95">
        <f>SUM('DOE25'!H153:H161)</f>
        <v>628928.13</v>
      </c>
      <c r="F88" s="95">
        <f>SUM('DOE25'!I153:I161)</f>
        <v>0</v>
      </c>
      <c r="G88" s="24" t="s">
        <v>286</v>
      </c>
    </row>
    <row r="89" spans="1:9" x14ac:dyDescent="0.2">
      <c r="A89" t="s">
        <v>746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286</v>
      </c>
    </row>
    <row r="90" spans="1:9" ht="12" thickBot="1" x14ac:dyDescent="0.25">
      <c r="A90" t="s">
        <v>747</v>
      </c>
      <c r="B90" s="32">
        <v>4810</v>
      </c>
      <c r="C90" s="95">
        <f>'DOE25'!F165</f>
        <v>0</v>
      </c>
      <c r="D90" s="24" t="s">
        <v>286</v>
      </c>
      <c r="E90" s="24" t="s">
        <v>286</v>
      </c>
      <c r="F90" s="24" t="s">
        <v>286</v>
      </c>
      <c r="G90" s="24" t="s">
        <v>286</v>
      </c>
    </row>
    <row r="91" spans="1:9" ht="12.75" thickTop="1" thickBot="1" x14ac:dyDescent="0.25">
      <c r="A91" s="33" t="s">
        <v>748</v>
      </c>
      <c r="C91" s="131">
        <f>SUM(C85:C90)</f>
        <v>205264.36</v>
      </c>
      <c r="D91" s="131">
        <f>SUM(D85:D90)</f>
        <v>144051.16</v>
      </c>
      <c r="E91" s="131">
        <f>SUM(E85:E90)</f>
        <v>628928.13</v>
      </c>
      <c r="F91" s="131">
        <f>SUM(F85:F90)</f>
        <v>0</v>
      </c>
      <c r="G91" s="24" t="s">
        <v>286</v>
      </c>
    </row>
    <row r="92" spans="1:9" ht="12" thickTop="1" x14ac:dyDescent="0.2">
      <c r="A92" s="33" t="s">
        <v>186</v>
      </c>
      <c r="C92" s="24" t="s">
        <v>286</v>
      </c>
      <c r="D92" s="24" t="s">
        <v>286</v>
      </c>
      <c r="E92" s="24" t="s">
        <v>286</v>
      </c>
      <c r="F92" s="24" t="s">
        <v>286</v>
      </c>
      <c r="G92" s="24" t="s">
        <v>286</v>
      </c>
    </row>
    <row r="93" spans="1:9" x14ac:dyDescent="0.2">
      <c r="A93" t="s">
        <v>749</v>
      </c>
      <c r="B93" s="32" t="s">
        <v>187</v>
      </c>
      <c r="C93" s="95">
        <f>SUM('DOE25'!F173:F175)</f>
        <v>0</v>
      </c>
      <c r="D93" s="24" t="s">
        <v>286</v>
      </c>
      <c r="E93" s="24" t="s">
        <v>286</v>
      </c>
      <c r="F93" s="95">
        <f>SUM('DOE25'!I173:I175)</f>
        <v>38107102</v>
      </c>
      <c r="G93" s="24" t="s">
        <v>286</v>
      </c>
    </row>
    <row r="94" spans="1:9" x14ac:dyDescent="0.2">
      <c r="A94" t="s">
        <v>750</v>
      </c>
      <c r="B94" s="32">
        <v>5140</v>
      </c>
      <c r="C94" s="95">
        <f>'DOE25'!F176</f>
        <v>0</v>
      </c>
      <c r="D94" s="24" t="s">
        <v>286</v>
      </c>
      <c r="E94" s="24" t="s">
        <v>286</v>
      </c>
      <c r="F94" s="95">
        <f>'DOE25'!I176</f>
        <v>0</v>
      </c>
      <c r="G94" s="24" t="s">
        <v>286</v>
      </c>
    </row>
    <row r="95" spans="1:9" x14ac:dyDescent="0.2">
      <c r="A95" s="33" t="s">
        <v>329</v>
      </c>
      <c r="B95" s="32"/>
      <c r="C95" s="24" t="s">
        <v>286</v>
      </c>
      <c r="D95" s="24" t="s">
        <v>286</v>
      </c>
      <c r="E95" s="24" t="s">
        <v>286</v>
      </c>
      <c r="F95" s="24" t="s">
        <v>286</v>
      </c>
      <c r="G95" s="24" t="s">
        <v>286</v>
      </c>
    </row>
    <row r="96" spans="1:9" x14ac:dyDescent="0.2">
      <c r="A96" t="s">
        <v>751</v>
      </c>
      <c r="B96" s="32">
        <v>5210</v>
      </c>
      <c r="C96" s="24" t="s">
        <v>286</v>
      </c>
      <c r="D96" s="95">
        <f>'DOE25'!G179</f>
        <v>0</v>
      </c>
      <c r="E96" s="95">
        <f>'DOE25'!H179</f>
        <v>0</v>
      </c>
      <c r="F96" s="95">
        <f>'DOE25'!I179</f>
        <v>0</v>
      </c>
      <c r="G96" s="95">
        <f>'DOE25'!J179</f>
        <v>100000</v>
      </c>
    </row>
    <row r="97" spans="1:7" x14ac:dyDescent="0.2">
      <c r="A97" t="s">
        <v>752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753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286</v>
      </c>
      <c r="G98" s="95">
        <f>'DOE25'!J182</f>
        <v>0</v>
      </c>
    </row>
    <row r="99" spans="1:7" x14ac:dyDescent="0.2">
      <c r="A99" t="s">
        <v>754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800000</v>
      </c>
      <c r="G99" s="24" t="s">
        <v>286</v>
      </c>
    </row>
    <row r="100" spans="1:7" x14ac:dyDescent="0.2">
      <c r="A100" t="s">
        <v>755</v>
      </c>
      <c r="B100" s="32" t="s">
        <v>190</v>
      </c>
      <c r="C100" s="95">
        <f>SUM('DOE25'!F186:F187)</f>
        <v>490000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286</v>
      </c>
    </row>
    <row r="101" spans="1:7" x14ac:dyDescent="0.2">
      <c r="A101" t="s">
        <v>756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286</v>
      </c>
    </row>
    <row r="102" spans="1:7" ht="12" thickBot="1" x14ac:dyDescent="0.25">
      <c r="A102" t="s">
        <v>757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286</v>
      </c>
    </row>
    <row r="103" spans="1:7" ht="12.75" thickTop="1" thickBot="1" x14ac:dyDescent="0.25">
      <c r="A103" s="33" t="s">
        <v>758</v>
      </c>
      <c r="C103" s="86">
        <f>SUM(C93:C102)</f>
        <v>490000</v>
      </c>
      <c r="D103" s="86">
        <f>SUM(D93:D102)</f>
        <v>0</v>
      </c>
      <c r="E103" s="86">
        <f>SUM(E93:E102)</f>
        <v>0</v>
      </c>
      <c r="F103" s="86">
        <f>SUM(F93:F102)</f>
        <v>38907102</v>
      </c>
      <c r="G103" s="86">
        <f>SUM(G93:G102)</f>
        <v>100000</v>
      </c>
    </row>
    <row r="104" spans="1:7" ht="12.75" thickTop="1" thickBot="1" x14ac:dyDescent="0.25">
      <c r="A104" s="33" t="s">
        <v>759</v>
      </c>
      <c r="C104" s="86">
        <f>C63+C81+C91+C103</f>
        <v>44899162.25</v>
      </c>
      <c r="D104" s="86">
        <f>D63+D81+D91+D103</f>
        <v>845599.52000000014</v>
      </c>
      <c r="E104" s="86">
        <f>E63+E81+E91+E103</f>
        <v>833713.52</v>
      </c>
      <c r="F104" s="86">
        <f>F63+F81+F91+F103</f>
        <v>39296098.140000001</v>
      </c>
      <c r="G104" s="86">
        <f>G63+G81+G103</f>
        <v>100115</v>
      </c>
    </row>
    <row r="105" spans="1:7" ht="12" thickTop="1" x14ac:dyDescent="0.2"/>
    <row r="106" spans="1:7" x14ac:dyDescent="0.2">
      <c r="B106" s="3"/>
      <c r="C106" s="16" t="s">
        <v>278</v>
      </c>
      <c r="D106" s="16" t="s">
        <v>279</v>
      </c>
      <c r="E106" s="16" t="s">
        <v>193</v>
      </c>
      <c r="F106" s="16" t="s">
        <v>281</v>
      </c>
      <c r="G106" s="16" t="s">
        <v>282</v>
      </c>
    </row>
    <row r="107" spans="1:7" x14ac:dyDescent="0.2">
      <c r="A107" s="29" t="s">
        <v>194</v>
      </c>
      <c r="B107" s="127"/>
      <c r="C107" s="24" t="s">
        <v>286</v>
      </c>
      <c r="D107" s="24" t="s">
        <v>286</v>
      </c>
      <c r="E107" s="24" t="s">
        <v>286</v>
      </c>
      <c r="F107" s="24" t="s">
        <v>286</v>
      </c>
      <c r="G107" s="24" t="s">
        <v>286</v>
      </c>
    </row>
    <row r="108" spans="1:7" x14ac:dyDescent="0.2">
      <c r="A108" s="128" t="s">
        <v>195</v>
      </c>
      <c r="B108" s="127"/>
      <c r="C108" s="24" t="s">
        <v>286</v>
      </c>
      <c r="D108" s="24" t="s">
        <v>286</v>
      </c>
      <c r="E108" s="24" t="s">
        <v>286</v>
      </c>
      <c r="F108" s="24" t="s">
        <v>286</v>
      </c>
      <c r="G108" s="24" t="s">
        <v>286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18289311.57</v>
      </c>
      <c r="D109" s="24" t="s">
        <v>286</v>
      </c>
      <c r="E109" s="95">
        <f>('DOE25'!L276)+('DOE25'!L295)+('DOE25'!L314)</f>
        <v>68052.42</v>
      </c>
      <c r="F109" s="24" t="s">
        <v>286</v>
      </c>
      <c r="G109" s="24" t="s">
        <v>286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7456078.7699999996</v>
      </c>
      <c r="D110" s="24" t="s">
        <v>286</v>
      </c>
      <c r="E110" s="95">
        <f>('DOE25'!L277)+('DOE25'!L296)+('DOE25'!L315)</f>
        <v>554541.89999999991</v>
      </c>
      <c r="F110" s="24" t="s">
        <v>286</v>
      </c>
      <c r="G110" s="24" t="s">
        <v>286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120084.99</v>
      </c>
      <c r="D111" s="24" t="s">
        <v>286</v>
      </c>
      <c r="E111" s="95">
        <f>('DOE25'!L278)+('DOE25'!L297)+('DOE25'!L316)</f>
        <v>0</v>
      </c>
      <c r="F111" s="24" t="s">
        <v>286</v>
      </c>
      <c r="G111" s="24" t="s">
        <v>286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960951.29</v>
      </c>
      <c r="D112" s="24" t="s">
        <v>286</v>
      </c>
      <c r="E112" s="95">
        <f>+('DOE25'!L279)+('DOE25'!L298)+('DOE25'!L317)</f>
        <v>109539.16999999998</v>
      </c>
      <c r="F112" s="24" t="s">
        <v>286</v>
      </c>
      <c r="G112" s="24" t="s">
        <v>286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286</v>
      </c>
      <c r="E113" s="95">
        <f>+'DOE25'!L332</f>
        <v>0</v>
      </c>
      <c r="F113" s="24" t="s">
        <v>286</v>
      </c>
      <c r="G113" s="24" t="s">
        <v>286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286</v>
      </c>
      <c r="E114" s="95">
        <f>+ SUM('DOE25'!L333:L335)</f>
        <v>0</v>
      </c>
      <c r="F114" s="24" t="s">
        <v>286</v>
      </c>
      <c r="G114" s="24" t="s">
        <v>286</v>
      </c>
    </row>
    <row r="115" spans="1:7" ht="12.75" thickTop="1" thickBot="1" x14ac:dyDescent="0.25">
      <c r="A115" s="33" t="s">
        <v>205</v>
      </c>
      <c r="C115" s="86">
        <f>SUM(C109:C114)</f>
        <v>26826426.619999997</v>
      </c>
      <c r="D115" s="86">
        <f>SUM(D109:D114)</f>
        <v>0</v>
      </c>
      <c r="E115" s="86">
        <f>SUM(E109:E114)</f>
        <v>732133.49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286</v>
      </c>
      <c r="D116" s="24" t="s">
        <v>286</v>
      </c>
      <c r="E116" s="24" t="s">
        <v>286</v>
      </c>
      <c r="F116" s="24" t="s">
        <v>286</v>
      </c>
      <c r="G116" s="24" t="s">
        <v>286</v>
      </c>
    </row>
    <row r="117" spans="1:7" x14ac:dyDescent="0.2">
      <c r="A117" s="33" t="s">
        <v>340</v>
      </c>
      <c r="C117" s="24" t="s">
        <v>286</v>
      </c>
      <c r="D117" s="24" t="s">
        <v>286</v>
      </c>
      <c r="E117" s="24" t="s">
        <v>286</v>
      </c>
      <c r="F117" s="24" t="s">
        <v>286</v>
      </c>
      <c r="G117" s="24" t="s">
        <v>286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3902585.9699999988</v>
      </c>
      <c r="D118" s="24" t="s">
        <v>286</v>
      </c>
      <c r="E118" s="95">
        <f>+('DOE25'!L281)+('DOE25'!L300)+('DOE25'!L319)</f>
        <v>10334.34</v>
      </c>
      <c r="F118" s="24" t="s">
        <v>286</v>
      </c>
      <c r="G118" s="24" t="s">
        <v>286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2980344.37</v>
      </c>
      <c r="D119" s="24" t="s">
        <v>286</v>
      </c>
      <c r="E119" s="95">
        <f>+('DOE25'!L282)+('DOE25'!L301)+('DOE25'!L320)</f>
        <v>58472.98</v>
      </c>
      <c r="F119" s="24" t="s">
        <v>286</v>
      </c>
      <c r="G119" s="24" t="s">
        <v>286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1950876.5799999996</v>
      </c>
      <c r="D120" s="24" t="s">
        <v>286</v>
      </c>
      <c r="E120" s="95">
        <f>+('DOE25'!L283)+('DOE25'!L302)+('DOE25'!L321)</f>
        <v>5000.3999999999996</v>
      </c>
      <c r="F120" s="24" t="s">
        <v>286</v>
      </c>
      <c r="G120" s="24" t="s">
        <v>286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2033868.0100000002</v>
      </c>
      <c r="D121" s="24" t="s">
        <v>286</v>
      </c>
      <c r="E121" s="95">
        <f>+('DOE25'!L284)+('DOE25'!L303)+('DOE25'!L322)</f>
        <v>7131.87</v>
      </c>
      <c r="F121" s="24" t="s">
        <v>286</v>
      </c>
      <c r="G121" s="24" t="s">
        <v>286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816467.43000000017</v>
      </c>
      <c r="D122" s="24" t="s">
        <v>286</v>
      </c>
      <c r="E122" s="95">
        <f>+('DOE25'!L285)+('DOE25'!L304)+('DOE25'!L323)</f>
        <v>0</v>
      </c>
      <c r="F122" s="24" t="s">
        <v>286</v>
      </c>
      <c r="G122" s="24" t="s">
        <v>286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3087294.56</v>
      </c>
      <c r="D123" s="24" t="s">
        <v>286</v>
      </c>
      <c r="E123" s="95">
        <f>+('DOE25'!L286)+('DOE25'!L305)+('DOE25'!L324)</f>
        <v>23127.43</v>
      </c>
      <c r="F123" s="24" t="s">
        <v>286</v>
      </c>
      <c r="G123" s="24" t="s">
        <v>286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2457796.88</v>
      </c>
      <c r="D124" s="24" t="s">
        <v>286</v>
      </c>
      <c r="E124" s="95">
        <f>+('DOE25'!L287)+('DOE25'!L306)+('DOE25'!L325)</f>
        <v>0</v>
      </c>
      <c r="F124" s="24" t="s">
        <v>286</v>
      </c>
      <c r="G124" s="24" t="s">
        <v>286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78342.25</v>
      </c>
      <c r="D125" s="24" t="s">
        <v>286</v>
      </c>
      <c r="E125" s="95">
        <f>+('DOE25'!L288)+('DOE25'!L307)+('DOE25'!L326)</f>
        <v>0</v>
      </c>
      <c r="F125" s="24" t="s">
        <v>286</v>
      </c>
      <c r="G125" s="24" t="s">
        <v>286</v>
      </c>
    </row>
    <row r="126" spans="1:7" x14ac:dyDescent="0.2">
      <c r="A126" t="s">
        <v>222</v>
      </c>
      <c r="B126" s="32" t="s">
        <v>223</v>
      </c>
      <c r="C126" s="24" t="s">
        <v>286</v>
      </c>
      <c r="D126" s="24" t="s">
        <v>286</v>
      </c>
      <c r="E126" s="24" t="s">
        <v>286</v>
      </c>
      <c r="F126" s="24" t="s">
        <v>286</v>
      </c>
      <c r="G126" s="24" t="s">
        <v>286</v>
      </c>
    </row>
    <row r="127" spans="1:7" ht="12" thickBot="1" x14ac:dyDescent="0.25">
      <c r="A127" t="s">
        <v>224</v>
      </c>
      <c r="B127" s="32" t="s">
        <v>225</v>
      </c>
      <c r="C127" s="24" t="s">
        <v>286</v>
      </c>
      <c r="D127" s="95">
        <f>('DOE25'!L358)+('DOE25'!L359)+('DOE25'!L360)</f>
        <v>836011.83999999985</v>
      </c>
      <c r="E127" s="24" t="s">
        <v>286</v>
      </c>
      <c r="F127" s="24" t="s">
        <v>286</v>
      </c>
      <c r="G127" s="24" t="s">
        <v>286</v>
      </c>
    </row>
    <row r="128" spans="1:7" ht="12.75" thickTop="1" thickBot="1" x14ac:dyDescent="0.25">
      <c r="A128" s="33" t="s">
        <v>226</v>
      </c>
      <c r="C128" s="86">
        <f>SUM(C118:C127)</f>
        <v>17307576.049999997</v>
      </c>
      <c r="D128" s="86">
        <f>SUM(D118:D127)</f>
        <v>836011.83999999985</v>
      </c>
      <c r="E128" s="86">
        <f>SUM(E118:E127)</f>
        <v>104067.01999999999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360</v>
      </c>
      <c r="C129" s="24" t="s">
        <v>286</v>
      </c>
      <c r="D129" s="24" t="s">
        <v>286</v>
      </c>
      <c r="E129" s="24" t="s">
        <v>286</v>
      </c>
      <c r="F129" s="24" t="s">
        <v>286</v>
      </c>
      <c r="G129" s="24" t="s">
        <v>286</v>
      </c>
    </row>
    <row r="130" spans="1:7" x14ac:dyDescent="0.2">
      <c r="A130" t="s">
        <v>227</v>
      </c>
      <c r="B130" s="32" t="s">
        <v>228</v>
      </c>
      <c r="C130" s="95">
        <f>'DOE25'!L255</f>
        <v>20500</v>
      </c>
      <c r="D130" s="24" t="s">
        <v>286</v>
      </c>
      <c r="E130" s="129">
        <f>'DOE25'!L336</f>
        <v>0</v>
      </c>
      <c r="F130" s="129">
        <f>SUM('DOE25'!L374:'DOE25'!L380)</f>
        <v>11373411.320000002</v>
      </c>
      <c r="G130" s="24" t="s">
        <v>286</v>
      </c>
    </row>
    <row r="131" spans="1:7" x14ac:dyDescent="0.2">
      <c r="A131" t="s">
        <v>229</v>
      </c>
      <c r="B131" s="32">
        <v>5110</v>
      </c>
      <c r="C131" s="95">
        <f>'DOE25'!L260</f>
        <v>1815000</v>
      </c>
      <c r="D131" s="24" t="s">
        <v>286</v>
      </c>
      <c r="E131" s="129">
        <f>'DOE25'!L341</f>
        <v>0</v>
      </c>
      <c r="F131" s="24" t="s">
        <v>286</v>
      </c>
      <c r="G131" s="24" t="s">
        <v>286</v>
      </c>
    </row>
    <row r="132" spans="1:7" x14ac:dyDescent="0.2">
      <c r="A132" t="s">
        <v>230</v>
      </c>
      <c r="B132" s="32">
        <v>5120</v>
      </c>
      <c r="C132" s="95">
        <f>'DOE25'!L261</f>
        <v>1388837.2</v>
      </c>
      <c r="D132" s="24" t="s">
        <v>286</v>
      </c>
      <c r="E132" s="129">
        <f>'DOE25'!L342</f>
        <v>0</v>
      </c>
      <c r="F132" s="24" t="s">
        <v>286</v>
      </c>
      <c r="G132" s="24" t="s">
        <v>286</v>
      </c>
    </row>
    <row r="133" spans="1:7" x14ac:dyDescent="0.2">
      <c r="A133" s="33" t="s">
        <v>231</v>
      </c>
      <c r="C133" s="24" t="s">
        <v>286</v>
      </c>
      <c r="D133" s="24" t="s">
        <v>286</v>
      </c>
      <c r="E133" s="24" t="s">
        <v>286</v>
      </c>
      <c r="F133" s="24" t="s">
        <v>286</v>
      </c>
      <c r="G133" s="24" t="s">
        <v>286</v>
      </c>
    </row>
    <row r="134" spans="1:7" x14ac:dyDescent="0.2">
      <c r="A134" t="s">
        <v>232</v>
      </c>
      <c r="B134" s="32">
        <v>5210</v>
      </c>
      <c r="C134" s="24" t="s">
        <v>286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1290000</v>
      </c>
    </row>
    <row r="135" spans="1:7" x14ac:dyDescent="0.2">
      <c r="A135" t="s">
        <v>233</v>
      </c>
      <c r="B135" s="32" t="s">
        <v>234</v>
      </c>
      <c r="C135" s="95">
        <f>'DOE25'!L263</f>
        <v>0</v>
      </c>
      <c r="D135" s="24" t="s">
        <v>286</v>
      </c>
      <c r="E135" s="129">
        <f>'DOE25'!L345</f>
        <v>0</v>
      </c>
      <c r="F135" s="24" t="s">
        <v>286</v>
      </c>
      <c r="G135" s="24" t="s">
        <v>286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286</v>
      </c>
      <c r="E136" s="24" t="s">
        <v>286</v>
      </c>
      <c r="F136" s="24" t="s">
        <v>286</v>
      </c>
      <c r="G136" s="24" t="s">
        <v>286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286</v>
      </c>
      <c r="E137" s="129">
        <f>'DOE25'!L346</f>
        <v>0</v>
      </c>
      <c r="F137" s="24" t="s">
        <v>286</v>
      </c>
      <c r="G137" s="24" t="s">
        <v>286</v>
      </c>
    </row>
    <row r="138" spans="1:7" x14ac:dyDescent="0.2">
      <c r="A138" t="s">
        <v>238</v>
      </c>
      <c r="B138" s="32">
        <v>5251</v>
      </c>
      <c r="C138" s="95">
        <f>'DOE25'!L393</f>
        <v>7.06</v>
      </c>
      <c r="D138" s="24" t="s">
        <v>286</v>
      </c>
      <c r="E138" s="24" t="s">
        <v>286</v>
      </c>
      <c r="F138" s="24" t="s">
        <v>286</v>
      </c>
      <c r="G138" s="24" t="s">
        <v>286</v>
      </c>
    </row>
    <row r="139" spans="1:7" x14ac:dyDescent="0.2">
      <c r="A139" t="s">
        <v>239</v>
      </c>
      <c r="B139" s="32">
        <v>5252</v>
      </c>
      <c r="C139" s="95">
        <f>'DOE25'!L401</f>
        <v>100107.93999999999</v>
      </c>
      <c r="D139" s="24" t="s">
        <v>286</v>
      </c>
      <c r="E139" s="24" t="s">
        <v>286</v>
      </c>
      <c r="F139" s="24" t="s">
        <v>286</v>
      </c>
      <c r="G139" s="24" t="s">
        <v>286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286</v>
      </c>
      <c r="E140" s="24" t="s">
        <v>286</v>
      </c>
      <c r="F140" s="24" t="s">
        <v>286</v>
      </c>
      <c r="G140" s="24" t="s">
        <v>286</v>
      </c>
    </row>
    <row r="141" spans="1:7" x14ac:dyDescent="0.2">
      <c r="A141" t="s">
        <v>760</v>
      </c>
      <c r="B141" s="32">
        <v>5254</v>
      </c>
      <c r="C141" s="95">
        <f>('DOE25'!L266+'DOE25'!K347) - (C138+C139+C140)</f>
        <v>-114.99999999998545</v>
      </c>
      <c r="D141" s="24" t="s">
        <v>286</v>
      </c>
      <c r="E141" s="24" t="s">
        <v>286</v>
      </c>
      <c r="F141" s="24" t="s">
        <v>286</v>
      </c>
      <c r="G141" s="24" t="s">
        <v>286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286</v>
      </c>
      <c r="E142" s="129">
        <f>'DOE25'!L349</f>
        <v>0</v>
      </c>
      <c r="F142" s="24" t="s">
        <v>286</v>
      </c>
      <c r="G142" s="24" t="s">
        <v>286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286</v>
      </c>
      <c r="E143" s="129">
        <f>'DOE25'!L350</f>
        <v>0</v>
      </c>
      <c r="F143" s="24" t="s">
        <v>286</v>
      </c>
      <c r="G143" s="24" t="s">
        <v>286</v>
      </c>
    </row>
    <row r="144" spans="1:7" ht="12" thickBot="1" x14ac:dyDescent="0.25">
      <c r="A144" s="33" t="s">
        <v>243</v>
      </c>
      <c r="C144" s="141">
        <f>SUM(C130:C143)</f>
        <v>3324337.2</v>
      </c>
      <c r="D144" s="141">
        <f>SUM(D130:D143)</f>
        <v>0</v>
      </c>
      <c r="E144" s="141">
        <f>SUM(E130:E143)</f>
        <v>0</v>
      </c>
      <c r="F144" s="141">
        <f>SUM(F130:F143)</f>
        <v>11373411.320000002</v>
      </c>
      <c r="G144" s="141">
        <f>SUM(G130:G143)</f>
        <v>1290000</v>
      </c>
    </row>
    <row r="145" spans="1:9" ht="12.75" thickTop="1" thickBot="1" x14ac:dyDescent="0.25">
      <c r="A145" s="33" t="s">
        <v>244</v>
      </c>
      <c r="C145" s="86">
        <f>(C115+C128+C144)</f>
        <v>47458339.869999997</v>
      </c>
      <c r="D145" s="86">
        <f>(D115+D128+D144)</f>
        <v>836011.83999999985</v>
      </c>
      <c r="E145" s="86">
        <f>(E115+E128+E144)</f>
        <v>836200.51</v>
      </c>
      <c r="F145" s="86">
        <f>(F115+F128+F144)</f>
        <v>11373411.320000002</v>
      </c>
      <c r="G145" s="86">
        <f>(G115+G128+G144)</f>
        <v>1290000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262</v>
      </c>
      <c r="C149" s="32" t="s">
        <v>263</v>
      </c>
      <c r="D149" s="32" t="s">
        <v>264</v>
      </c>
      <c r="E149" s="32" t="s">
        <v>265</v>
      </c>
      <c r="F149" s="32" t="s">
        <v>266</v>
      </c>
      <c r="G149" s="32" t="s">
        <v>267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338</v>
      </c>
    </row>
    <row r="151" spans="1:9" x14ac:dyDescent="0.2">
      <c r="A151" s="136" t="s">
        <v>27</v>
      </c>
      <c r="B151" s="153">
        <f>'DOE25'!F490</f>
        <v>11</v>
      </c>
      <c r="C151" s="153">
        <f>'DOE25'!G490</f>
        <v>10</v>
      </c>
      <c r="D151" s="153">
        <f>'DOE25'!H490</f>
        <v>20</v>
      </c>
      <c r="E151" s="153">
        <f>'DOE25'!I490</f>
        <v>0</v>
      </c>
      <c r="F151" s="153">
        <f>'DOE25'!J490</f>
        <v>0</v>
      </c>
      <c r="G151" s="24" t="s">
        <v>286</v>
      </c>
    </row>
    <row r="152" spans="1:9" x14ac:dyDescent="0.2">
      <c r="A152" s="136" t="s">
        <v>28</v>
      </c>
      <c r="B152" s="152" t="str">
        <f>'DOE25'!F491</f>
        <v>Refinanced 1/15/15</v>
      </c>
      <c r="C152" s="152" t="str">
        <f>'DOE25'!G491</f>
        <v>7/2008</v>
      </c>
      <c r="D152" s="152" t="str">
        <f>'DOE25'!H491</f>
        <v>8/2017</v>
      </c>
      <c r="E152" s="152">
        <f>'DOE25'!I491</f>
        <v>0</v>
      </c>
      <c r="F152" s="152">
        <f>'DOE25'!J491</f>
        <v>0</v>
      </c>
      <c r="G152" s="24" t="s">
        <v>286</v>
      </c>
    </row>
    <row r="153" spans="1:9" x14ac:dyDescent="0.2">
      <c r="A153" s="136" t="s">
        <v>29</v>
      </c>
      <c r="B153" s="152" t="str">
        <f>'DOE25'!F492</f>
        <v>7/2025</v>
      </c>
      <c r="C153" s="152" t="str">
        <f>'DOE25'!G492</f>
        <v>8/2018</v>
      </c>
      <c r="D153" s="152" t="str">
        <f>'DOE25'!H492</f>
        <v>8/2037</v>
      </c>
      <c r="E153" s="152">
        <f>'DOE25'!I492</f>
        <v>0</v>
      </c>
      <c r="F153" s="152">
        <f>'DOE25'!J492</f>
        <v>0</v>
      </c>
      <c r="G153" s="24" t="s">
        <v>286</v>
      </c>
    </row>
    <row r="154" spans="1:9" x14ac:dyDescent="0.2">
      <c r="A154" s="136" t="s">
        <v>30</v>
      </c>
      <c r="B154" s="137">
        <f>'DOE25'!F493</f>
        <v>19305000</v>
      </c>
      <c r="C154" s="137">
        <f>'DOE25'!G493</f>
        <v>4000000</v>
      </c>
      <c r="D154" s="137">
        <f>'DOE25'!H493</f>
        <v>38107102</v>
      </c>
      <c r="E154" s="137">
        <f>'DOE25'!I493</f>
        <v>0</v>
      </c>
      <c r="F154" s="137">
        <f>'DOE25'!J493</f>
        <v>0</v>
      </c>
      <c r="G154" s="24" t="s">
        <v>286</v>
      </c>
    </row>
    <row r="155" spans="1:9" x14ac:dyDescent="0.2">
      <c r="A155" s="136" t="s">
        <v>31</v>
      </c>
      <c r="B155" s="137">
        <f>'DOE25'!F494</f>
        <v>3</v>
      </c>
      <c r="C155" s="137">
        <f>'DOE25'!G494</f>
        <v>3.69</v>
      </c>
      <c r="D155" s="137">
        <f>'DOE25'!H494</f>
        <v>2.67</v>
      </c>
      <c r="E155" s="137">
        <f>'DOE25'!I494</f>
        <v>0</v>
      </c>
      <c r="F155" s="137">
        <f>'DOE25'!J494</f>
        <v>0</v>
      </c>
      <c r="G155" s="24" t="s">
        <v>286</v>
      </c>
    </row>
    <row r="156" spans="1:9" x14ac:dyDescent="0.2">
      <c r="A156" s="22" t="s">
        <v>32</v>
      </c>
      <c r="B156" s="137">
        <f>'DOE25'!F495</f>
        <v>0</v>
      </c>
      <c r="C156" s="137">
        <f>'DOE25'!G495</f>
        <v>740000</v>
      </c>
      <c r="D156" s="137">
        <f>'DOE25'!H495</f>
        <v>34012800</v>
      </c>
      <c r="E156" s="137">
        <f>'DOE25'!I495</f>
        <v>0</v>
      </c>
      <c r="F156" s="137">
        <f>'DOE25'!J495</f>
        <v>0</v>
      </c>
      <c r="G156" s="138">
        <f>SUM(B156:F156)</f>
        <v>34752800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38107102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38107102</v>
      </c>
    </row>
    <row r="158" spans="1:9" x14ac:dyDescent="0.2">
      <c r="A158" s="22" t="s">
        <v>34</v>
      </c>
      <c r="B158" s="137">
        <f>'DOE25'!F497</f>
        <v>1445000</v>
      </c>
      <c r="C158" s="137">
        <f>'DOE25'!G497</f>
        <v>370000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1815000</v>
      </c>
    </row>
    <row r="159" spans="1:9" x14ac:dyDescent="0.2">
      <c r="A159" s="22" t="s">
        <v>35</v>
      </c>
      <c r="B159" s="137">
        <f>'DOE25'!F498</f>
        <v>13600000</v>
      </c>
      <c r="C159" s="137">
        <f>'DOE25'!G498</f>
        <v>370000</v>
      </c>
      <c r="D159" s="137">
        <f>'DOE25'!H498</f>
        <v>34012800</v>
      </c>
      <c r="E159" s="137">
        <f>'DOE25'!I498</f>
        <v>0</v>
      </c>
      <c r="F159" s="137">
        <f>'DOE25'!J498</f>
        <v>0</v>
      </c>
      <c r="G159" s="138">
        <f t="shared" si="0"/>
        <v>47982800</v>
      </c>
    </row>
    <row r="160" spans="1:9" x14ac:dyDescent="0.2">
      <c r="A160" s="22" t="s">
        <v>36</v>
      </c>
      <c r="B160" s="137">
        <f>'DOE25'!F499</f>
        <v>2069750</v>
      </c>
      <c r="C160" s="137">
        <f>'DOE25'!G499</f>
        <v>9712.5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2079462.5</v>
      </c>
    </row>
    <row r="161" spans="1:7" x14ac:dyDescent="0.2">
      <c r="A161" s="22" t="s">
        <v>37</v>
      </c>
      <c r="B161" s="137">
        <f>'DOE25'!F500</f>
        <v>15669750</v>
      </c>
      <c r="C161" s="137">
        <f>'DOE25'!G500</f>
        <v>379712.5</v>
      </c>
      <c r="D161" s="137">
        <f>'DOE25'!H500</f>
        <v>34012800</v>
      </c>
      <c r="E161" s="137">
        <f>'DOE25'!I500</f>
        <v>0</v>
      </c>
      <c r="F161" s="137">
        <f>'DOE25'!J500</f>
        <v>0</v>
      </c>
      <c r="G161" s="138">
        <f t="shared" si="0"/>
        <v>50062262.5</v>
      </c>
    </row>
    <row r="162" spans="1:7" x14ac:dyDescent="0.2">
      <c r="A162" s="22" t="s">
        <v>38</v>
      </c>
      <c r="B162" s="137">
        <f>'DOE25'!F501</f>
        <v>1700000</v>
      </c>
      <c r="C162" s="137">
        <f>'DOE25'!G501</f>
        <v>0</v>
      </c>
      <c r="D162" s="137">
        <f>'DOE25'!H501</f>
        <v>1705000</v>
      </c>
      <c r="E162" s="137">
        <f>'DOE25'!I501</f>
        <v>0</v>
      </c>
      <c r="F162" s="137">
        <f>'DOE25'!J501</f>
        <v>0</v>
      </c>
      <c r="G162" s="138">
        <f t="shared" si="0"/>
        <v>3405000</v>
      </c>
    </row>
    <row r="163" spans="1:7" x14ac:dyDescent="0.2">
      <c r="A163" s="22" t="s">
        <v>39</v>
      </c>
      <c r="B163" s="137">
        <f>'DOE25'!F502</f>
        <v>442000</v>
      </c>
      <c r="C163" s="137">
        <f>'DOE25'!G502</f>
        <v>0</v>
      </c>
      <c r="D163" s="137">
        <f>'DOE25'!H502</f>
        <v>704777.5</v>
      </c>
      <c r="E163" s="137">
        <f>'DOE25'!I502</f>
        <v>0</v>
      </c>
      <c r="F163" s="137">
        <f>'DOE25'!J502</f>
        <v>0</v>
      </c>
      <c r="G163" s="138">
        <f t="shared" si="0"/>
        <v>1146777.5</v>
      </c>
    </row>
    <row r="164" spans="1:7" x14ac:dyDescent="0.2">
      <c r="A164" s="22" t="s">
        <v>246</v>
      </c>
      <c r="B164" s="137">
        <f>'DOE25'!F503</f>
        <v>2142000</v>
      </c>
      <c r="C164" s="137">
        <f>'DOE25'!G503</f>
        <v>0</v>
      </c>
      <c r="D164" s="137">
        <f>'DOE25'!H503</f>
        <v>2409777.5</v>
      </c>
      <c r="E164" s="137">
        <f>'DOE25'!I503</f>
        <v>0</v>
      </c>
      <c r="F164" s="137">
        <f>'DOE25'!J503</f>
        <v>0</v>
      </c>
      <c r="G164" s="138">
        <f t="shared" si="0"/>
        <v>4551777.5</v>
      </c>
    </row>
  </sheetData>
  <sheetProtection password="970A" sheet="1" objects="1" scenarios="1"/>
  <phoneticPr fontId="0" type="noConversion"/>
  <printOptions gridLines="1" gridLinesSet="0"/>
  <pageMargins left="0.75" right="0.75" top="1" bottom="1" header="0.5" footer="0.5"/>
  <pageSetup scale="90" orientation="landscape" horizontalDpi="4294967295" verticalDpi="4294967295" r:id="rId1"/>
  <headerFooter alignWithMargins="0">
    <oddHeader>&amp;C&amp;A
2017-2018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3"/>
  </sheetPr>
  <dimension ref="A1:D42"/>
  <sheetViews>
    <sheetView topLeftCell="A31" workbookViewId="0">
      <selection activeCell="E69" sqref="E69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4" t="s">
        <v>734</v>
      </c>
      <c r="B1" s="284"/>
      <c r="C1" s="284"/>
      <c r="D1" s="284"/>
    </row>
    <row r="2" spans="1:4" x14ac:dyDescent="0.2">
      <c r="A2" s="187" t="s">
        <v>711</v>
      </c>
      <c r="B2" s="186" t="str">
        <f>'DOE25'!A2</f>
        <v>Windham</v>
      </c>
    </row>
    <row r="3" spans="1:4" x14ac:dyDescent="0.2">
      <c r="B3" s="188" t="s">
        <v>909</v>
      </c>
    </row>
    <row r="4" spans="1:4" x14ac:dyDescent="0.2">
      <c r="B4" t="s">
        <v>61</v>
      </c>
      <c r="C4" s="179">
        <f>IF('DOE25'!F665+'DOE25'!F670=0,0,ROUND('DOE25'!F672,0))</f>
        <v>13880</v>
      </c>
    </row>
    <row r="5" spans="1:4" x14ac:dyDescent="0.2">
      <c r="B5" t="s">
        <v>698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14831</v>
      </c>
    </row>
    <row r="7" spans="1:4" x14ac:dyDescent="0.2">
      <c r="B7" t="s">
        <v>699</v>
      </c>
      <c r="C7" s="179">
        <f>IF('DOE25'!I665+'DOE25'!I670=0,0,ROUND('DOE25'!I672,0))</f>
        <v>14195</v>
      </c>
    </row>
    <row r="9" spans="1:4" x14ac:dyDescent="0.2">
      <c r="A9" s="187" t="s">
        <v>94</v>
      </c>
      <c r="B9" s="188" t="s">
        <v>910</v>
      </c>
      <c r="C9" s="181" t="s">
        <v>718</v>
      </c>
      <c r="D9" s="181" t="s">
        <v>719</v>
      </c>
    </row>
    <row r="10" spans="1:4" x14ac:dyDescent="0.2">
      <c r="A10">
        <v>1100</v>
      </c>
      <c r="B10" t="s">
        <v>700</v>
      </c>
      <c r="C10" s="179">
        <f>ROUND('DOE25'!L197+'DOE25'!L215+'DOE25'!L233+'DOE25'!L276+'DOE25'!L295+'DOE25'!L314,0)</f>
        <v>18357364</v>
      </c>
      <c r="D10" s="182">
        <f>ROUND((C10/$C$28)*100,1)</f>
        <v>39.5</v>
      </c>
    </row>
    <row r="11" spans="1:4" x14ac:dyDescent="0.2">
      <c r="A11">
        <v>1200</v>
      </c>
      <c r="B11" t="s">
        <v>701</v>
      </c>
      <c r="C11" s="179">
        <f>ROUND('DOE25'!L198+'DOE25'!L216+'DOE25'!L234+'DOE25'!L277+'DOE25'!L296+'DOE25'!L315,0)</f>
        <v>8010621</v>
      </c>
      <c r="D11" s="182">
        <f>ROUND((C11/$C$28)*100,1)</f>
        <v>17.2</v>
      </c>
    </row>
    <row r="12" spans="1:4" x14ac:dyDescent="0.2">
      <c r="A12">
        <v>1300</v>
      </c>
      <c r="B12" t="s">
        <v>702</v>
      </c>
      <c r="C12" s="179">
        <f>ROUND('DOE25'!L199+'DOE25'!L217+'DOE25'!L235+'DOE25'!L278+'DOE25'!L297+'DOE25'!L316,0)</f>
        <v>120085</v>
      </c>
      <c r="D12" s="182">
        <f>ROUND((C12/$C$28)*100,1)</f>
        <v>0.3</v>
      </c>
    </row>
    <row r="13" spans="1:4" x14ac:dyDescent="0.2">
      <c r="A13">
        <v>1400</v>
      </c>
      <c r="B13" t="s">
        <v>703</v>
      </c>
      <c r="C13" s="179">
        <f>ROUND('DOE25'!L200+'DOE25'!L218+'DOE25'!L236+'DOE25'!L279+'DOE25'!L298+'DOE25'!L317,0)</f>
        <v>1070490</v>
      </c>
      <c r="D13" s="182">
        <f>ROUND((C13/$C$28)*100,1)</f>
        <v>2.2999999999999998</v>
      </c>
    </row>
    <row r="14" spans="1:4" x14ac:dyDescent="0.2">
      <c r="D14" s="182"/>
    </row>
    <row r="15" spans="1:4" x14ac:dyDescent="0.2">
      <c r="A15">
        <v>2100</v>
      </c>
      <c r="B15" t="s">
        <v>704</v>
      </c>
      <c r="C15" s="179">
        <f>ROUND('DOE25'!L202+'DOE25'!L220+'DOE25'!L238+'DOE25'!L281+'DOE25'!L300+'DOE25'!L319,0)</f>
        <v>3912920</v>
      </c>
      <c r="D15" s="182">
        <f t="shared" ref="D15:D27" si="0">ROUND((C15/$C$28)*100,1)</f>
        <v>8.4</v>
      </c>
    </row>
    <row r="16" spans="1:4" x14ac:dyDescent="0.2">
      <c r="A16">
        <v>2200</v>
      </c>
      <c r="B16" t="s">
        <v>705</v>
      </c>
      <c r="C16" s="179">
        <f>ROUND('DOE25'!L203+'DOE25'!L221+'DOE25'!L239+'DOE25'!L282+'DOE25'!L301+'DOE25'!L320,0)</f>
        <v>3038817</v>
      </c>
      <c r="D16" s="182">
        <f t="shared" si="0"/>
        <v>6.5</v>
      </c>
    </row>
    <row r="17" spans="1:4" x14ac:dyDescent="0.2">
      <c r="A17" s="183" t="s">
        <v>721</v>
      </c>
      <c r="B17" t="s">
        <v>736</v>
      </c>
      <c r="C17" s="179">
        <f>ROUND('DOE25'!L204+'DOE25'!L209+'DOE25'!L222+'DOE25'!L227+'DOE25'!L240+'DOE25'!L245+'DOE25'!L283+'DOE25'!L288+'DOE25'!L302+'DOE25'!L307+'DOE25'!L321+'DOE25'!L326,0)</f>
        <v>2034219</v>
      </c>
      <c r="D17" s="182">
        <f t="shared" si="0"/>
        <v>4.4000000000000004</v>
      </c>
    </row>
    <row r="18" spans="1:4" x14ac:dyDescent="0.2">
      <c r="A18">
        <v>2400</v>
      </c>
      <c r="B18" t="s">
        <v>709</v>
      </c>
      <c r="C18" s="179">
        <f>ROUND('DOE25'!L205+'DOE25'!L223+'DOE25'!L241+'DOE25'!L284+'DOE25'!L303+'DOE25'!L322,0)</f>
        <v>2041000</v>
      </c>
      <c r="D18" s="182">
        <f t="shared" si="0"/>
        <v>4.4000000000000004</v>
      </c>
    </row>
    <row r="19" spans="1:4" x14ac:dyDescent="0.2">
      <c r="A19">
        <v>2500</v>
      </c>
      <c r="B19" t="s">
        <v>706</v>
      </c>
      <c r="C19" s="179">
        <f>ROUND('DOE25'!L206+'DOE25'!L224+'DOE25'!L242+'DOE25'!L285+'DOE25'!L304+'DOE25'!L323,0)</f>
        <v>816467</v>
      </c>
      <c r="D19" s="182">
        <f t="shared" si="0"/>
        <v>1.8</v>
      </c>
    </row>
    <row r="20" spans="1:4" x14ac:dyDescent="0.2">
      <c r="A20">
        <v>2600</v>
      </c>
      <c r="B20" t="s">
        <v>707</v>
      </c>
      <c r="C20" s="179">
        <f>ROUND('DOE25'!L207+'DOE25'!L225+'DOE25'!L243+'DOE25'!L286+'DOE25'!L305+'DOE25'!L324,0)</f>
        <v>3110422</v>
      </c>
      <c r="D20" s="182">
        <f t="shared" si="0"/>
        <v>6.7</v>
      </c>
    </row>
    <row r="21" spans="1:4" x14ac:dyDescent="0.2">
      <c r="A21">
        <v>2700</v>
      </c>
      <c r="B21" t="s">
        <v>708</v>
      </c>
      <c r="C21" s="179">
        <f>ROUND('DOE25'!L208+'DOE25'!L226+'DOE25'!L244+'DOE25'!L287+'DOE25'!L306+'DOE25'!L325,0)</f>
        <v>2457797</v>
      </c>
      <c r="D21" s="182">
        <f t="shared" si="0"/>
        <v>5.3</v>
      </c>
    </row>
    <row r="22" spans="1:4" x14ac:dyDescent="0.2">
      <c r="A22">
        <v>2900</v>
      </c>
      <c r="B22" t="s">
        <v>710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712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720</v>
      </c>
      <c r="B24" t="s">
        <v>713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714</v>
      </c>
      <c r="C25" s="179">
        <f>ROUND('DOE25'!L261+'DOE25'!L342,0)</f>
        <v>1388837</v>
      </c>
      <c r="D25" s="182">
        <f t="shared" si="0"/>
        <v>3</v>
      </c>
    </row>
    <row r="26" spans="1:4" x14ac:dyDescent="0.2">
      <c r="A26" s="183" t="s">
        <v>715</v>
      </c>
      <c r="B26" t="s">
        <v>716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144550.55999999994</v>
      </c>
      <c r="D27" s="182">
        <f t="shared" si="0"/>
        <v>0.3</v>
      </c>
    </row>
    <row r="28" spans="1:4" x14ac:dyDescent="0.2">
      <c r="B28" s="187" t="s">
        <v>717</v>
      </c>
      <c r="C28" s="180">
        <f>SUM(C10:C27)</f>
        <v>46503589.560000002</v>
      </c>
      <c r="D28" s="184">
        <f>ROUND(SUM(D10:D27),0)</f>
        <v>100</v>
      </c>
    </row>
    <row r="29" spans="1:4" x14ac:dyDescent="0.2">
      <c r="A29">
        <v>4000</v>
      </c>
      <c r="B29" t="s">
        <v>722</v>
      </c>
      <c r="C29" s="179">
        <f>ROUND('DOE25'!L255+'DOE25'!L336+'DOE25'!L374+'DOE25'!L375+'DOE25'!L376+'DOE25'!L377+'DOE25'!L378+'DOE25'!L379+'DOE25'!L380,0)</f>
        <v>11393911</v>
      </c>
    </row>
    <row r="30" spans="1:4" x14ac:dyDescent="0.2">
      <c r="B30" s="187" t="s">
        <v>723</v>
      </c>
      <c r="C30" s="180">
        <f>SUM(C28:C29)</f>
        <v>57897500.560000002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724</v>
      </c>
      <c r="C32" s="180">
        <f>ROUND('DOE25'!L260+'DOE25'!L341,0)</f>
        <v>1815000</v>
      </c>
    </row>
    <row r="34" spans="1:4" x14ac:dyDescent="0.2">
      <c r="A34" s="187" t="s">
        <v>94</v>
      </c>
      <c r="B34" s="188" t="s">
        <v>911</v>
      </c>
      <c r="C34" s="181" t="s">
        <v>718</v>
      </c>
      <c r="D34" s="181" t="s">
        <v>719</v>
      </c>
    </row>
    <row r="35" spans="1:4" x14ac:dyDescent="0.2">
      <c r="A35">
        <v>1100</v>
      </c>
      <c r="B35" s="185" t="s">
        <v>725</v>
      </c>
      <c r="C35" s="179">
        <f>ROUND('DOE25'!F60+'DOE25'!G60+'DOE25'!H60+'DOE25'!I60+'DOE25'!J60,0)</f>
        <v>31219130</v>
      </c>
      <c r="D35" s="182">
        <f t="shared" ref="D35:D40" si="1">ROUND((C35/$C$41)*100,1)</f>
        <v>68.2</v>
      </c>
    </row>
    <row r="36" spans="1:4" x14ac:dyDescent="0.2">
      <c r="B36" s="185" t="s">
        <v>737</v>
      </c>
      <c r="C36" s="179">
        <f>SUM('DOE25'!F112:J112)-SUM('DOE25'!G97:G110)+('DOE25'!F174+'DOE25'!F175+'DOE25'!I174+'DOE25'!I175)-C35</f>
        <v>1123414.3399999999</v>
      </c>
      <c r="D36" s="182">
        <f t="shared" si="1"/>
        <v>2.5</v>
      </c>
    </row>
    <row r="37" spans="1:4" x14ac:dyDescent="0.2">
      <c r="A37" s="183" t="s">
        <v>845</v>
      </c>
      <c r="B37" s="185" t="s">
        <v>726</v>
      </c>
      <c r="C37" s="179">
        <f>ROUND('DOE25'!F117+'DOE25'!F118,0)</f>
        <v>11461297</v>
      </c>
      <c r="D37" s="182">
        <f t="shared" si="1"/>
        <v>25</v>
      </c>
    </row>
    <row r="38" spans="1:4" x14ac:dyDescent="0.2">
      <c r="A38" s="183" t="s">
        <v>732</v>
      </c>
      <c r="B38" s="185" t="s">
        <v>727</v>
      </c>
      <c r="C38" s="179">
        <f>ROUND(SUM('DOE25'!F140:J140)-SUM('DOE25'!F117:F119),0)</f>
        <v>1004040</v>
      </c>
      <c r="D38" s="182">
        <f t="shared" si="1"/>
        <v>2.2000000000000002</v>
      </c>
    </row>
    <row r="39" spans="1:4" x14ac:dyDescent="0.2">
      <c r="A39">
        <v>4000</v>
      </c>
      <c r="B39" s="185" t="s">
        <v>728</v>
      </c>
      <c r="C39" s="179">
        <f>ROUND('DOE25'!F169+'DOE25'!G169+'DOE25'!H169+'DOE25'!I169,0)</f>
        <v>978244</v>
      </c>
      <c r="D39" s="182">
        <f t="shared" si="1"/>
        <v>2.1</v>
      </c>
    </row>
    <row r="40" spans="1:4" x14ac:dyDescent="0.2">
      <c r="A40" s="183" t="s">
        <v>733</v>
      </c>
      <c r="B40" s="185" t="s">
        <v>729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730</v>
      </c>
      <c r="C41" s="180">
        <f>SUM(C35:C40)</f>
        <v>45786125.340000004</v>
      </c>
      <c r="D41" s="184">
        <f>SUM(D35:D40)</f>
        <v>100</v>
      </c>
    </row>
    <row r="42" spans="1:4" x14ac:dyDescent="0.2">
      <c r="A42" s="183" t="s">
        <v>735</v>
      </c>
      <c r="B42" s="185" t="s">
        <v>731</v>
      </c>
      <c r="C42" s="179">
        <f>ROUND('DOE25'!F173+'DOE25'!I173+'DOE25'!F176+'DOE25'!I176,0)</f>
        <v>38107102</v>
      </c>
    </row>
  </sheetData>
  <sheetProtection password="9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1:IV90"/>
  <sheetViews>
    <sheetView workbookViewId="0">
      <pane ySplit="3" topLeftCell="A25" activePane="bottomLeft" state="frozen"/>
      <selection activeCell="F46" sqref="F46"/>
      <selection pane="bottomLeft" activeCell="C56" sqref="C56:M56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5" t="s">
        <v>764</v>
      </c>
      <c r="B1" s="296"/>
      <c r="C1" s="296"/>
      <c r="D1" s="296"/>
      <c r="E1" s="296"/>
      <c r="F1" s="296"/>
      <c r="G1" s="296"/>
      <c r="H1" s="296"/>
      <c r="I1" s="296"/>
      <c r="J1" s="213"/>
      <c r="K1" s="213"/>
      <c r="L1" s="213"/>
      <c r="M1" s="214"/>
    </row>
    <row r="2" spans="1:26" ht="12.75" x14ac:dyDescent="0.2">
      <c r="A2" s="301" t="s">
        <v>761</v>
      </c>
      <c r="B2" s="302"/>
      <c r="C2" s="302"/>
      <c r="D2" s="302"/>
      <c r="E2" s="302"/>
      <c r="F2" s="299" t="str">
        <f>'DOE25'!A2</f>
        <v>Windham</v>
      </c>
      <c r="G2" s="300"/>
      <c r="H2" s="300"/>
      <c r="I2" s="300"/>
      <c r="J2" s="52"/>
      <c r="K2" s="52"/>
      <c r="L2" s="52"/>
      <c r="M2" s="215"/>
    </row>
    <row r="3" spans="1:26" x14ac:dyDescent="0.2">
      <c r="A3" s="216" t="s">
        <v>762</v>
      </c>
      <c r="B3" s="217" t="s">
        <v>763</v>
      </c>
      <c r="C3" s="297" t="s">
        <v>765</v>
      </c>
      <c r="D3" s="297"/>
      <c r="E3" s="297"/>
      <c r="F3" s="297"/>
      <c r="G3" s="297"/>
      <c r="H3" s="297"/>
      <c r="I3" s="297"/>
      <c r="J3" s="297"/>
      <c r="K3" s="297"/>
      <c r="L3" s="297"/>
      <c r="M3" s="298"/>
    </row>
    <row r="4" spans="1:26" x14ac:dyDescent="0.2">
      <c r="A4" s="218"/>
      <c r="B4" s="219"/>
      <c r="C4" s="286"/>
      <c r="D4" s="286"/>
      <c r="E4" s="286"/>
      <c r="F4" s="286"/>
      <c r="G4" s="286"/>
      <c r="H4" s="286"/>
      <c r="I4" s="286"/>
      <c r="J4" s="286"/>
      <c r="K4" s="286"/>
      <c r="L4" s="286"/>
      <c r="M4" s="287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6"/>
      <c r="D5" s="286"/>
      <c r="E5" s="286"/>
      <c r="F5" s="286"/>
      <c r="G5" s="286"/>
      <c r="H5" s="286"/>
      <c r="I5" s="286"/>
      <c r="J5" s="286"/>
      <c r="K5" s="286"/>
      <c r="L5" s="286"/>
      <c r="M5" s="287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6"/>
      <c r="D6" s="286"/>
      <c r="E6" s="286"/>
      <c r="F6" s="286"/>
      <c r="G6" s="286"/>
      <c r="H6" s="286"/>
      <c r="I6" s="286"/>
      <c r="J6" s="286"/>
      <c r="K6" s="286"/>
      <c r="L6" s="286"/>
      <c r="M6" s="287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6"/>
      <c r="D7" s="286"/>
      <c r="E7" s="286"/>
      <c r="F7" s="286"/>
      <c r="G7" s="286"/>
      <c r="H7" s="286"/>
      <c r="I7" s="286"/>
      <c r="J7" s="286"/>
      <c r="K7" s="286"/>
      <c r="L7" s="286"/>
      <c r="M7" s="287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6"/>
      <c r="D8" s="286"/>
      <c r="E8" s="286"/>
      <c r="F8" s="286"/>
      <c r="G8" s="286"/>
      <c r="H8" s="286"/>
      <c r="I8" s="286"/>
      <c r="J8" s="286"/>
      <c r="K8" s="286"/>
      <c r="L8" s="286"/>
      <c r="M8" s="287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6"/>
      <c r="D9" s="286"/>
      <c r="E9" s="286"/>
      <c r="F9" s="286"/>
      <c r="G9" s="286"/>
      <c r="H9" s="286"/>
      <c r="I9" s="286"/>
      <c r="J9" s="286"/>
      <c r="K9" s="286"/>
      <c r="L9" s="286"/>
      <c r="M9" s="287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6"/>
      <c r="D10" s="286"/>
      <c r="E10" s="286"/>
      <c r="F10" s="286"/>
      <c r="G10" s="286"/>
      <c r="H10" s="286"/>
      <c r="I10" s="286"/>
      <c r="J10" s="286"/>
      <c r="K10" s="286"/>
      <c r="L10" s="286"/>
      <c r="M10" s="287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6"/>
      <c r="D11" s="286"/>
      <c r="E11" s="286"/>
      <c r="F11" s="286"/>
      <c r="G11" s="286"/>
      <c r="H11" s="286"/>
      <c r="I11" s="286"/>
      <c r="J11" s="286"/>
      <c r="K11" s="286"/>
      <c r="L11" s="286"/>
      <c r="M11" s="287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6"/>
      <c r="D12" s="286"/>
      <c r="E12" s="286"/>
      <c r="F12" s="286"/>
      <c r="G12" s="286"/>
      <c r="H12" s="286"/>
      <c r="I12" s="286"/>
      <c r="J12" s="286"/>
      <c r="K12" s="286"/>
      <c r="L12" s="286"/>
      <c r="M12" s="287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6"/>
      <c r="D13" s="286"/>
      <c r="E13" s="286"/>
      <c r="F13" s="286"/>
      <c r="G13" s="286"/>
      <c r="H13" s="286"/>
      <c r="I13" s="286"/>
      <c r="J13" s="286"/>
      <c r="K13" s="286"/>
      <c r="L13" s="286"/>
      <c r="M13" s="287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6"/>
      <c r="D14" s="286"/>
      <c r="E14" s="286"/>
      <c r="F14" s="286"/>
      <c r="G14" s="286"/>
      <c r="H14" s="286"/>
      <c r="I14" s="286"/>
      <c r="J14" s="286"/>
      <c r="K14" s="286"/>
      <c r="L14" s="286"/>
      <c r="M14" s="287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6"/>
      <c r="D15" s="286"/>
      <c r="E15" s="286"/>
      <c r="F15" s="286"/>
      <c r="G15" s="286"/>
      <c r="H15" s="286"/>
      <c r="I15" s="286"/>
      <c r="J15" s="286"/>
      <c r="K15" s="286"/>
      <c r="L15" s="286"/>
      <c r="M15" s="287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6"/>
      <c r="D16" s="286"/>
      <c r="E16" s="286"/>
      <c r="F16" s="286"/>
      <c r="G16" s="286"/>
      <c r="H16" s="286"/>
      <c r="I16" s="286"/>
      <c r="J16" s="286"/>
      <c r="K16" s="286"/>
      <c r="L16" s="286"/>
      <c r="M16" s="287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6"/>
      <c r="D17" s="286"/>
      <c r="E17" s="286"/>
      <c r="F17" s="286"/>
      <c r="G17" s="286"/>
      <c r="H17" s="286"/>
      <c r="I17" s="286"/>
      <c r="J17" s="286"/>
      <c r="K17" s="286"/>
      <c r="L17" s="286"/>
      <c r="M17" s="287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6"/>
      <c r="D18" s="286"/>
      <c r="E18" s="286"/>
      <c r="F18" s="286"/>
      <c r="G18" s="286"/>
      <c r="H18" s="286"/>
      <c r="I18" s="286"/>
      <c r="J18" s="286"/>
      <c r="K18" s="286"/>
      <c r="L18" s="286"/>
      <c r="M18" s="287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6"/>
      <c r="D19" s="286"/>
      <c r="E19" s="286"/>
      <c r="F19" s="286"/>
      <c r="G19" s="286"/>
      <c r="H19" s="286"/>
      <c r="I19" s="286"/>
      <c r="J19" s="286"/>
      <c r="K19" s="286"/>
      <c r="L19" s="286"/>
      <c r="M19" s="287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6"/>
      <c r="D20" s="286"/>
      <c r="E20" s="286"/>
      <c r="F20" s="286"/>
      <c r="G20" s="286"/>
      <c r="H20" s="286"/>
      <c r="I20" s="286"/>
      <c r="J20" s="286"/>
      <c r="K20" s="286"/>
      <c r="L20" s="286"/>
      <c r="M20" s="287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6"/>
      <c r="D21" s="286"/>
      <c r="E21" s="286"/>
      <c r="F21" s="286"/>
      <c r="G21" s="286"/>
      <c r="H21" s="286"/>
      <c r="I21" s="286"/>
      <c r="J21" s="286"/>
      <c r="K21" s="286"/>
      <c r="L21" s="286"/>
      <c r="M21" s="287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6"/>
      <c r="D22" s="286"/>
      <c r="E22" s="286"/>
      <c r="F22" s="286"/>
      <c r="G22" s="286"/>
      <c r="H22" s="286"/>
      <c r="I22" s="286"/>
      <c r="J22" s="286"/>
      <c r="K22" s="286"/>
      <c r="L22" s="286"/>
      <c r="M22" s="287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6"/>
      <c r="D23" s="286"/>
      <c r="E23" s="286"/>
      <c r="F23" s="286"/>
      <c r="G23" s="286"/>
      <c r="H23" s="286"/>
      <c r="I23" s="286"/>
      <c r="J23" s="286"/>
      <c r="K23" s="286"/>
      <c r="L23" s="286"/>
      <c r="M23" s="287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6"/>
      <c r="D24" s="286"/>
      <c r="E24" s="286"/>
      <c r="F24" s="286"/>
      <c r="G24" s="286"/>
      <c r="H24" s="286"/>
      <c r="I24" s="286"/>
      <c r="J24" s="286"/>
      <c r="K24" s="286"/>
      <c r="L24" s="286"/>
      <c r="M24" s="287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6"/>
      <c r="D25" s="286"/>
      <c r="E25" s="286"/>
      <c r="F25" s="286"/>
      <c r="G25" s="286"/>
      <c r="H25" s="286"/>
      <c r="I25" s="286"/>
      <c r="J25" s="286"/>
      <c r="K25" s="286"/>
      <c r="L25" s="286"/>
      <c r="M25" s="287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6"/>
      <c r="D26" s="286"/>
      <c r="E26" s="286"/>
      <c r="F26" s="286"/>
      <c r="G26" s="286"/>
      <c r="H26" s="286"/>
      <c r="I26" s="286"/>
      <c r="J26" s="286"/>
      <c r="K26" s="286"/>
      <c r="L26" s="286"/>
      <c r="M26" s="287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6"/>
      <c r="D27" s="286"/>
      <c r="E27" s="286"/>
      <c r="F27" s="286"/>
      <c r="G27" s="286"/>
      <c r="H27" s="286"/>
      <c r="I27" s="286"/>
      <c r="J27" s="286"/>
      <c r="K27" s="286"/>
      <c r="L27" s="286"/>
      <c r="M27" s="287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6"/>
      <c r="D28" s="286"/>
      <c r="E28" s="286"/>
      <c r="F28" s="286"/>
      <c r="G28" s="286"/>
      <c r="H28" s="286"/>
      <c r="I28" s="286"/>
      <c r="J28" s="286"/>
      <c r="K28" s="286"/>
      <c r="L28" s="286"/>
      <c r="M28" s="287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6"/>
      <c r="D29" s="286"/>
      <c r="E29" s="286"/>
      <c r="F29" s="286"/>
      <c r="G29" s="286"/>
      <c r="H29" s="286"/>
      <c r="I29" s="286"/>
      <c r="J29" s="286"/>
      <c r="K29" s="286"/>
      <c r="L29" s="286"/>
      <c r="M29" s="287"/>
      <c r="N29" s="211"/>
      <c r="O29" s="211"/>
      <c r="P29" s="292"/>
      <c r="Q29" s="292"/>
      <c r="R29" s="292"/>
      <c r="S29" s="292"/>
      <c r="T29" s="292"/>
      <c r="U29" s="292"/>
      <c r="V29" s="292"/>
      <c r="W29" s="292"/>
      <c r="X29" s="292"/>
      <c r="Y29" s="292"/>
      <c r="Z29" s="292"/>
      <c r="AA29" s="207"/>
      <c r="AB29" s="207"/>
      <c r="AC29" s="291"/>
      <c r="AD29" s="291"/>
      <c r="AE29" s="291"/>
      <c r="AF29" s="291"/>
      <c r="AG29" s="291"/>
      <c r="AH29" s="291"/>
      <c r="AI29" s="291"/>
      <c r="AJ29" s="291"/>
      <c r="AK29" s="291"/>
      <c r="AL29" s="291"/>
      <c r="AM29" s="291"/>
      <c r="AN29" s="207"/>
      <c r="AO29" s="207"/>
      <c r="AP29" s="291"/>
      <c r="AQ29" s="291"/>
      <c r="AR29" s="291"/>
      <c r="AS29" s="291"/>
      <c r="AT29" s="291"/>
      <c r="AU29" s="291"/>
      <c r="AV29" s="291"/>
      <c r="AW29" s="291"/>
      <c r="AX29" s="291"/>
      <c r="AY29" s="291"/>
      <c r="AZ29" s="291"/>
      <c r="BA29" s="207"/>
      <c r="BB29" s="207"/>
      <c r="BC29" s="291"/>
      <c r="BD29" s="291"/>
      <c r="BE29" s="291"/>
      <c r="BF29" s="291"/>
      <c r="BG29" s="291"/>
      <c r="BH29" s="291"/>
      <c r="BI29" s="291"/>
      <c r="BJ29" s="291"/>
      <c r="BK29" s="291"/>
      <c r="BL29" s="291"/>
      <c r="BM29" s="291"/>
      <c r="BN29" s="207"/>
      <c r="BO29" s="207"/>
      <c r="BP29" s="291"/>
      <c r="BQ29" s="291"/>
      <c r="BR29" s="291"/>
      <c r="BS29" s="291"/>
      <c r="BT29" s="291"/>
      <c r="BU29" s="291"/>
      <c r="BV29" s="291"/>
      <c r="BW29" s="291"/>
      <c r="BX29" s="291"/>
      <c r="BY29" s="291"/>
      <c r="BZ29" s="291"/>
      <c r="CA29" s="207"/>
      <c r="CB29" s="207"/>
      <c r="CC29" s="291"/>
      <c r="CD29" s="291"/>
      <c r="CE29" s="291"/>
      <c r="CF29" s="291"/>
      <c r="CG29" s="291"/>
      <c r="CH29" s="291"/>
      <c r="CI29" s="291"/>
      <c r="CJ29" s="291"/>
      <c r="CK29" s="291"/>
      <c r="CL29" s="291"/>
      <c r="CM29" s="291"/>
      <c r="CN29" s="207"/>
      <c r="CO29" s="207"/>
      <c r="CP29" s="291"/>
      <c r="CQ29" s="291"/>
      <c r="CR29" s="291"/>
      <c r="CS29" s="291"/>
      <c r="CT29" s="291"/>
      <c r="CU29" s="291"/>
      <c r="CV29" s="291"/>
      <c r="CW29" s="291"/>
      <c r="CX29" s="291"/>
      <c r="CY29" s="291"/>
      <c r="CZ29" s="291"/>
      <c r="DA29" s="207"/>
      <c r="DB29" s="207"/>
      <c r="DC29" s="291"/>
      <c r="DD29" s="291"/>
      <c r="DE29" s="291"/>
      <c r="DF29" s="291"/>
      <c r="DG29" s="291"/>
      <c r="DH29" s="291"/>
      <c r="DI29" s="291"/>
      <c r="DJ29" s="291"/>
      <c r="DK29" s="291"/>
      <c r="DL29" s="291"/>
      <c r="DM29" s="291"/>
      <c r="DN29" s="207"/>
      <c r="DO29" s="207"/>
      <c r="DP29" s="291"/>
      <c r="DQ29" s="291"/>
      <c r="DR29" s="291"/>
      <c r="DS29" s="291"/>
      <c r="DT29" s="291"/>
      <c r="DU29" s="291"/>
      <c r="DV29" s="291"/>
      <c r="DW29" s="291"/>
      <c r="DX29" s="291"/>
      <c r="DY29" s="291"/>
      <c r="DZ29" s="291"/>
      <c r="EA29" s="207"/>
      <c r="EB29" s="207"/>
      <c r="EC29" s="291"/>
      <c r="ED29" s="291"/>
      <c r="EE29" s="291"/>
      <c r="EF29" s="291"/>
      <c r="EG29" s="291"/>
      <c r="EH29" s="291"/>
      <c r="EI29" s="291"/>
      <c r="EJ29" s="291"/>
      <c r="EK29" s="291"/>
      <c r="EL29" s="291"/>
      <c r="EM29" s="291"/>
      <c r="EN29" s="207"/>
      <c r="EO29" s="207"/>
      <c r="EP29" s="291"/>
      <c r="EQ29" s="291"/>
      <c r="ER29" s="291"/>
      <c r="ES29" s="291"/>
      <c r="ET29" s="291"/>
      <c r="EU29" s="291"/>
      <c r="EV29" s="291"/>
      <c r="EW29" s="291"/>
      <c r="EX29" s="291"/>
      <c r="EY29" s="291"/>
      <c r="EZ29" s="291"/>
      <c r="FA29" s="207"/>
      <c r="FB29" s="207"/>
      <c r="FC29" s="291"/>
      <c r="FD29" s="291"/>
      <c r="FE29" s="291"/>
      <c r="FF29" s="291"/>
      <c r="FG29" s="291"/>
      <c r="FH29" s="291"/>
      <c r="FI29" s="291"/>
      <c r="FJ29" s="291"/>
      <c r="FK29" s="291"/>
      <c r="FL29" s="291"/>
      <c r="FM29" s="291"/>
      <c r="FN29" s="207"/>
      <c r="FO29" s="207"/>
      <c r="FP29" s="291"/>
      <c r="FQ29" s="291"/>
      <c r="FR29" s="291"/>
      <c r="FS29" s="291"/>
      <c r="FT29" s="291"/>
      <c r="FU29" s="291"/>
      <c r="FV29" s="291"/>
      <c r="FW29" s="291"/>
      <c r="FX29" s="291"/>
      <c r="FY29" s="291"/>
      <c r="FZ29" s="291"/>
      <c r="GA29" s="207"/>
      <c r="GB29" s="207"/>
      <c r="GC29" s="291"/>
      <c r="GD29" s="291"/>
      <c r="GE29" s="291"/>
      <c r="GF29" s="291"/>
      <c r="GG29" s="291"/>
      <c r="GH29" s="291"/>
      <c r="GI29" s="291"/>
      <c r="GJ29" s="291"/>
      <c r="GK29" s="291"/>
      <c r="GL29" s="291"/>
      <c r="GM29" s="291"/>
      <c r="GN29" s="207"/>
      <c r="GO29" s="207"/>
      <c r="GP29" s="291"/>
      <c r="GQ29" s="291"/>
      <c r="GR29" s="291"/>
      <c r="GS29" s="291"/>
      <c r="GT29" s="291"/>
      <c r="GU29" s="291"/>
      <c r="GV29" s="291"/>
      <c r="GW29" s="291"/>
      <c r="GX29" s="291"/>
      <c r="GY29" s="291"/>
      <c r="GZ29" s="291"/>
      <c r="HA29" s="207"/>
      <c r="HB29" s="207"/>
      <c r="HC29" s="291"/>
      <c r="HD29" s="291"/>
      <c r="HE29" s="291"/>
      <c r="HF29" s="291"/>
      <c r="HG29" s="291"/>
      <c r="HH29" s="291"/>
      <c r="HI29" s="291"/>
      <c r="HJ29" s="291"/>
      <c r="HK29" s="291"/>
      <c r="HL29" s="291"/>
      <c r="HM29" s="291"/>
      <c r="HN29" s="207"/>
      <c r="HO29" s="207"/>
      <c r="HP29" s="291"/>
      <c r="HQ29" s="291"/>
      <c r="HR29" s="291"/>
      <c r="HS29" s="291"/>
      <c r="HT29" s="291"/>
      <c r="HU29" s="291"/>
      <c r="HV29" s="291"/>
      <c r="HW29" s="291"/>
      <c r="HX29" s="291"/>
      <c r="HY29" s="291"/>
      <c r="HZ29" s="291"/>
      <c r="IA29" s="207"/>
      <c r="IB29" s="207"/>
      <c r="IC29" s="291"/>
      <c r="ID29" s="291"/>
      <c r="IE29" s="291"/>
      <c r="IF29" s="291"/>
      <c r="IG29" s="291"/>
      <c r="IH29" s="291"/>
      <c r="II29" s="291"/>
      <c r="IJ29" s="291"/>
      <c r="IK29" s="291"/>
      <c r="IL29" s="291"/>
      <c r="IM29" s="291"/>
      <c r="IN29" s="207"/>
      <c r="IO29" s="207"/>
      <c r="IP29" s="291"/>
      <c r="IQ29" s="291"/>
      <c r="IR29" s="291"/>
      <c r="IS29" s="291"/>
      <c r="IT29" s="291"/>
      <c r="IU29" s="291"/>
      <c r="IV29" s="291"/>
    </row>
    <row r="30" spans="1:256" x14ac:dyDescent="0.2">
      <c r="A30" s="218"/>
      <c r="B30" s="219"/>
      <c r="C30" s="286"/>
      <c r="D30" s="286"/>
      <c r="E30" s="286"/>
      <c r="F30" s="286"/>
      <c r="G30" s="286"/>
      <c r="H30" s="286"/>
      <c r="I30" s="286"/>
      <c r="J30" s="286"/>
      <c r="K30" s="286"/>
      <c r="L30" s="286"/>
      <c r="M30" s="287"/>
      <c r="N30" s="211"/>
      <c r="O30" s="211"/>
      <c r="P30" s="292"/>
      <c r="Q30" s="292"/>
      <c r="R30" s="292"/>
      <c r="S30" s="292"/>
      <c r="T30" s="292"/>
      <c r="U30" s="292"/>
      <c r="V30" s="292"/>
      <c r="W30" s="292"/>
      <c r="X30" s="292"/>
      <c r="Y30" s="292"/>
      <c r="Z30" s="292"/>
      <c r="AA30" s="207"/>
      <c r="AB30" s="207"/>
      <c r="AC30" s="291"/>
      <c r="AD30" s="291"/>
      <c r="AE30" s="291"/>
      <c r="AF30" s="291"/>
      <c r="AG30" s="291"/>
      <c r="AH30" s="291"/>
      <c r="AI30" s="291"/>
      <c r="AJ30" s="291"/>
      <c r="AK30" s="291"/>
      <c r="AL30" s="291"/>
      <c r="AM30" s="291"/>
      <c r="AN30" s="207"/>
      <c r="AO30" s="207"/>
      <c r="AP30" s="291"/>
      <c r="AQ30" s="291"/>
      <c r="AR30" s="291"/>
      <c r="AS30" s="291"/>
      <c r="AT30" s="291"/>
      <c r="AU30" s="291"/>
      <c r="AV30" s="291"/>
      <c r="AW30" s="291"/>
      <c r="AX30" s="291"/>
      <c r="AY30" s="291"/>
      <c r="AZ30" s="291"/>
      <c r="BA30" s="207"/>
      <c r="BB30" s="207"/>
      <c r="BC30" s="291"/>
      <c r="BD30" s="291"/>
      <c r="BE30" s="291"/>
      <c r="BF30" s="291"/>
      <c r="BG30" s="291"/>
      <c r="BH30" s="291"/>
      <c r="BI30" s="291"/>
      <c r="BJ30" s="291"/>
      <c r="BK30" s="291"/>
      <c r="BL30" s="291"/>
      <c r="BM30" s="291"/>
      <c r="BN30" s="207"/>
      <c r="BO30" s="207"/>
      <c r="BP30" s="291"/>
      <c r="BQ30" s="291"/>
      <c r="BR30" s="291"/>
      <c r="BS30" s="291"/>
      <c r="BT30" s="291"/>
      <c r="BU30" s="291"/>
      <c r="BV30" s="291"/>
      <c r="BW30" s="291"/>
      <c r="BX30" s="291"/>
      <c r="BY30" s="291"/>
      <c r="BZ30" s="291"/>
      <c r="CA30" s="207"/>
      <c r="CB30" s="207"/>
      <c r="CC30" s="291"/>
      <c r="CD30" s="291"/>
      <c r="CE30" s="291"/>
      <c r="CF30" s="291"/>
      <c r="CG30" s="291"/>
      <c r="CH30" s="291"/>
      <c r="CI30" s="291"/>
      <c r="CJ30" s="291"/>
      <c r="CK30" s="291"/>
      <c r="CL30" s="291"/>
      <c r="CM30" s="291"/>
      <c r="CN30" s="207"/>
      <c r="CO30" s="207"/>
      <c r="CP30" s="291"/>
      <c r="CQ30" s="291"/>
      <c r="CR30" s="291"/>
      <c r="CS30" s="291"/>
      <c r="CT30" s="291"/>
      <c r="CU30" s="291"/>
      <c r="CV30" s="291"/>
      <c r="CW30" s="291"/>
      <c r="CX30" s="291"/>
      <c r="CY30" s="291"/>
      <c r="CZ30" s="291"/>
      <c r="DA30" s="207"/>
      <c r="DB30" s="207"/>
      <c r="DC30" s="291"/>
      <c r="DD30" s="291"/>
      <c r="DE30" s="291"/>
      <c r="DF30" s="291"/>
      <c r="DG30" s="291"/>
      <c r="DH30" s="291"/>
      <c r="DI30" s="291"/>
      <c r="DJ30" s="291"/>
      <c r="DK30" s="291"/>
      <c r="DL30" s="291"/>
      <c r="DM30" s="291"/>
      <c r="DN30" s="207"/>
      <c r="DO30" s="207"/>
      <c r="DP30" s="291"/>
      <c r="DQ30" s="291"/>
      <c r="DR30" s="291"/>
      <c r="DS30" s="291"/>
      <c r="DT30" s="291"/>
      <c r="DU30" s="291"/>
      <c r="DV30" s="291"/>
      <c r="DW30" s="291"/>
      <c r="DX30" s="291"/>
      <c r="DY30" s="291"/>
      <c r="DZ30" s="291"/>
      <c r="EA30" s="207"/>
      <c r="EB30" s="207"/>
      <c r="EC30" s="291"/>
      <c r="ED30" s="291"/>
      <c r="EE30" s="291"/>
      <c r="EF30" s="291"/>
      <c r="EG30" s="291"/>
      <c r="EH30" s="291"/>
      <c r="EI30" s="291"/>
      <c r="EJ30" s="291"/>
      <c r="EK30" s="291"/>
      <c r="EL30" s="291"/>
      <c r="EM30" s="291"/>
      <c r="EN30" s="207"/>
      <c r="EO30" s="207"/>
      <c r="EP30" s="291"/>
      <c r="EQ30" s="291"/>
      <c r="ER30" s="291"/>
      <c r="ES30" s="291"/>
      <c r="ET30" s="291"/>
      <c r="EU30" s="291"/>
      <c r="EV30" s="291"/>
      <c r="EW30" s="291"/>
      <c r="EX30" s="291"/>
      <c r="EY30" s="291"/>
      <c r="EZ30" s="291"/>
      <c r="FA30" s="207"/>
      <c r="FB30" s="207"/>
      <c r="FC30" s="291"/>
      <c r="FD30" s="291"/>
      <c r="FE30" s="291"/>
      <c r="FF30" s="291"/>
      <c r="FG30" s="291"/>
      <c r="FH30" s="291"/>
      <c r="FI30" s="291"/>
      <c r="FJ30" s="291"/>
      <c r="FK30" s="291"/>
      <c r="FL30" s="291"/>
      <c r="FM30" s="291"/>
      <c r="FN30" s="207"/>
      <c r="FO30" s="207"/>
      <c r="FP30" s="291"/>
      <c r="FQ30" s="291"/>
      <c r="FR30" s="291"/>
      <c r="FS30" s="291"/>
      <c r="FT30" s="291"/>
      <c r="FU30" s="291"/>
      <c r="FV30" s="291"/>
      <c r="FW30" s="291"/>
      <c r="FX30" s="291"/>
      <c r="FY30" s="291"/>
      <c r="FZ30" s="291"/>
      <c r="GA30" s="207"/>
      <c r="GB30" s="207"/>
      <c r="GC30" s="291"/>
      <c r="GD30" s="291"/>
      <c r="GE30" s="291"/>
      <c r="GF30" s="291"/>
      <c r="GG30" s="291"/>
      <c r="GH30" s="291"/>
      <c r="GI30" s="291"/>
      <c r="GJ30" s="291"/>
      <c r="GK30" s="291"/>
      <c r="GL30" s="291"/>
      <c r="GM30" s="291"/>
      <c r="GN30" s="207"/>
      <c r="GO30" s="207"/>
      <c r="GP30" s="291"/>
      <c r="GQ30" s="291"/>
      <c r="GR30" s="291"/>
      <c r="GS30" s="291"/>
      <c r="GT30" s="291"/>
      <c r="GU30" s="291"/>
      <c r="GV30" s="291"/>
      <c r="GW30" s="291"/>
      <c r="GX30" s="291"/>
      <c r="GY30" s="291"/>
      <c r="GZ30" s="291"/>
      <c r="HA30" s="207"/>
      <c r="HB30" s="207"/>
      <c r="HC30" s="291"/>
      <c r="HD30" s="291"/>
      <c r="HE30" s="291"/>
      <c r="HF30" s="291"/>
      <c r="HG30" s="291"/>
      <c r="HH30" s="291"/>
      <c r="HI30" s="291"/>
      <c r="HJ30" s="291"/>
      <c r="HK30" s="291"/>
      <c r="HL30" s="291"/>
      <c r="HM30" s="291"/>
      <c r="HN30" s="207"/>
      <c r="HO30" s="207"/>
      <c r="HP30" s="291"/>
      <c r="HQ30" s="291"/>
      <c r="HR30" s="291"/>
      <c r="HS30" s="291"/>
      <c r="HT30" s="291"/>
      <c r="HU30" s="291"/>
      <c r="HV30" s="291"/>
      <c r="HW30" s="291"/>
      <c r="HX30" s="291"/>
      <c r="HY30" s="291"/>
      <c r="HZ30" s="291"/>
      <c r="IA30" s="207"/>
      <c r="IB30" s="207"/>
      <c r="IC30" s="291"/>
      <c r="ID30" s="291"/>
      <c r="IE30" s="291"/>
      <c r="IF30" s="291"/>
      <c r="IG30" s="291"/>
      <c r="IH30" s="291"/>
      <c r="II30" s="291"/>
      <c r="IJ30" s="291"/>
      <c r="IK30" s="291"/>
      <c r="IL30" s="291"/>
      <c r="IM30" s="291"/>
      <c r="IN30" s="207"/>
      <c r="IO30" s="207"/>
      <c r="IP30" s="291"/>
      <c r="IQ30" s="291"/>
      <c r="IR30" s="291"/>
      <c r="IS30" s="291"/>
      <c r="IT30" s="291"/>
      <c r="IU30" s="291"/>
      <c r="IV30" s="291"/>
    </row>
    <row r="31" spans="1:256" x14ac:dyDescent="0.2">
      <c r="A31" s="218"/>
      <c r="B31" s="219"/>
      <c r="C31" s="286"/>
      <c r="D31" s="286"/>
      <c r="E31" s="286"/>
      <c r="F31" s="286"/>
      <c r="G31" s="286"/>
      <c r="H31" s="286"/>
      <c r="I31" s="286"/>
      <c r="J31" s="286"/>
      <c r="K31" s="286"/>
      <c r="L31" s="286"/>
      <c r="M31" s="287"/>
      <c r="N31" s="211"/>
      <c r="O31" s="211"/>
      <c r="P31" s="292"/>
      <c r="Q31" s="292"/>
      <c r="R31" s="292"/>
      <c r="S31" s="292"/>
      <c r="T31" s="292"/>
      <c r="U31" s="292"/>
      <c r="V31" s="292"/>
      <c r="W31" s="292"/>
      <c r="X31" s="292"/>
      <c r="Y31" s="292"/>
      <c r="Z31" s="292"/>
      <c r="AA31" s="207"/>
      <c r="AB31" s="207"/>
      <c r="AC31" s="291"/>
      <c r="AD31" s="291"/>
      <c r="AE31" s="291"/>
      <c r="AF31" s="291"/>
      <c r="AG31" s="291"/>
      <c r="AH31" s="291"/>
      <c r="AI31" s="291"/>
      <c r="AJ31" s="291"/>
      <c r="AK31" s="291"/>
      <c r="AL31" s="291"/>
      <c r="AM31" s="291"/>
      <c r="AN31" s="207"/>
      <c r="AO31" s="207"/>
      <c r="AP31" s="291"/>
      <c r="AQ31" s="291"/>
      <c r="AR31" s="291"/>
      <c r="AS31" s="291"/>
      <c r="AT31" s="291"/>
      <c r="AU31" s="291"/>
      <c r="AV31" s="291"/>
      <c r="AW31" s="291"/>
      <c r="AX31" s="291"/>
      <c r="AY31" s="291"/>
      <c r="AZ31" s="291"/>
      <c r="BA31" s="207"/>
      <c r="BB31" s="207"/>
      <c r="BC31" s="291"/>
      <c r="BD31" s="291"/>
      <c r="BE31" s="291"/>
      <c r="BF31" s="291"/>
      <c r="BG31" s="291"/>
      <c r="BH31" s="291"/>
      <c r="BI31" s="291"/>
      <c r="BJ31" s="291"/>
      <c r="BK31" s="291"/>
      <c r="BL31" s="291"/>
      <c r="BM31" s="291"/>
      <c r="BN31" s="207"/>
      <c r="BO31" s="207"/>
      <c r="BP31" s="291"/>
      <c r="BQ31" s="291"/>
      <c r="BR31" s="291"/>
      <c r="BS31" s="291"/>
      <c r="BT31" s="291"/>
      <c r="BU31" s="291"/>
      <c r="BV31" s="291"/>
      <c r="BW31" s="291"/>
      <c r="BX31" s="291"/>
      <c r="BY31" s="291"/>
      <c r="BZ31" s="291"/>
      <c r="CA31" s="207"/>
      <c r="CB31" s="207"/>
      <c r="CC31" s="291"/>
      <c r="CD31" s="291"/>
      <c r="CE31" s="291"/>
      <c r="CF31" s="291"/>
      <c r="CG31" s="291"/>
      <c r="CH31" s="291"/>
      <c r="CI31" s="291"/>
      <c r="CJ31" s="291"/>
      <c r="CK31" s="291"/>
      <c r="CL31" s="291"/>
      <c r="CM31" s="291"/>
      <c r="CN31" s="207"/>
      <c r="CO31" s="207"/>
      <c r="CP31" s="291"/>
      <c r="CQ31" s="291"/>
      <c r="CR31" s="291"/>
      <c r="CS31" s="291"/>
      <c r="CT31" s="291"/>
      <c r="CU31" s="291"/>
      <c r="CV31" s="291"/>
      <c r="CW31" s="291"/>
      <c r="CX31" s="291"/>
      <c r="CY31" s="291"/>
      <c r="CZ31" s="291"/>
      <c r="DA31" s="207"/>
      <c r="DB31" s="207"/>
      <c r="DC31" s="291"/>
      <c r="DD31" s="291"/>
      <c r="DE31" s="291"/>
      <c r="DF31" s="291"/>
      <c r="DG31" s="291"/>
      <c r="DH31" s="291"/>
      <c r="DI31" s="291"/>
      <c r="DJ31" s="291"/>
      <c r="DK31" s="291"/>
      <c r="DL31" s="291"/>
      <c r="DM31" s="291"/>
      <c r="DN31" s="207"/>
      <c r="DO31" s="207"/>
      <c r="DP31" s="291"/>
      <c r="DQ31" s="291"/>
      <c r="DR31" s="291"/>
      <c r="DS31" s="291"/>
      <c r="DT31" s="291"/>
      <c r="DU31" s="291"/>
      <c r="DV31" s="291"/>
      <c r="DW31" s="291"/>
      <c r="DX31" s="291"/>
      <c r="DY31" s="291"/>
      <c r="DZ31" s="291"/>
      <c r="EA31" s="207"/>
      <c r="EB31" s="207"/>
      <c r="EC31" s="291"/>
      <c r="ED31" s="291"/>
      <c r="EE31" s="291"/>
      <c r="EF31" s="291"/>
      <c r="EG31" s="291"/>
      <c r="EH31" s="291"/>
      <c r="EI31" s="291"/>
      <c r="EJ31" s="291"/>
      <c r="EK31" s="291"/>
      <c r="EL31" s="291"/>
      <c r="EM31" s="291"/>
      <c r="EN31" s="207"/>
      <c r="EO31" s="207"/>
      <c r="EP31" s="291"/>
      <c r="EQ31" s="291"/>
      <c r="ER31" s="291"/>
      <c r="ES31" s="291"/>
      <c r="ET31" s="291"/>
      <c r="EU31" s="291"/>
      <c r="EV31" s="291"/>
      <c r="EW31" s="291"/>
      <c r="EX31" s="291"/>
      <c r="EY31" s="291"/>
      <c r="EZ31" s="291"/>
      <c r="FA31" s="207"/>
      <c r="FB31" s="207"/>
      <c r="FC31" s="291"/>
      <c r="FD31" s="291"/>
      <c r="FE31" s="291"/>
      <c r="FF31" s="291"/>
      <c r="FG31" s="291"/>
      <c r="FH31" s="291"/>
      <c r="FI31" s="291"/>
      <c r="FJ31" s="291"/>
      <c r="FK31" s="291"/>
      <c r="FL31" s="291"/>
      <c r="FM31" s="291"/>
      <c r="FN31" s="207"/>
      <c r="FO31" s="207"/>
      <c r="FP31" s="291"/>
      <c r="FQ31" s="291"/>
      <c r="FR31" s="291"/>
      <c r="FS31" s="291"/>
      <c r="FT31" s="291"/>
      <c r="FU31" s="291"/>
      <c r="FV31" s="291"/>
      <c r="FW31" s="291"/>
      <c r="FX31" s="291"/>
      <c r="FY31" s="291"/>
      <c r="FZ31" s="291"/>
      <c r="GA31" s="207"/>
      <c r="GB31" s="207"/>
      <c r="GC31" s="291"/>
      <c r="GD31" s="291"/>
      <c r="GE31" s="291"/>
      <c r="GF31" s="291"/>
      <c r="GG31" s="291"/>
      <c r="GH31" s="291"/>
      <c r="GI31" s="291"/>
      <c r="GJ31" s="291"/>
      <c r="GK31" s="291"/>
      <c r="GL31" s="291"/>
      <c r="GM31" s="291"/>
      <c r="GN31" s="207"/>
      <c r="GO31" s="207"/>
      <c r="GP31" s="291"/>
      <c r="GQ31" s="291"/>
      <c r="GR31" s="291"/>
      <c r="GS31" s="291"/>
      <c r="GT31" s="291"/>
      <c r="GU31" s="291"/>
      <c r="GV31" s="291"/>
      <c r="GW31" s="291"/>
      <c r="GX31" s="291"/>
      <c r="GY31" s="291"/>
      <c r="GZ31" s="291"/>
      <c r="HA31" s="207"/>
      <c r="HB31" s="207"/>
      <c r="HC31" s="291"/>
      <c r="HD31" s="291"/>
      <c r="HE31" s="291"/>
      <c r="HF31" s="291"/>
      <c r="HG31" s="291"/>
      <c r="HH31" s="291"/>
      <c r="HI31" s="291"/>
      <c r="HJ31" s="291"/>
      <c r="HK31" s="291"/>
      <c r="HL31" s="291"/>
      <c r="HM31" s="291"/>
      <c r="HN31" s="207"/>
      <c r="HO31" s="207"/>
      <c r="HP31" s="291"/>
      <c r="HQ31" s="291"/>
      <c r="HR31" s="291"/>
      <c r="HS31" s="291"/>
      <c r="HT31" s="291"/>
      <c r="HU31" s="291"/>
      <c r="HV31" s="291"/>
      <c r="HW31" s="291"/>
      <c r="HX31" s="291"/>
      <c r="HY31" s="291"/>
      <c r="HZ31" s="291"/>
      <c r="IA31" s="207"/>
      <c r="IB31" s="207"/>
      <c r="IC31" s="291"/>
      <c r="ID31" s="291"/>
      <c r="IE31" s="291"/>
      <c r="IF31" s="291"/>
      <c r="IG31" s="291"/>
      <c r="IH31" s="291"/>
      <c r="II31" s="291"/>
      <c r="IJ31" s="291"/>
      <c r="IK31" s="291"/>
      <c r="IL31" s="291"/>
      <c r="IM31" s="291"/>
      <c r="IN31" s="207"/>
      <c r="IO31" s="207"/>
      <c r="IP31" s="291"/>
      <c r="IQ31" s="291"/>
      <c r="IR31" s="291"/>
      <c r="IS31" s="291"/>
      <c r="IT31" s="291"/>
      <c r="IU31" s="291"/>
      <c r="IV31" s="291"/>
    </row>
    <row r="32" spans="1:256" x14ac:dyDescent="0.2">
      <c r="A32" s="218"/>
      <c r="B32" s="219"/>
      <c r="C32" s="286"/>
      <c r="D32" s="286"/>
      <c r="E32" s="286"/>
      <c r="F32" s="286"/>
      <c r="G32" s="286"/>
      <c r="H32" s="286"/>
      <c r="I32" s="286"/>
      <c r="J32" s="286"/>
      <c r="K32" s="286"/>
      <c r="L32" s="286"/>
      <c r="M32" s="287"/>
      <c r="N32" s="223"/>
      <c r="O32" s="223"/>
      <c r="P32" s="293"/>
      <c r="Q32" s="293"/>
      <c r="R32" s="293"/>
      <c r="S32" s="293"/>
      <c r="T32" s="293"/>
      <c r="U32" s="293"/>
      <c r="V32" s="293"/>
      <c r="W32" s="293"/>
      <c r="X32" s="293"/>
      <c r="Y32" s="293"/>
      <c r="Z32" s="294"/>
      <c r="AA32" s="218"/>
      <c r="AB32" s="219"/>
      <c r="AC32" s="286"/>
      <c r="AD32" s="286"/>
      <c r="AE32" s="286"/>
      <c r="AF32" s="286"/>
      <c r="AG32" s="286"/>
      <c r="AH32" s="286"/>
      <c r="AI32" s="286"/>
      <c r="AJ32" s="286"/>
      <c r="AK32" s="286"/>
      <c r="AL32" s="286"/>
      <c r="AM32" s="287"/>
      <c r="AN32" s="218"/>
      <c r="AO32" s="219"/>
      <c r="AP32" s="286"/>
      <c r="AQ32" s="286"/>
      <c r="AR32" s="286"/>
      <c r="AS32" s="286"/>
      <c r="AT32" s="286"/>
      <c r="AU32" s="286"/>
      <c r="AV32" s="286"/>
      <c r="AW32" s="286"/>
      <c r="AX32" s="286"/>
      <c r="AY32" s="286"/>
      <c r="AZ32" s="287"/>
      <c r="BA32" s="218"/>
      <c r="BB32" s="219"/>
      <c r="BC32" s="286"/>
      <c r="BD32" s="286"/>
      <c r="BE32" s="286"/>
      <c r="BF32" s="286"/>
      <c r="BG32" s="286"/>
      <c r="BH32" s="286"/>
      <c r="BI32" s="286"/>
      <c r="BJ32" s="286"/>
      <c r="BK32" s="286"/>
      <c r="BL32" s="286"/>
      <c r="BM32" s="287"/>
      <c r="BN32" s="218"/>
      <c r="BO32" s="219"/>
      <c r="BP32" s="286"/>
      <c r="BQ32" s="286"/>
      <c r="BR32" s="286"/>
      <c r="BS32" s="286"/>
      <c r="BT32" s="286"/>
      <c r="BU32" s="286"/>
      <c r="BV32" s="286"/>
      <c r="BW32" s="286"/>
      <c r="BX32" s="286"/>
      <c r="BY32" s="286"/>
      <c r="BZ32" s="287"/>
      <c r="CA32" s="218"/>
      <c r="CB32" s="219"/>
      <c r="CC32" s="286"/>
      <c r="CD32" s="286"/>
      <c r="CE32" s="286"/>
      <c r="CF32" s="286"/>
      <c r="CG32" s="286"/>
      <c r="CH32" s="286"/>
      <c r="CI32" s="286"/>
      <c r="CJ32" s="286"/>
      <c r="CK32" s="286"/>
      <c r="CL32" s="286"/>
      <c r="CM32" s="287"/>
      <c r="CN32" s="218"/>
      <c r="CO32" s="219"/>
      <c r="CP32" s="286"/>
      <c r="CQ32" s="286"/>
      <c r="CR32" s="286"/>
      <c r="CS32" s="286"/>
      <c r="CT32" s="286"/>
      <c r="CU32" s="286"/>
      <c r="CV32" s="286"/>
      <c r="CW32" s="286"/>
      <c r="CX32" s="286"/>
      <c r="CY32" s="286"/>
      <c r="CZ32" s="287"/>
      <c r="DA32" s="218"/>
      <c r="DB32" s="219"/>
      <c r="DC32" s="286"/>
      <c r="DD32" s="286"/>
      <c r="DE32" s="286"/>
      <c r="DF32" s="286"/>
      <c r="DG32" s="286"/>
      <c r="DH32" s="286"/>
      <c r="DI32" s="286"/>
      <c r="DJ32" s="286"/>
      <c r="DK32" s="286"/>
      <c r="DL32" s="286"/>
      <c r="DM32" s="287"/>
      <c r="DN32" s="218"/>
      <c r="DO32" s="219"/>
      <c r="DP32" s="286"/>
      <c r="DQ32" s="286"/>
      <c r="DR32" s="286"/>
      <c r="DS32" s="286"/>
      <c r="DT32" s="286"/>
      <c r="DU32" s="286"/>
      <c r="DV32" s="286"/>
      <c r="DW32" s="286"/>
      <c r="DX32" s="286"/>
      <c r="DY32" s="286"/>
      <c r="DZ32" s="287"/>
      <c r="EA32" s="218"/>
      <c r="EB32" s="219"/>
      <c r="EC32" s="286"/>
      <c r="ED32" s="286"/>
      <c r="EE32" s="286"/>
      <c r="EF32" s="286"/>
      <c r="EG32" s="286"/>
      <c r="EH32" s="286"/>
      <c r="EI32" s="286"/>
      <c r="EJ32" s="286"/>
      <c r="EK32" s="286"/>
      <c r="EL32" s="286"/>
      <c r="EM32" s="287"/>
      <c r="EN32" s="218"/>
      <c r="EO32" s="219"/>
      <c r="EP32" s="286"/>
      <c r="EQ32" s="286"/>
      <c r="ER32" s="286"/>
      <c r="ES32" s="286"/>
      <c r="ET32" s="286"/>
      <c r="EU32" s="286"/>
      <c r="EV32" s="286"/>
      <c r="EW32" s="286"/>
      <c r="EX32" s="286"/>
      <c r="EY32" s="286"/>
      <c r="EZ32" s="287"/>
      <c r="FA32" s="218"/>
      <c r="FB32" s="219"/>
      <c r="FC32" s="286"/>
      <c r="FD32" s="286"/>
      <c r="FE32" s="286"/>
      <c r="FF32" s="286"/>
      <c r="FG32" s="286"/>
      <c r="FH32" s="286"/>
      <c r="FI32" s="286"/>
      <c r="FJ32" s="286"/>
      <c r="FK32" s="286"/>
      <c r="FL32" s="286"/>
      <c r="FM32" s="287"/>
      <c r="FN32" s="218"/>
      <c r="FO32" s="219"/>
      <c r="FP32" s="286"/>
      <c r="FQ32" s="286"/>
      <c r="FR32" s="286"/>
      <c r="FS32" s="286"/>
      <c r="FT32" s="286"/>
      <c r="FU32" s="286"/>
      <c r="FV32" s="286"/>
      <c r="FW32" s="286"/>
      <c r="FX32" s="286"/>
      <c r="FY32" s="286"/>
      <c r="FZ32" s="287"/>
      <c r="GA32" s="218"/>
      <c r="GB32" s="219"/>
      <c r="GC32" s="286"/>
      <c r="GD32" s="286"/>
      <c r="GE32" s="286"/>
      <c r="GF32" s="286"/>
      <c r="GG32" s="286"/>
      <c r="GH32" s="286"/>
      <c r="GI32" s="286"/>
      <c r="GJ32" s="286"/>
      <c r="GK32" s="286"/>
      <c r="GL32" s="286"/>
      <c r="GM32" s="287"/>
      <c r="GN32" s="218"/>
      <c r="GO32" s="219"/>
      <c r="GP32" s="286"/>
      <c r="GQ32" s="286"/>
      <c r="GR32" s="286"/>
      <c r="GS32" s="286"/>
      <c r="GT32" s="286"/>
      <c r="GU32" s="286"/>
      <c r="GV32" s="286"/>
      <c r="GW32" s="286"/>
      <c r="GX32" s="286"/>
      <c r="GY32" s="286"/>
      <c r="GZ32" s="287"/>
      <c r="HA32" s="218"/>
      <c r="HB32" s="219"/>
      <c r="HC32" s="286"/>
      <c r="HD32" s="286"/>
      <c r="HE32" s="286"/>
      <c r="HF32" s="286"/>
      <c r="HG32" s="286"/>
      <c r="HH32" s="286"/>
      <c r="HI32" s="286"/>
      <c r="HJ32" s="286"/>
      <c r="HK32" s="286"/>
      <c r="HL32" s="286"/>
      <c r="HM32" s="287"/>
      <c r="HN32" s="218"/>
      <c r="HO32" s="219"/>
      <c r="HP32" s="286"/>
      <c r="HQ32" s="286"/>
      <c r="HR32" s="286"/>
      <c r="HS32" s="286"/>
      <c r="HT32" s="286"/>
      <c r="HU32" s="286"/>
      <c r="HV32" s="286"/>
      <c r="HW32" s="286"/>
      <c r="HX32" s="286"/>
      <c r="HY32" s="286"/>
      <c r="HZ32" s="287"/>
      <c r="IA32" s="218"/>
      <c r="IB32" s="219"/>
      <c r="IC32" s="286"/>
      <c r="ID32" s="286"/>
      <c r="IE32" s="286"/>
      <c r="IF32" s="286"/>
      <c r="IG32" s="286"/>
      <c r="IH32" s="286"/>
      <c r="II32" s="286"/>
      <c r="IJ32" s="286"/>
      <c r="IK32" s="286"/>
      <c r="IL32" s="286"/>
      <c r="IM32" s="287"/>
      <c r="IN32" s="218"/>
      <c r="IO32" s="219"/>
      <c r="IP32" s="286"/>
      <c r="IQ32" s="286"/>
      <c r="IR32" s="286"/>
      <c r="IS32" s="286"/>
      <c r="IT32" s="286"/>
      <c r="IU32" s="286"/>
      <c r="IV32" s="286"/>
    </row>
    <row r="33" spans="1:256" x14ac:dyDescent="0.2">
      <c r="A33" s="218"/>
      <c r="B33" s="219"/>
      <c r="C33" s="286"/>
      <c r="D33" s="286"/>
      <c r="E33" s="286"/>
      <c r="F33" s="286"/>
      <c r="G33" s="286"/>
      <c r="H33" s="286"/>
      <c r="I33" s="286"/>
      <c r="J33" s="286"/>
      <c r="K33" s="286"/>
      <c r="L33" s="286"/>
      <c r="M33" s="287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6"/>
      <c r="D34" s="286"/>
      <c r="E34" s="286"/>
      <c r="F34" s="286"/>
      <c r="G34" s="286"/>
      <c r="H34" s="286"/>
      <c r="I34" s="286"/>
      <c r="J34" s="286"/>
      <c r="K34" s="286"/>
      <c r="L34" s="286"/>
      <c r="M34" s="287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6"/>
      <c r="D35" s="286"/>
      <c r="E35" s="286"/>
      <c r="F35" s="286"/>
      <c r="G35" s="286"/>
      <c r="H35" s="286"/>
      <c r="I35" s="286"/>
      <c r="J35" s="286"/>
      <c r="K35" s="286"/>
      <c r="L35" s="286"/>
      <c r="M35" s="287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6"/>
      <c r="D36" s="286"/>
      <c r="E36" s="286"/>
      <c r="F36" s="286"/>
      <c r="G36" s="286"/>
      <c r="H36" s="286"/>
      <c r="I36" s="286"/>
      <c r="J36" s="286"/>
      <c r="K36" s="286"/>
      <c r="L36" s="286"/>
      <c r="M36" s="287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6"/>
      <c r="D37" s="286"/>
      <c r="E37" s="286"/>
      <c r="F37" s="286"/>
      <c r="G37" s="286"/>
      <c r="H37" s="286"/>
      <c r="I37" s="286"/>
      <c r="J37" s="286"/>
      <c r="K37" s="286"/>
      <c r="L37" s="286"/>
      <c r="M37" s="287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6"/>
      <c r="D38" s="286"/>
      <c r="E38" s="286"/>
      <c r="F38" s="286"/>
      <c r="G38" s="286"/>
      <c r="H38" s="286"/>
      <c r="I38" s="286"/>
      <c r="J38" s="286"/>
      <c r="K38" s="286"/>
      <c r="L38" s="286"/>
      <c r="M38" s="287"/>
      <c r="N38" s="211"/>
      <c r="O38" s="211"/>
      <c r="P38" s="292"/>
      <c r="Q38" s="292"/>
      <c r="R38" s="292"/>
      <c r="S38" s="292"/>
      <c r="T38" s="292"/>
      <c r="U38" s="292"/>
      <c r="V38" s="292"/>
      <c r="W38" s="292"/>
      <c r="X38" s="292"/>
      <c r="Y38" s="292"/>
      <c r="Z38" s="292"/>
      <c r="AA38" s="207"/>
      <c r="AB38" s="207"/>
      <c r="AC38" s="291"/>
      <c r="AD38" s="291"/>
      <c r="AE38" s="291"/>
      <c r="AF38" s="291"/>
      <c r="AG38" s="291"/>
      <c r="AH38" s="291"/>
      <c r="AI38" s="291"/>
      <c r="AJ38" s="291"/>
      <c r="AK38" s="291"/>
      <c r="AL38" s="291"/>
      <c r="AM38" s="291"/>
      <c r="AN38" s="207"/>
      <c r="AO38" s="207"/>
      <c r="AP38" s="291"/>
      <c r="AQ38" s="291"/>
      <c r="AR38" s="291"/>
      <c r="AS38" s="291"/>
      <c r="AT38" s="291"/>
      <c r="AU38" s="291"/>
      <c r="AV38" s="291"/>
      <c r="AW38" s="291"/>
      <c r="AX38" s="291"/>
      <c r="AY38" s="291"/>
      <c r="AZ38" s="291"/>
      <c r="BA38" s="207"/>
      <c r="BB38" s="207"/>
      <c r="BC38" s="291"/>
      <c r="BD38" s="291"/>
      <c r="BE38" s="291"/>
      <c r="BF38" s="291"/>
      <c r="BG38" s="291"/>
      <c r="BH38" s="291"/>
      <c r="BI38" s="291"/>
      <c r="BJ38" s="291"/>
      <c r="BK38" s="291"/>
      <c r="BL38" s="291"/>
      <c r="BM38" s="291"/>
      <c r="BN38" s="207"/>
      <c r="BO38" s="207"/>
      <c r="BP38" s="291"/>
      <c r="BQ38" s="291"/>
      <c r="BR38" s="291"/>
      <c r="BS38" s="291"/>
      <c r="BT38" s="291"/>
      <c r="BU38" s="291"/>
      <c r="BV38" s="291"/>
      <c r="BW38" s="291"/>
      <c r="BX38" s="291"/>
      <c r="BY38" s="291"/>
      <c r="BZ38" s="291"/>
      <c r="CA38" s="207"/>
      <c r="CB38" s="207"/>
      <c r="CC38" s="291"/>
      <c r="CD38" s="291"/>
      <c r="CE38" s="291"/>
      <c r="CF38" s="291"/>
      <c r="CG38" s="291"/>
      <c r="CH38" s="291"/>
      <c r="CI38" s="291"/>
      <c r="CJ38" s="291"/>
      <c r="CK38" s="291"/>
      <c r="CL38" s="291"/>
      <c r="CM38" s="291"/>
      <c r="CN38" s="207"/>
      <c r="CO38" s="207"/>
      <c r="CP38" s="291"/>
      <c r="CQ38" s="291"/>
      <c r="CR38" s="291"/>
      <c r="CS38" s="291"/>
      <c r="CT38" s="291"/>
      <c r="CU38" s="291"/>
      <c r="CV38" s="291"/>
      <c r="CW38" s="291"/>
      <c r="CX38" s="291"/>
      <c r="CY38" s="291"/>
      <c r="CZ38" s="291"/>
      <c r="DA38" s="207"/>
      <c r="DB38" s="207"/>
      <c r="DC38" s="291"/>
      <c r="DD38" s="291"/>
      <c r="DE38" s="291"/>
      <c r="DF38" s="291"/>
      <c r="DG38" s="291"/>
      <c r="DH38" s="291"/>
      <c r="DI38" s="291"/>
      <c r="DJ38" s="291"/>
      <c r="DK38" s="291"/>
      <c r="DL38" s="291"/>
      <c r="DM38" s="291"/>
      <c r="DN38" s="207"/>
      <c r="DO38" s="207"/>
      <c r="DP38" s="291"/>
      <c r="DQ38" s="291"/>
      <c r="DR38" s="291"/>
      <c r="DS38" s="291"/>
      <c r="DT38" s="291"/>
      <c r="DU38" s="291"/>
      <c r="DV38" s="291"/>
      <c r="DW38" s="291"/>
      <c r="DX38" s="291"/>
      <c r="DY38" s="291"/>
      <c r="DZ38" s="291"/>
      <c r="EA38" s="207"/>
      <c r="EB38" s="207"/>
      <c r="EC38" s="291"/>
      <c r="ED38" s="291"/>
      <c r="EE38" s="291"/>
      <c r="EF38" s="291"/>
      <c r="EG38" s="291"/>
      <c r="EH38" s="291"/>
      <c r="EI38" s="291"/>
      <c r="EJ38" s="291"/>
      <c r="EK38" s="291"/>
      <c r="EL38" s="291"/>
      <c r="EM38" s="291"/>
      <c r="EN38" s="207"/>
      <c r="EO38" s="207"/>
      <c r="EP38" s="291"/>
      <c r="EQ38" s="291"/>
      <c r="ER38" s="291"/>
      <c r="ES38" s="291"/>
      <c r="ET38" s="291"/>
      <c r="EU38" s="291"/>
      <c r="EV38" s="291"/>
      <c r="EW38" s="291"/>
      <c r="EX38" s="291"/>
      <c r="EY38" s="291"/>
      <c r="EZ38" s="291"/>
      <c r="FA38" s="207"/>
      <c r="FB38" s="207"/>
      <c r="FC38" s="291"/>
      <c r="FD38" s="291"/>
      <c r="FE38" s="291"/>
      <c r="FF38" s="291"/>
      <c r="FG38" s="291"/>
      <c r="FH38" s="291"/>
      <c r="FI38" s="291"/>
      <c r="FJ38" s="291"/>
      <c r="FK38" s="291"/>
      <c r="FL38" s="291"/>
      <c r="FM38" s="291"/>
      <c r="FN38" s="207"/>
      <c r="FO38" s="207"/>
      <c r="FP38" s="291"/>
      <c r="FQ38" s="291"/>
      <c r="FR38" s="291"/>
      <c r="FS38" s="291"/>
      <c r="FT38" s="291"/>
      <c r="FU38" s="291"/>
      <c r="FV38" s="291"/>
      <c r="FW38" s="291"/>
      <c r="FX38" s="291"/>
      <c r="FY38" s="291"/>
      <c r="FZ38" s="291"/>
      <c r="GA38" s="207"/>
      <c r="GB38" s="207"/>
      <c r="GC38" s="291"/>
      <c r="GD38" s="291"/>
      <c r="GE38" s="291"/>
      <c r="GF38" s="291"/>
      <c r="GG38" s="291"/>
      <c r="GH38" s="291"/>
      <c r="GI38" s="291"/>
      <c r="GJ38" s="291"/>
      <c r="GK38" s="291"/>
      <c r="GL38" s="291"/>
      <c r="GM38" s="291"/>
      <c r="GN38" s="207"/>
      <c r="GO38" s="207"/>
      <c r="GP38" s="291"/>
      <c r="GQ38" s="291"/>
      <c r="GR38" s="291"/>
      <c r="GS38" s="291"/>
      <c r="GT38" s="291"/>
      <c r="GU38" s="291"/>
      <c r="GV38" s="291"/>
      <c r="GW38" s="291"/>
      <c r="GX38" s="291"/>
      <c r="GY38" s="291"/>
      <c r="GZ38" s="291"/>
      <c r="HA38" s="207"/>
      <c r="HB38" s="207"/>
      <c r="HC38" s="291"/>
      <c r="HD38" s="291"/>
      <c r="HE38" s="291"/>
      <c r="HF38" s="291"/>
      <c r="HG38" s="291"/>
      <c r="HH38" s="291"/>
      <c r="HI38" s="291"/>
      <c r="HJ38" s="291"/>
      <c r="HK38" s="291"/>
      <c r="HL38" s="291"/>
      <c r="HM38" s="291"/>
      <c r="HN38" s="207"/>
      <c r="HO38" s="207"/>
      <c r="HP38" s="291"/>
      <c r="HQ38" s="291"/>
      <c r="HR38" s="291"/>
      <c r="HS38" s="291"/>
      <c r="HT38" s="291"/>
      <c r="HU38" s="291"/>
      <c r="HV38" s="291"/>
      <c r="HW38" s="291"/>
      <c r="HX38" s="291"/>
      <c r="HY38" s="291"/>
      <c r="HZ38" s="291"/>
      <c r="IA38" s="207"/>
      <c r="IB38" s="207"/>
      <c r="IC38" s="291"/>
      <c r="ID38" s="291"/>
      <c r="IE38" s="291"/>
      <c r="IF38" s="291"/>
      <c r="IG38" s="291"/>
      <c r="IH38" s="291"/>
      <c r="II38" s="291"/>
      <c r="IJ38" s="291"/>
      <c r="IK38" s="291"/>
      <c r="IL38" s="291"/>
      <c r="IM38" s="291"/>
      <c r="IN38" s="207"/>
      <c r="IO38" s="207"/>
      <c r="IP38" s="291"/>
      <c r="IQ38" s="291"/>
      <c r="IR38" s="291"/>
      <c r="IS38" s="291"/>
      <c r="IT38" s="291"/>
      <c r="IU38" s="291"/>
      <c r="IV38" s="291"/>
    </row>
    <row r="39" spans="1:256" x14ac:dyDescent="0.2">
      <c r="A39" s="218"/>
      <c r="B39" s="219"/>
      <c r="C39" s="286"/>
      <c r="D39" s="286"/>
      <c r="E39" s="286"/>
      <c r="F39" s="286"/>
      <c r="G39" s="286"/>
      <c r="H39" s="286"/>
      <c r="I39" s="286"/>
      <c r="J39" s="286"/>
      <c r="K39" s="286"/>
      <c r="L39" s="286"/>
      <c r="M39" s="287"/>
      <c r="N39" s="211"/>
      <c r="O39" s="211"/>
      <c r="P39" s="292"/>
      <c r="Q39" s="292"/>
      <c r="R39" s="292"/>
      <c r="S39" s="292"/>
      <c r="T39" s="292"/>
      <c r="U39" s="292"/>
      <c r="V39" s="292"/>
      <c r="W39" s="292"/>
      <c r="X39" s="292"/>
      <c r="Y39" s="292"/>
      <c r="Z39" s="292"/>
      <c r="AA39" s="207"/>
      <c r="AB39" s="207"/>
      <c r="AC39" s="291"/>
      <c r="AD39" s="291"/>
      <c r="AE39" s="291"/>
      <c r="AF39" s="291"/>
      <c r="AG39" s="291"/>
      <c r="AH39" s="291"/>
      <c r="AI39" s="291"/>
      <c r="AJ39" s="291"/>
      <c r="AK39" s="291"/>
      <c r="AL39" s="291"/>
      <c r="AM39" s="291"/>
      <c r="AN39" s="207"/>
      <c r="AO39" s="207"/>
      <c r="AP39" s="291"/>
      <c r="AQ39" s="291"/>
      <c r="AR39" s="291"/>
      <c r="AS39" s="291"/>
      <c r="AT39" s="291"/>
      <c r="AU39" s="291"/>
      <c r="AV39" s="291"/>
      <c r="AW39" s="291"/>
      <c r="AX39" s="291"/>
      <c r="AY39" s="291"/>
      <c r="AZ39" s="291"/>
      <c r="BA39" s="207"/>
      <c r="BB39" s="207"/>
      <c r="BC39" s="291"/>
      <c r="BD39" s="291"/>
      <c r="BE39" s="291"/>
      <c r="BF39" s="291"/>
      <c r="BG39" s="291"/>
      <c r="BH39" s="291"/>
      <c r="BI39" s="291"/>
      <c r="BJ39" s="291"/>
      <c r="BK39" s="291"/>
      <c r="BL39" s="291"/>
      <c r="BM39" s="291"/>
      <c r="BN39" s="207"/>
      <c r="BO39" s="207"/>
      <c r="BP39" s="291"/>
      <c r="BQ39" s="291"/>
      <c r="BR39" s="291"/>
      <c r="BS39" s="291"/>
      <c r="BT39" s="291"/>
      <c r="BU39" s="291"/>
      <c r="BV39" s="291"/>
      <c r="BW39" s="291"/>
      <c r="BX39" s="291"/>
      <c r="BY39" s="291"/>
      <c r="BZ39" s="291"/>
      <c r="CA39" s="207"/>
      <c r="CB39" s="207"/>
      <c r="CC39" s="291"/>
      <c r="CD39" s="291"/>
      <c r="CE39" s="291"/>
      <c r="CF39" s="291"/>
      <c r="CG39" s="291"/>
      <c r="CH39" s="291"/>
      <c r="CI39" s="291"/>
      <c r="CJ39" s="291"/>
      <c r="CK39" s="291"/>
      <c r="CL39" s="291"/>
      <c r="CM39" s="291"/>
      <c r="CN39" s="207"/>
      <c r="CO39" s="207"/>
      <c r="CP39" s="291"/>
      <c r="CQ39" s="291"/>
      <c r="CR39" s="291"/>
      <c r="CS39" s="291"/>
      <c r="CT39" s="291"/>
      <c r="CU39" s="291"/>
      <c r="CV39" s="291"/>
      <c r="CW39" s="291"/>
      <c r="CX39" s="291"/>
      <c r="CY39" s="291"/>
      <c r="CZ39" s="291"/>
      <c r="DA39" s="207"/>
      <c r="DB39" s="207"/>
      <c r="DC39" s="291"/>
      <c r="DD39" s="291"/>
      <c r="DE39" s="291"/>
      <c r="DF39" s="291"/>
      <c r="DG39" s="291"/>
      <c r="DH39" s="291"/>
      <c r="DI39" s="291"/>
      <c r="DJ39" s="291"/>
      <c r="DK39" s="291"/>
      <c r="DL39" s="291"/>
      <c r="DM39" s="291"/>
      <c r="DN39" s="207"/>
      <c r="DO39" s="207"/>
      <c r="DP39" s="291"/>
      <c r="DQ39" s="291"/>
      <c r="DR39" s="291"/>
      <c r="DS39" s="291"/>
      <c r="DT39" s="291"/>
      <c r="DU39" s="291"/>
      <c r="DV39" s="291"/>
      <c r="DW39" s="291"/>
      <c r="DX39" s="291"/>
      <c r="DY39" s="291"/>
      <c r="DZ39" s="291"/>
      <c r="EA39" s="207"/>
      <c r="EB39" s="207"/>
      <c r="EC39" s="291"/>
      <c r="ED39" s="291"/>
      <c r="EE39" s="291"/>
      <c r="EF39" s="291"/>
      <c r="EG39" s="291"/>
      <c r="EH39" s="291"/>
      <c r="EI39" s="291"/>
      <c r="EJ39" s="291"/>
      <c r="EK39" s="291"/>
      <c r="EL39" s="291"/>
      <c r="EM39" s="291"/>
      <c r="EN39" s="207"/>
      <c r="EO39" s="207"/>
      <c r="EP39" s="291"/>
      <c r="EQ39" s="291"/>
      <c r="ER39" s="291"/>
      <c r="ES39" s="291"/>
      <c r="ET39" s="291"/>
      <c r="EU39" s="291"/>
      <c r="EV39" s="291"/>
      <c r="EW39" s="291"/>
      <c r="EX39" s="291"/>
      <c r="EY39" s="291"/>
      <c r="EZ39" s="291"/>
      <c r="FA39" s="207"/>
      <c r="FB39" s="207"/>
      <c r="FC39" s="291"/>
      <c r="FD39" s="291"/>
      <c r="FE39" s="291"/>
      <c r="FF39" s="291"/>
      <c r="FG39" s="291"/>
      <c r="FH39" s="291"/>
      <c r="FI39" s="291"/>
      <c r="FJ39" s="291"/>
      <c r="FK39" s="291"/>
      <c r="FL39" s="291"/>
      <c r="FM39" s="291"/>
      <c r="FN39" s="207"/>
      <c r="FO39" s="207"/>
      <c r="FP39" s="291"/>
      <c r="FQ39" s="291"/>
      <c r="FR39" s="291"/>
      <c r="FS39" s="291"/>
      <c r="FT39" s="291"/>
      <c r="FU39" s="291"/>
      <c r="FV39" s="291"/>
      <c r="FW39" s="291"/>
      <c r="FX39" s="291"/>
      <c r="FY39" s="291"/>
      <c r="FZ39" s="291"/>
      <c r="GA39" s="207"/>
      <c r="GB39" s="207"/>
      <c r="GC39" s="291"/>
      <c r="GD39" s="291"/>
      <c r="GE39" s="291"/>
      <c r="GF39" s="291"/>
      <c r="GG39" s="291"/>
      <c r="GH39" s="291"/>
      <c r="GI39" s="291"/>
      <c r="GJ39" s="291"/>
      <c r="GK39" s="291"/>
      <c r="GL39" s="291"/>
      <c r="GM39" s="291"/>
      <c r="GN39" s="207"/>
      <c r="GO39" s="207"/>
      <c r="GP39" s="291"/>
      <c r="GQ39" s="291"/>
      <c r="GR39" s="291"/>
      <c r="GS39" s="291"/>
      <c r="GT39" s="291"/>
      <c r="GU39" s="291"/>
      <c r="GV39" s="291"/>
      <c r="GW39" s="291"/>
      <c r="GX39" s="291"/>
      <c r="GY39" s="291"/>
      <c r="GZ39" s="291"/>
      <c r="HA39" s="207"/>
      <c r="HB39" s="207"/>
      <c r="HC39" s="291"/>
      <c r="HD39" s="291"/>
      <c r="HE39" s="291"/>
      <c r="HF39" s="291"/>
      <c r="HG39" s="291"/>
      <c r="HH39" s="291"/>
      <c r="HI39" s="291"/>
      <c r="HJ39" s="291"/>
      <c r="HK39" s="291"/>
      <c r="HL39" s="291"/>
      <c r="HM39" s="291"/>
      <c r="HN39" s="207"/>
      <c r="HO39" s="207"/>
      <c r="HP39" s="291"/>
      <c r="HQ39" s="291"/>
      <c r="HR39" s="291"/>
      <c r="HS39" s="291"/>
      <c r="HT39" s="291"/>
      <c r="HU39" s="291"/>
      <c r="HV39" s="291"/>
      <c r="HW39" s="291"/>
      <c r="HX39" s="291"/>
      <c r="HY39" s="291"/>
      <c r="HZ39" s="291"/>
      <c r="IA39" s="207"/>
      <c r="IB39" s="207"/>
      <c r="IC39" s="291"/>
      <c r="ID39" s="291"/>
      <c r="IE39" s="291"/>
      <c r="IF39" s="291"/>
      <c r="IG39" s="291"/>
      <c r="IH39" s="291"/>
      <c r="II39" s="291"/>
      <c r="IJ39" s="291"/>
      <c r="IK39" s="291"/>
      <c r="IL39" s="291"/>
      <c r="IM39" s="291"/>
      <c r="IN39" s="207"/>
      <c r="IO39" s="207"/>
      <c r="IP39" s="291"/>
      <c r="IQ39" s="291"/>
      <c r="IR39" s="291"/>
      <c r="IS39" s="291"/>
      <c r="IT39" s="291"/>
      <c r="IU39" s="291"/>
      <c r="IV39" s="291"/>
    </row>
    <row r="40" spans="1:256" x14ac:dyDescent="0.2">
      <c r="A40" s="218"/>
      <c r="B40" s="219"/>
      <c r="C40" s="286"/>
      <c r="D40" s="286"/>
      <c r="E40" s="286"/>
      <c r="F40" s="286"/>
      <c r="G40" s="286"/>
      <c r="H40" s="286"/>
      <c r="I40" s="286"/>
      <c r="J40" s="286"/>
      <c r="K40" s="286"/>
      <c r="L40" s="286"/>
      <c r="M40" s="287"/>
      <c r="N40" s="211"/>
      <c r="O40" s="211"/>
      <c r="P40" s="292"/>
      <c r="Q40" s="292"/>
      <c r="R40" s="292"/>
      <c r="S40" s="292"/>
      <c r="T40" s="292"/>
      <c r="U40" s="292"/>
      <c r="V40" s="292"/>
      <c r="W40" s="292"/>
      <c r="X40" s="292"/>
      <c r="Y40" s="292"/>
      <c r="Z40" s="292"/>
      <c r="AA40" s="207"/>
      <c r="AB40" s="207"/>
      <c r="AC40" s="291"/>
      <c r="AD40" s="291"/>
      <c r="AE40" s="291"/>
      <c r="AF40" s="291"/>
      <c r="AG40" s="291"/>
      <c r="AH40" s="291"/>
      <c r="AI40" s="291"/>
      <c r="AJ40" s="291"/>
      <c r="AK40" s="291"/>
      <c r="AL40" s="291"/>
      <c r="AM40" s="291"/>
      <c r="AN40" s="207"/>
      <c r="AO40" s="207"/>
      <c r="AP40" s="291"/>
      <c r="AQ40" s="291"/>
      <c r="AR40" s="291"/>
      <c r="AS40" s="291"/>
      <c r="AT40" s="291"/>
      <c r="AU40" s="291"/>
      <c r="AV40" s="291"/>
      <c r="AW40" s="291"/>
      <c r="AX40" s="291"/>
      <c r="AY40" s="291"/>
      <c r="AZ40" s="291"/>
      <c r="BA40" s="207"/>
      <c r="BB40" s="207"/>
      <c r="BC40" s="291"/>
      <c r="BD40" s="291"/>
      <c r="BE40" s="291"/>
      <c r="BF40" s="291"/>
      <c r="BG40" s="291"/>
      <c r="BH40" s="291"/>
      <c r="BI40" s="291"/>
      <c r="BJ40" s="291"/>
      <c r="BK40" s="291"/>
      <c r="BL40" s="291"/>
      <c r="BM40" s="291"/>
      <c r="BN40" s="207"/>
      <c r="BO40" s="207"/>
      <c r="BP40" s="291"/>
      <c r="BQ40" s="291"/>
      <c r="BR40" s="291"/>
      <c r="BS40" s="291"/>
      <c r="BT40" s="291"/>
      <c r="BU40" s="291"/>
      <c r="BV40" s="291"/>
      <c r="BW40" s="291"/>
      <c r="BX40" s="291"/>
      <c r="BY40" s="291"/>
      <c r="BZ40" s="291"/>
      <c r="CA40" s="207"/>
      <c r="CB40" s="207"/>
      <c r="CC40" s="291"/>
      <c r="CD40" s="291"/>
      <c r="CE40" s="291"/>
      <c r="CF40" s="291"/>
      <c r="CG40" s="291"/>
      <c r="CH40" s="291"/>
      <c r="CI40" s="291"/>
      <c r="CJ40" s="291"/>
      <c r="CK40" s="291"/>
      <c r="CL40" s="291"/>
      <c r="CM40" s="291"/>
      <c r="CN40" s="207"/>
      <c r="CO40" s="207"/>
      <c r="CP40" s="291"/>
      <c r="CQ40" s="291"/>
      <c r="CR40" s="291"/>
      <c r="CS40" s="291"/>
      <c r="CT40" s="291"/>
      <c r="CU40" s="291"/>
      <c r="CV40" s="291"/>
      <c r="CW40" s="291"/>
      <c r="CX40" s="291"/>
      <c r="CY40" s="291"/>
      <c r="CZ40" s="291"/>
      <c r="DA40" s="207"/>
      <c r="DB40" s="207"/>
      <c r="DC40" s="291"/>
      <c r="DD40" s="291"/>
      <c r="DE40" s="291"/>
      <c r="DF40" s="291"/>
      <c r="DG40" s="291"/>
      <c r="DH40" s="291"/>
      <c r="DI40" s="291"/>
      <c r="DJ40" s="291"/>
      <c r="DK40" s="291"/>
      <c r="DL40" s="291"/>
      <c r="DM40" s="291"/>
      <c r="DN40" s="207"/>
      <c r="DO40" s="207"/>
      <c r="DP40" s="291"/>
      <c r="DQ40" s="291"/>
      <c r="DR40" s="291"/>
      <c r="DS40" s="291"/>
      <c r="DT40" s="291"/>
      <c r="DU40" s="291"/>
      <c r="DV40" s="291"/>
      <c r="DW40" s="291"/>
      <c r="DX40" s="291"/>
      <c r="DY40" s="291"/>
      <c r="DZ40" s="291"/>
      <c r="EA40" s="207"/>
      <c r="EB40" s="207"/>
      <c r="EC40" s="291"/>
      <c r="ED40" s="291"/>
      <c r="EE40" s="291"/>
      <c r="EF40" s="291"/>
      <c r="EG40" s="291"/>
      <c r="EH40" s="291"/>
      <c r="EI40" s="291"/>
      <c r="EJ40" s="291"/>
      <c r="EK40" s="291"/>
      <c r="EL40" s="291"/>
      <c r="EM40" s="291"/>
      <c r="EN40" s="207"/>
      <c r="EO40" s="207"/>
      <c r="EP40" s="291"/>
      <c r="EQ40" s="291"/>
      <c r="ER40" s="291"/>
      <c r="ES40" s="291"/>
      <c r="ET40" s="291"/>
      <c r="EU40" s="291"/>
      <c r="EV40" s="291"/>
      <c r="EW40" s="291"/>
      <c r="EX40" s="291"/>
      <c r="EY40" s="291"/>
      <c r="EZ40" s="291"/>
      <c r="FA40" s="207"/>
      <c r="FB40" s="207"/>
      <c r="FC40" s="291"/>
      <c r="FD40" s="291"/>
      <c r="FE40" s="291"/>
      <c r="FF40" s="291"/>
      <c r="FG40" s="291"/>
      <c r="FH40" s="291"/>
      <c r="FI40" s="291"/>
      <c r="FJ40" s="291"/>
      <c r="FK40" s="291"/>
      <c r="FL40" s="291"/>
      <c r="FM40" s="291"/>
      <c r="FN40" s="207"/>
      <c r="FO40" s="207"/>
      <c r="FP40" s="291"/>
      <c r="FQ40" s="291"/>
      <c r="FR40" s="291"/>
      <c r="FS40" s="291"/>
      <c r="FT40" s="291"/>
      <c r="FU40" s="291"/>
      <c r="FV40" s="291"/>
      <c r="FW40" s="291"/>
      <c r="FX40" s="291"/>
      <c r="FY40" s="291"/>
      <c r="FZ40" s="291"/>
      <c r="GA40" s="207"/>
      <c r="GB40" s="207"/>
      <c r="GC40" s="291"/>
      <c r="GD40" s="291"/>
      <c r="GE40" s="291"/>
      <c r="GF40" s="291"/>
      <c r="GG40" s="291"/>
      <c r="GH40" s="291"/>
      <c r="GI40" s="291"/>
      <c r="GJ40" s="291"/>
      <c r="GK40" s="291"/>
      <c r="GL40" s="291"/>
      <c r="GM40" s="291"/>
      <c r="GN40" s="207"/>
      <c r="GO40" s="207"/>
      <c r="GP40" s="291"/>
      <c r="GQ40" s="291"/>
      <c r="GR40" s="291"/>
      <c r="GS40" s="291"/>
      <c r="GT40" s="291"/>
      <c r="GU40" s="291"/>
      <c r="GV40" s="291"/>
      <c r="GW40" s="291"/>
      <c r="GX40" s="291"/>
      <c r="GY40" s="291"/>
      <c r="GZ40" s="291"/>
      <c r="HA40" s="207"/>
      <c r="HB40" s="207"/>
      <c r="HC40" s="291"/>
      <c r="HD40" s="291"/>
      <c r="HE40" s="291"/>
      <c r="HF40" s="291"/>
      <c r="HG40" s="291"/>
      <c r="HH40" s="291"/>
      <c r="HI40" s="291"/>
      <c r="HJ40" s="291"/>
      <c r="HK40" s="291"/>
      <c r="HL40" s="291"/>
      <c r="HM40" s="291"/>
      <c r="HN40" s="207"/>
      <c r="HO40" s="207"/>
      <c r="HP40" s="291"/>
      <c r="HQ40" s="291"/>
      <c r="HR40" s="291"/>
      <c r="HS40" s="291"/>
      <c r="HT40" s="291"/>
      <c r="HU40" s="291"/>
      <c r="HV40" s="291"/>
      <c r="HW40" s="291"/>
      <c r="HX40" s="291"/>
      <c r="HY40" s="291"/>
      <c r="HZ40" s="291"/>
      <c r="IA40" s="207"/>
      <c r="IB40" s="207"/>
      <c r="IC40" s="291"/>
      <c r="ID40" s="291"/>
      <c r="IE40" s="291"/>
      <c r="IF40" s="291"/>
      <c r="IG40" s="291"/>
      <c r="IH40" s="291"/>
      <c r="II40" s="291"/>
      <c r="IJ40" s="291"/>
      <c r="IK40" s="291"/>
      <c r="IL40" s="291"/>
      <c r="IM40" s="291"/>
      <c r="IN40" s="207"/>
      <c r="IO40" s="207"/>
      <c r="IP40" s="291"/>
      <c r="IQ40" s="291"/>
      <c r="IR40" s="291"/>
      <c r="IS40" s="291"/>
      <c r="IT40" s="291"/>
      <c r="IU40" s="291"/>
      <c r="IV40" s="291"/>
    </row>
    <row r="41" spans="1:256" x14ac:dyDescent="0.2">
      <c r="A41" s="218"/>
      <c r="B41" s="219"/>
      <c r="C41" s="286"/>
      <c r="D41" s="286"/>
      <c r="E41" s="286"/>
      <c r="F41" s="286"/>
      <c r="G41" s="286"/>
      <c r="H41" s="286"/>
      <c r="I41" s="286"/>
      <c r="J41" s="286"/>
      <c r="K41" s="286"/>
      <c r="L41" s="286"/>
      <c r="M41" s="287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6"/>
      <c r="D42" s="286"/>
      <c r="E42" s="286"/>
      <c r="F42" s="286"/>
      <c r="G42" s="286"/>
      <c r="H42" s="286"/>
      <c r="I42" s="286"/>
      <c r="J42" s="286"/>
      <c r="K42" s="286"/>
      <c r="L42" s="286"/>
      <c r="M42" s="287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6"/>
      <c r="D43" s="286"/>
      <c r="E43" s="286"/>
      <c r="F43" s="286"/>
      <c r="G43" s="286"/>
      <c r="H43" s="286"/>
      <c r="I43" s="286"/>
      <c r="J43" s="286"/>
      <c r="K43" s="286"/>
      <c r="L43" s="286"/>
      <c r="M43" s="287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6"/>
      <c r="D44" s="286"/>
      <c r="E44" s="286"/>
      <c r="F44" s="286"/>
      <c r="G44" s="286"/>
      <c r="H44" s="286"/>
      <c r="I44" s="286"/>
      <c r="J44" s="286"/>
      <c r="K44" s="286"/>
      <c r="L44" s="286"/>
      <c r="M44" s="287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6"/>
      <c r="D45" s="286"/>
      <c r="E45" s="286"/>
      <c r="F45" s="286"/>
      <c r="G45" s="286"/>
      <c r="H45" s="286"/>
      <c r="I45" s="286"/>
      <c r="J45" s="286"/>
      <c r="K45" s="286"/>
      <c r="L45" s="286"/>
      <c r="M45" s="287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6"/>
      <c r="D46" s="286"/>
      <c r="E46" s="286"/>
      <c r="F46" s="286"/>
      <c r="G46" s="286"/>
      <c r="H46" s="286"/>
      <c r="I46" s="286"/>
      <c r="J46" s="286"/>
      <c r="K46" s="286"/>
      <c r="L46" s="286"/>
      <c r="M46" s="287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6"/>
      <c r="D47" s="286"/>
      <c r="E47" s="286"/>
      <c r="F47" s="286"/>
      <c r="G47" s="286"/>
      <c r="H47" s="286"/>
      <c r="I47" s="286"/>
      <c r="J47" s="286"/>
      <c r="K47" s="286"/>
      <c r="L47" s="286"/>
      <c r="M47" s="287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6"/>
      <c r="D48" s="286"/>
      <c r="E48" s="286"/>
      <c r="F48" s="286"/>
      <c r="G48" s="286"/>
      <c r="H48" s="286"/>
      <c r="I48" s="286"/>
      <c r="J48" s="286"/>
      <c r="K48" s="286"/>
      <c r="L48" s="286"/>
      <c r="M48" s="287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6"/>
      <c r="D49" s="286"/>
      <c r="E49" s="286"/>
      <c r="F49" s="286"/>
      <c r="G49" s="286"/>
      <c r="H49" s="286"/>
      <c r="I49" s="286"/>
      <c r="J49" s="286"/>
      <c r="K49" s="286"/>
      <c r="L49" s="286"/>
      <c r="M49" s="287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6"/>
      <c r="D50" s="286"/>
      <c r="E50" s="286"/>
      <c r="F50" s="286"/>
      <c r="G50" s="286"/>
      <c r="H50" s="286"/>
      <c r="I50" s="286"/>
      <c r="J50" s="286"/>
      <c r="K50" s="286"/>
      <c r="L50" s="286"/>
      <c r="M50" s="287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6"/>
      <c r="D51" s="286"/>
      <c r="E51" s="286"/>
      <c r="F51" s="286"/>
      <c r="G51" s="286"/>
      <c r="H51" s="286"/>
      <c r="I51" s="286"/>
      <c r="J51" s="286"/>
      <c r="K51" s="286"/>
      <c r="L51" s="286"/>
      <c r="M51" s="287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6"/>
      <c r="D52" s="286"/>
      <c r="E52" s="286"/>
      <c r="F52" s="286"/>
      <c r="G52" s="286"/>
      <c r="H52" s="286"/>
      <c r="I52" s="286"/>
      <c r="J52" s="286"/>
      <c r="K52" s="286"/>
      <c r="L52" s="286"/>
      <c r="M52" s="287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6"/>
      <c r="D53" s="286"/>
      <c r="E53" s="286"/>
      <c r="F53" s="286"/>
      <c r="G53" s="286"/>
      <c r="H53" s="286"/>
      <c r="I53" s="286"/>
      <c r="J53" s="286"/>
      <c r="K53" s="286"/>
      <c r="L53" s="286"/>
      <c r="M53" s="287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6"/>
      <c r="D54" s="286"/>
      <c r="E54" s="286"/>
      <c r="F54" s="286"/>
      <c r="G54" s="286"/>
      <c r="H54" s="286"/>
      <c r="I54" s="286"/>
      <c r="J54" s="286"/>
      <c r="K54" s="286"/>
      <c r="L54" s="286"/>
      <c r="M54" s="287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6"/>
      <c r="D55" s="286"/>
      <c r="E55" s="286"/>
      <c r="F55" s="286"/>
      <c r="G55" s="286"/>
      <c r="H55" s="286"/>
      <c r="I55" s="286"/>
      <c r="J55" s="286"/>
      <c r="K55" s="286"/>
      <c r="L55" s="286"/>
      <c r="M55" s="287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6"/>
      <c r="D56" s="286"/>
      <c r="E56" s="286"/>
      <c r="F56" s="286"/>
      <c r="G56" s="286"/>
      <c r="H56" s="286"/>
      <c r="I56" s="286"/>
      <c r="J56" s="286"/>
      <c r="K56" s="286"/>
      <c r="L56" s="286"/>
      <c r="M56" s="287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6"/>
      <c r="D57" s="286"/>
      <c r="E57" s="286"/>
      <c r="F57" s="286"/>
      <c r="G57" s="286"/>
      <c r="H57" s="286"/>
      <c r="I57" s="286"/>
      <c r="J57" s="286"/>
      <c r="K57" s="286"/>
      <c r="L57" s="286"/>
      <c r="M57" s="287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6"/>
      <c r="D58" s="286"/>
      <c r="E58" s="286"/>
      <c r="F58" s="286"/>
      <c r="G58" s="286"/>
      <c r="H58" s="286"/>
      <c r="I58" s="286"/>
      <c r="J58" s="286"/>
      <c r="K58" s="286"/>
      <c r="L58" s="286"/>
      <c r="M58" s="287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6"/>
      <c r="D59" s="286"/>
      <c r="E59" s="286"/>
      <c r="F59" s="286"/>
      <c r="G59" s="286"/>
      <c r="H59" s="286"/>
      <c r="I59" s="286"/>
      <c r="J59" s="286"/>
      <c r="K59" s="286"/>
      <c r="L59" s="286"/>
      <c r="M59" s="287"/>
    </row>
    <row r="60" spans="1:256" x14ac:dyDescent="0.2">
      <c r="A60" s="218"/>
      <c r="B60" s="219"/>
      <c r="C60" s="286"/>
      <c r="D60" s="286"/>
      <c r="E60" s="286"/>
      <c r="F60" s="286"/>
      <c r="G60" s="286"/>
      <c r="H60" s="286"/>
      <c r="I60" s="286"/>
      <c r="J60" s="286"/>
      <c r="K60" s="286"/>
      <c r="L60" s="286"/>
      <c r="M60" s="287"/>
    </row>
    <row r="61" spans="1:256" x14ac:dyDescent="0.2">
      <c r="A61" s="218"/>
      <c r="B61" s="219"/>
      <c r="C61" s="286"/>
      <c r="D61" s="286"/>
      <c r="E61" s="286"/>
      <c r="F61" s="286"/>
      <c r="G61" s="286"/>
      <c r="H61" s="286"/>
      <c r="I61" s="286"/>
      <c r="J61" s="286"/>
      <c r="K61" s="286"/>
      <c r="L61" s="286"/>
      <c r="M61" s="287"/>
    </row>
    <row r="62" spans="1:256" x14ac:dyDescent="0.2">
      <c r="A62" s="218"/>
      <c r="B62" s="219"/>
      <c r="C62" s="286"/>
      <c r="D62" s="286"/>
      <c r="E62" s="286"/>
      <c r="F62" s="286"/>
      <c r="G62" s="286"/>
      <c r="H62" s="286"/>
      <c r="I62" s="286"/>
      <c r="J62" s="286"/>
      <c r="K62" s="286"/>
      <c r="L62" s="286"/>
      <c r="M62" s="287"/>
    </row>
    <row r="63" spans="1:256" x14ac:dyDescent="0.2">
      <c r="A63" s="218"/>
      <c r="B63" s="219"/>
      <c r="C63" s="286"/>
      <c r="D63" s="286"/>
      <c r="E63" s="286"/>
      <c r="F63" s="286"/>
      <c r="G63" s="286"/>
      <c r="H63" s="286"/>
      <c r="I63" s="286"/>
      <c r="J63" s="286"/>
      <c r="K63" s="286"/>
      <c r="L63" s="286"/>
      <c r="M63" s="287"/>
    </row>
    <row r="64" spans="1:256" x14ac:dyDescent="0.2">
      <c r="A64" s="218"/>
      <c r="B64" s="219"/>
      <c r="C64" s="286"/>
      <c r="D64" s="286"/>
      <c r="E64" s="286"/>
      <c r="F64" s="286"/>
      <c r="G64" s="286"/>
      <c r="H64" s="286"/>
      <c r="I64" s="286"/>
      <c r="J64" s="286"/>
      <c r="K64" s="286"/>
      <c r="L64" s="286"/>
      <c r="M64" s="287"/>
    </row>
    <row r="65" spans="1:13" x14ac:dyDescent="0.2">
      <c r="A65" s="218"/>
      <c r="B65" s="219"/>
      <c r="C65" s="286"/>
      <c r="D65" s="286"/>
      <c r="E65" s="286"/>
      <c r="F65" s="286"/>
      <c r="G65" s="286"/>
      <c r="H65" s="286"/>
      <c r="I65" s="286"/>
      <c r="J65" s="286"/>
      <c r="K65" s="286"/>
      <c r="L65" s="286"/>
      <c r="M65" s="287"/>
    </row>
    <row r="66" spans="1:13" x14ac:dyDescent="0.2">
      <c r="A66" s="218"/>
      <c r="B66" s="219"/>
      <c r="C66" s="286"/>
      <c r="D66" s="286"/>
      <c r="E66" s="286"/>
      <c r="F66" s="286"/>
      <c r="G66" s="286"/>
      <c r="H66" s="286"/>
      <c r="I66" s="286"/>
      <c r="J66" s="286"/>
      <c r="K66" s="286"/>
      <c r="L66" s="286"/>
      <c r="M66" s="287"/>
    </row>
    <row r="67" spans="1:13" x14ac:dyDescent="0.2">
      <c r="A67" s="218"/>
      <c r="B67" s="219"/>
      <c r="C67" s="286"/>
      <c r="D67" s="286"/>
      <c r="E67" s="286"/>
      <c r="F67" s="286"/>
      <c r="G67" s="286"/>
      <c r="H67" s="286"/>
      <c r="I67" s="286"/>
      <c r="J67" s="286"/>
      <c r="K67" s="286"/>
      <c r="L67" s="286"/>
      <c r="M67" s="287"/>
    </row>
    <row r="68" spans="1:13" x14ac:dyDescent="0.2">
      <c r="A68" s="218"/>
      <c r="B68" s="219"/>
      <c r="C68" s="286"/>
      <c r="D68" s="286"/>
      <c r="E68" s="286"/>
      <c r="F68" s="286"/>
      <c r="G68" s="286"/>
      <c r="H68" s="286"/>
      <c r="I68" s="286"/>
      <c r="J68" s="286"/>
      <c r="K68" s="286"/>
      <c r="L68" s="286"/>
      <c r="M68" s="287"/>
    </row>
    <row r="69" spans="1:13" x14ac:dyDescent="0.2">
      <c r="A69" s="218"/>
      <c r="B69" s="219"/>
      <c r="C69" s="286"/>
      <c r="D69" s="286"/>
      <c r="E69" s="286"/>
      <c r="F69" s="286"/>
      <c r="G69" s="286"/>
      <c r="H69" s="286"/>
      <c r="I69" s="286"/>
      <c r="J69" s="286"/>
      <c r="K69" s="286"/>
      <c r="L69" s="286"/>
      <c r="M69" s="287"/>
    </row>
    <row r="70" spans="1:13" ht="12" thickBot="1" x14ac:dyDescent="0.25">
      <c r="A70" s="220"/>
      <c r="B70" s="221"/>
      <c r="C70" s="288"/>
      <c r="D70" s="288"/>
      <c r="E70" s="288"/>
      <c r="F70" s="288"/>
      <c r="G70" s="288"/>
      <c r="H70" s="288"/>
      <c r="I70" s="288"/>
      <c r="J70" s="288"/>
      <c r="K70" s="288"/>
      <c r="L70" s="288"/>
      <c r="M70" s="289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90" t="s">
        <v>842</v>
      </c>
      <c r="B72" s="290"/>
      <c r="C72" s="290"/>
      <c r="D72" s="290"/>
      <c r="E72" s="290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762</v>
      </c>
      <c r="B73" s="210" t="s">
        <v>763</v>
      </c>
      <c r="C73" s="285"/>
      <c r="D73" s="285"/>
      <c r="E73" s="285"/>
      <c r="F73" s="285"/>
      <c r="G73" s="285"/>
      <c r="H73" s="285"/>
      <c r="I73" s="285"/>
      <c r="J73" s="285"/>
      <c r="K73" s="285"/>
      <c r="L73" s="285"/>
      <c r="M73" s="285"/>
    </row>
    <row r="74" spans="1:13" x14ac:dyDescent="0.2">
      <c r="A74" s="211"/>
      <c r="B74" s="211"/>
      <c r="C74" s="285"/>
      <c r="D74" s="285"/>
      <c r="E74" s="285"/>
      <c r="F74" s="285"/>
      <c r="G74" s="285"/>
      <c r="H74" s="285"/>
      <c r="I74" s="285"/>
      <c r="J74" s="285"/>
      <c r="K74" s="285"/>
      <c r="L74" s="285"/>
      <c r="M74" s="285"/>
    </row>
    <row r="75" spans="1:13" x14ac:dyDescent="0.2">
      <c r="A75" s="211"/>
      <c r="B75" s="211"/>
      <c r="C75" s="285"/>
      <c r="D75" s="285"/>
      <c r="E75" s="285"/>
      <c r="F75" s="285"/>
      <c r="G75" s="285"/>
      <c r="H75" s="285"/>
      <c r="I75" s="285"/>
      <c r="J75" s="285"/>
      <c r="K75" s="285"/>
      <c r="L75" s="285"/>
      <c r="M75" s="285"/>
    </row>
    <row r="76" spans="1:13" x14ac:dyDescent="0.2">
      <c r="A76" s="211"/>
      <c r="B76" s="211"/>
      <c r="C76" s="285"/>
      <c r="D76" s="285"/>
      <c r="E76" s="285"/>
      <c r="F76" s="285"/>
      <c r="G76" s="285"/>
      <c r="H76" s="285"/>
      <c r="I76" s="285"/>
      <c r="J76" s="285"/>
      <c r="K76" s="285"/>
      <c r="L76" s="285"/>
      <c r="M76" s="285"/>
    </row>
    <row r="77" spans="1:13" x14ac:dyDescent="0.2">
      <c r="A77" s="211"/>
      <c r="B77" s="211"/>
      <c r="C77" s="285"/>
      <c r="D77" s="285"/>
      <c r="E77" s="285"/>
      <c r="F77" s="285"/>
      <c r="G77" s="285"/>
      <c r="H77" s="285"/>
      <c r="I77" s="285"/>
      <c r="J77" s="285"/>
      <c r="K77" s="285"/>
      <c r="L77" s="285"/>
      <c r="M77" s="285"/>
    </row>
    <row r="78" spans="1:13" x14ac:dyDescent="0.2">
      <c r="A78" s="211"/>
      <c r="B78" s="211"/>
      <c r="C78" s="285"/>
      <c r="D78" s="285"/>
      <c r="E78" s="285"/>
      <c r="F78" s="285"/>
      <c r="G78" s="285"/>
      <c r="H78" s="285"/>
      <c r="I78" s="285"/>
      <c r="J78" s="285"/>
      <c r="K78" s="285"/>
      <c r="L78" s="285"/>
      <c r="M78" s="285"/>
    </row>
    <row r="79" spans="1:13" x14ac:dyDescent="0.2">
      <c r="A79" s="211"/>
      <c r="B79" s="211"/>
      <c r="C79" s="285"/>
      <c r="D79" s="285"/>
      <c r="E79" s="285"/>
      <c r="F79" s="285"/>
      <c r="G79" s="285"/>
      <c r="H79" s="285"/>
      <c r="I79" s="285"/>
      <c r="J79" s="285"/>
      <c r="K79" s="285"/>
      <c r="L79" s="285"/>
      <c r="M79" s="285"/>
    </row>
    <row r="80" spans="1:13" x14ac:dyDescent="0.2">
      <c r="A80" s="211"/>
      <c r="B80" s="211"/>
      <c r="C80" s="285"/>
      <c r="D80" s="285"/>
      <c r="E80" s="285"/>
      <c r="F80" s="285"/>
      <c r="G80" s="285"/>
      <c r="H80" s="285"/>
      <c r="I80" s="285"/>
      <c r="J80" s="285"/>
      <c r="K80" s="285"/>
      <c r="L80" s="285"/>
      <c r="M80" s="285"/>
    </row>
    <row r="81" spans="1:13" x14ac:dyDescent="0.2">
      <c r="A81" s="211"/>
      <c r="B81" s="211"/>
      <c r="C81" s="285"/>
      <c r="D81" s="285"/>
      <c r="E81" s="285"/>
      <c r="F81" s="285"/>
      <c r="G81" s="285"/>
      <c r="H81" s="285"/>
      <c r="I81" s="285"/>
      <c r="J81" s="285"/>
      <c r="K81" s="285"/>
      <c r="L81" s="285"/>
      <c r="M81" s="285"/>
    </row>
    <row r="82" spans="1:13" x14ac:dyDescent="0.2">
      <c r="A82" s="211"/>
      <c r="B82" s="211"/>
      <c r="C82" s="285"/>
      <c r="D82" s="285"/>
      <c r="E82" s="285"/>
      <c r="F82" s="285"/>
      <c r="G82" s="285"/>
      <c r="H82" s="285"/>
      <c r="I82" s="285"/>
      <c r="J82" s="285"/>
      <c r="K82" s="285"/>
      <c r="L82" s="285"/>
      <c r="M82" s="285"/>
    </row>
    <row r="83" spans="1:13" x14ac:dyDescent="0.2">
      <c r="A83" s="211"/>
      <c r="B83" s="211"/>
      <c r="C83" s="285"/>
      <c r="D83" s="285"/>
      <c r="E83" s="285"/>
      <c r="F83" s="285"/>
      <c r="G83" s="285"/>
      <c r="H83" s="285"/>
      <c r="I83" s="285"/>
      <c r="J83" s="285"/>
      <c r="K83" s="285"/>
      <c r="L83" s="285"/>
      <c r="M83" s="285"/>
    </row>
    <row r="84" spans="1:13" x14ac:dyDescent="0.2">
      <c r="A84" s="211"/>
      <c r="B84" s="211"/>
      <c r="C84" s="285"/>
      <c r="D84" s="285"/>
      <c r="E84" s="285"/>
      <c r="F84" s="285"/>
      <c r="G84" s="285"/>
      <c r="H84" s="285"/>
      <c r="I84" s="285"/>
      <c r="J84" s="285"/>
      <c r="K84" s="285"/>
      <c r="L84" s="285"/>
      <c r="M84" s="285"/>
    </row>
    <row r="85" spans="1:13" x14ac:dyDescent="0.2">
      <c r="A85" s="211"/>
      <c r="B85" s="211"/>
      <c r="C85" s="285"/>
      <c r="D85" s="285"/>
      <c r="E85" s="285"/>
      <c r="F85" s="285"/>
      <c r="G85" s="285"/>
      <c r="H85" s="285"/>
      <c r="I85" s="285"/>
      <c r="J85" s="285"/>
      <c r="K85" s="285"/>
      <c r="L85" s="285"/>
      <c r="M85" s="285"/>
    </row>
    <row r="86" spans="1:13" x14ac:dyDescent="0.2">
      <c r="A86" s="211"/>
      <c r="B86" s="211"/>
      <c r="C86" s="285"/>
      <c r="D86" s="285"/>
      <c r="E86" s="285"/>
      <c r="F86" s="285"/>
      <c r="G86" s="285"/>
      <c r="H86" s="285"/>
      <c r="I86" s="285"/>
      <c r="J86" s="285"/>
      <c r="K86" s="285"/>
      <c r="L86" s="285"/>
      <c r="M86" s="285"/>
    </row>
    <row r="87" spans="1:13" x14ac:dyDescent="0.2">
      <c r="A87" s="211"/>
      <c r="B87" s="211"/>
      <c r="C87" s="285"/>
      <c r="D87" s="285"/>
      <c r="E87" s="285"/>
      <c r="F87" s="285"/>
      <c r="G87" s="285"/>
      <c r="H87" s="285"/>
      <c r="I87" s="285"/>
      <c r="J87" s="285"/>
      <c r="K87" s="285"/>
      <c r="L87" s="285"/>
      <c r="M87" s="285"/>
    </row>
    <row r="88" spans="1:13" x14ac:dyDescent="0.2">
      <c r="A88" s="211"/>
      <c r="B88" s="211"/>
      <c r="C88" s="285"/>
      <c r="D88" s="285"/>
      <c r="E88" s="285"/>
      <c r="F88" s="285"/>
      <c r="G88" s="285"/>
      <c r="H88" s="285"/>
      <c r="I88" s="285"/>
      <c r="J88" s="285"/>
      <c r="K88" s="285"/>
      <c r="L88" s="285"/>
      <c r="M88" s="285"/>
    </row>
    <row r="89" spans="1:13" x14ac:dyDescent="0.2">
      <c r="A89" s="211"/>
      <c r="B89" s="211"/>
      <c r="C89" s="285"/>
      <c r="D89" s="285"/>
      <c r="E89" s="285"/>
      <c r="F89" s="285"/>
      <c r="G89" s="285"/>
      <c r="H89" s="285"/>
      <c r="I89" s="285"/>
      <c r="J89" s="285"/>
      <c r="K89" s="285"/>
      <c r="L89" s="285"/>
      <c r="M89" s="285"/>
    </row>
    <row r="90" spans="1:13" x14ac:dyDescent="0.2">
      <c r="A90" s="211"/>
      <c r="B90" s="211"/>
      <c r="C90" s="285"/>
      <c r="D90" s="285"/>
      <c r="E90" s="285"/>
      <c r="F90" s="285"/>
      <c r="G90" s="285"/>
      <c r="H90" s="285"/>
      <c r="I90" s="285"/>
      <c r="J90" s="285"/>
      <c r="K90" s="285"/>
      <c r="L90" s="285"/>
      <c r="M90" s="285"/>
    </row>
  </sheetData>
  <sheetProtection password="970A" sheet="1" objects="1" scenarios="1"/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Welch, Matthew</cp:lastModifiedBy>
  <cp:lastPrinted>2018-10-17T16:32:43Z</cp:lastPrinted>
  <dcterms:created xsi:type="dcterms:W3CDTF">1997-12-04T19:04:30Z</dcterms:created>
  <dcterms:modified xsi:type="dcterms:W3CDTF">2018-12-03T19:59:11Z</dcterms:modified>
</cp:coreProperties>
</file>