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1350" yWindow="-45" windowWidth="25605" windowHeight="12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K236" i="1" l="1"/>
  <c r="J604" i="1"/>
  <c r="J233" i="1"/>
  <c r="I233" i="1"/>
  <c r="K333" i="1" l="1"/>
  <c r="K533" i="1"/>
  <c r="J523" i="1"/>
  <c r="I523" i="1"/>
  <c r="H523" i="1"/>
  <c r="G523" i="1"/>
  <c r="F523" i="1"/>
  <c r="G241" i="1"/>
  <c r="G233" i="1"/>
  <c r="C21" i="12" l="1"/>
  <c r="C20" i="12"/>
  <c r="C12" i="12"/>
  <c r="C11" i="12"/>
  <c r="C10" i="12"/>
  <c r="G533" i="1"/>
  <c r="G239" i="1"/>
  <c r="G236" i="1"/>
  <c r="H583" i="1" l="1"/>
  <c r="H582" i="1"/>
  <c r="B20" i="12"/>
  <c r="B21" i="12"/>
  <c r="B10" i="12"/>
  <c r="B12" i="12"/>
  <c r="F497" i="1"/>
  <c r="F533" i="1" l="1"/>
  <c r="J591" i="1"/>
  <c r="J593" i="1"/>
  <c r="J243" i="1" l="1"/>
  <c r="J239" i="1"/>
  <c r="I239" i="1"/>
  <c r="I238" i="1"/>
  <c r="I236" i="1"/>
  <c r="H244" i="1"/>
  <c r="H243" i="1"/>
  <c r="H240" i="1"/>
  <c r="H239" i="1"/>
  <c r="H238" i="1"/>
  <c r="F239" i="1"/>
  <c r="F238" i="1"/>
  <c r="F236" i="1"/>
  <c r="F57" i="1"/>
  <c r="F118" i="1"/>
  <c r="F110" i="1"/>
  <c r="F48" i="1"/>
  <c r="F29" i="1"/>
  <c r="F9" i="1"/>
  <c r="H157" i="1" l="1"/>
  <c r="K321" i="1"/>
  <c r="J315" i="1"/>
  <c r="I333" i="1"/>
  <c r="H320" i="1"/>
  <c r="H315" i="1"/>
  <c r="G333" i="1"/>
  <c r="G315" i="1"/>
  <c r="F333" i="1"/>
  <c r="F315" i="1"/>
  <c r="H159" i="1" l="1"/>
  <c r="H155" i="1"/>
  <c r="H154" i="1"/>
  <c r="J96" i="1" l="1"/>
  <c r="J468" i="1"/>
  <c r="H399" i="1"/>
  <c r="H397" i="1"/>
  <c r="H396" i="1"/>
  <c r="H395" i="1"/>
  <c r="H367" i="1" l="1"/>
  <c r="J360" i="1"/>
  <c r="I360" i="1"/>
  <c r="H360" i="1"/>
  <c r="F360" i="1"/>
  <c r="G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E8" i="13" s="1"/>
  <c r="C8" i="13" s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C110" i="2" s="1"/>
  <c r="L235" i="1"/>
  <c r="C111" i="2" s="1"/>
  <c r="F6" i="13"/>
  <c r="G6" i="13"/>
  <c r="L202" i="1"/>
  <c r="L220" i="1"/>
  <c r="L238" i="1"/>
  <c r="C118" i="2" s="1"/>
  <c r="F7" i="13"/>
  <c r="G7" i="13"/>
  <c r="L203" i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L243" i="1"/>
  <c r="C20" i="10" s="1"/>
  <c r="F15" i="13"/>
  <c r="G15" i="13"/>
  <c r="L208" i="1"/>
  <c r="L226" i="1"/>
  <c r="L244" i="1"/>
  <c r="H662" i="1" s="1"/>
  <c r="I662" i="1" s="1"/>
  <c r="F17" i="13"/>
  <c r="G17" i="13"/>
  <c r="L251" i="1"/>
  <c r="D17" i="13" s="1"/>
  <c r="C17" i="13" s="1"/>
  <c r="F18" i="13"/>
  <c r="G18" i="13"/>
  <c r="L252" i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H25" i="13" s="1"/>
  <c r="L341" i="1"/>
  <c r="L342" i="1"/>
  <c r="L255" i="1"/>
  <c r="L336" i="1"/>
  <c r="C11" i="13"/>
  <c r="C10" i="13"/>
  <c r="C9" i="13"/>
  <c r="L361" i="1"/>
  <c r="B4" i="12"/>
  <c r="B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9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D91" i="2" s="1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D115" i="2"/>
  <c r="F115" i="2"/>
  <c r="G115" i="2"/>
  <c r="E120" i="2"/>
  <c r="E121" i="2"/>
  <c r="C122" i="2"/>
  <c r="E122" i="2"/>
  <c r="E123" i="2"/>
  <c r="C124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F257" i="1" s="1"/>
  <c r="F271" i="1" s="1"/>
  <c r="H247" i="1"/>
  <c r="I247" i="1"/>
  <c r="J247" i="1"/>
  <c r="J257" i="1" s="1"/>
  <c r="J271" i="1" s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H338" i="1" s="1"/>
  <c r="H352" i="1" s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G461" i="1" s="1"/>
  <c r="H640" i="1" s="1"/>
  <c r="J640" i="1" s="1"/>
  <c r="H460" i="1"/>
  <c r="F461" i="1"/>
  <c r="H461" i="1"/>
  <c r="F470" i="1"/>
  <c r="G470" i="1"/>
  <c r="H470" i="1"/>
  <c r="H476" i="1" s="1"/>
  <c r="H624" i="1" s="1"/>
  <c r="J624" i="1" s="1"/>
  <c r="I470" i="1"/>
  <c r="I476" i="1" s="1"/>
  <c r="H625" i="1" s="1"/>
  <c r="J625" i="1" s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H545" i="1" s="1"/>
  <c r="I524" i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J636" i="1" s="1"/>
  <c r="H637" i="1"/>
  <c r="H638" i="1"/>
  <c r="G639" i="1"/>
  <c r="H639" i="1"/>
  <c r="G640" i="1"/>
  <c r="G641" i="1"/>
  <c r="H641" i="1"/>
  <c r="G643" i="1"/>
  <c r="H643" i="1"/>
  <c r="G644" i="1"/>
  <c r="G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K257" i="1"/>
  <c r="G164" i="2"/>
  <c r="C26" i="10"/>
  <c r="L351" i="1"/>
  <c r="L290" i="1"/>
  <c r="F660" i="1" s="1"/>
  <c r="A31" i="12"/>
  <c r="D62" i="2"/>
  <c r="D63" i="2" s="1"/>
  <c r="D18" i="13"/>
  <c r="C18" i="13" s="1"/>
  <c r="D15" i="13"/>
  <c r="C15" i="13" s="1"/>
  <c r="C91" i="2"/>
  <c r="F78" i="2"/>
  <c r="F81" i="2" s="1"/>
  <c r="D50" i="2"/>
  <c r="G157" i="2"/>
  <c r="F18" i="2"/>
  <c r="G156" i="2"/>
  <c r="E103" i="2"/>
  <c r="E62" i="2"/>
  <c r="E63" i="2" s="1"/>
  <c r="D19" i="13"/>
  <c r="C19" i="13" s="1"/>
  <c r="E13" i="13"/>
  <c r="C13" i="13" s="1"/>
  <c r="E78" i="2"/>
  <c r="E81" i="2" s="1"/>
  <c r="L427" i="1"/>
  <c r="H112" i="1"/>
  <c r="J641" i="1"/>
  <c r="J639" i="1"/>
  <c r="J571" i="1"/>
  <c r="K571" i="1"/>
  <c r="L433" i="1"/>
  <c r="L419" i="1"/>
  <c r="D81" i="2"/>
  <c r="I169" i="1"/>
  <c r="G552" i="1"/>
  <c r="J643" i="1"/>
  <c r="G476" i="1"/>
  <c r="H623" i="1" s="1"/>
  <c r="J140" i="1"/>
  <c r="F571" i="1"/>
  <c r="I552" i="1"/>
  <c r="K549" i="1"/>
  <c r="K550" i="1"/>
  <c r="G22" i="2"/>
  <c r="K598" i="1"/>
  <c r="G647" i="1" s="1"/>
  <c r="J647" i="1" s="1"/>
  <c r="J552" i="1"/>
  <c r="C29" i="10"/>
  <c r="H140" i="1"/>
  <c r="L393" i="1"/>
  <c r="F22" i="13"/>
  <c r="H571" i="1"/>
  <c r="L560" i="1"/>
  <c r="G192" i="1"/>
  <c r="H192" i="1"/>
  <c r="L309" i="1"/>
  <c r="J655" i="1"/>
  <c r="L570" i="1"/>
  <c r="I571" i="1"/>
  <c r="I545" i="1"/>
  <c r="G36" i="2"/>
  <c r="L565" i="1"/>
  <c r="G545" i="1"/>
  <c r="C22" i="13"/>
  <c r="C138" i="2"/>
  <c r="L256" i="1" l="1"/>
  <c r="H257" i="1"/>
  <c r="H271" i="1" s="1"/>
  <c r="K551" i="1"/>
  <c r="K552" i="1" s="1"/>
  <c r="L534" i="1"/>
  <c r="L524" i="1"/>
  <c r="F552" i="1"/>
  <c r="D14" i="13"/>
  <c r="C14" i="13" s="1"/>
  <c r="C123" i="2"/>
  <c r="C15" i="10"/>
  <c r="E16" i="13"/>
  <c r="C16" i="13" s="1"/>
  <c r="K605" i="1"/>
  <c r="G648" i="1" s="1"/>
  <c r="F476" i="1"/>
  <c r="H622" i="1" s="1"/>
  <c r="J622" i="1" s="1"/>
  <c r="C25" i="13"/>
  <c r="H33" i="13"/>
  <c r="C132" i="2"/>
  <c r="K271" i="1"/>
  <c r="D7" i="13"/>
  <c r="C7" i="13" s="1"/>
  <c r="D6" i="13"/>
  <c r="C6" i="13" s="1"/>
  <c r="C11" i="10"/>
  <c r="C119" i="2"/>
  <c r="I257" i="1"/>
  <c r="I271" i="1" s="1"/>
  <c r="C18" i="10"/>
  <c r="C17" i="10"/>
  <c r="C120" i="2"/>
  <c r="C128" i="2" s="1"/>
  <c r="C16" i="10"/>
  <c r="C12" i="10"/>
  <c r="C10" i="10"/>
  <c r="D12" i="13"/>
  <c r="C12" i="13" s="1"/>
  <c r="C114" i="2"/>
  <c r="C78" i="2"/>
  <c r="C81" i="2"/>
  <c r="C62" i="2"/>
  <c r="C63" i="2" s="1"/>
  <c r="C35" i="10"/>
  <c r="F112" i="1"/>
  <c r="C36" i="10" s="1"/>
  <c r="J617" i="1"/>
  <c r="C18" i="2"/>
  <c r="E33" i="13"/>
  <c r="D35" i="13" s="1"/>
  <c r="A13" i="12"/>
  <c r="J338" i="1"/>
  <c r="J352" i="1" s="1"/>
  <c r="E109" i="2"/>
  <c r="G338" i="1"/>
  <c r="G352" i="1" s="1"/>
  <c r="E110" i="2"/>
  <c r="E119" i="2"/>
  <c r="E118" i="2"/>
  <c r="F338" i="1"/>
  <c r="F352" i="1" s="1"/>
  <c r="L328" i="1"/>
  <c r="H52" i="1"/>
  <c r="H619" i="1" s="1"/>
  <c r="J619" i="1" s="1"/>
  <c r="J645" i="1"/>
  <c r="J644" i="1"/>
  <c r="J476" i="1"/>
  <c r="H626" i="1" s="1"/>
  <c r="I460" i="1"/>
  <c r="I461" i="1" s="1"/>
  <c r="H642" i="1" s="1"/>
  <c r="L401" i="1"/>
  <c r="C139" i="2" s="1"/>
  <c r="J634" i="1"/>
  <c r="L362" i="1"/>
  <c r="G635" i="1" s="1"/>
  <c r="J635" i="1" s="1"/>
  <c r="G661" i="1"/>
  <c r="F661" i="1"/>
  <c r="F664" i="1" s="1"/>
  <c r="F672" i="1" s="1"/>
  <c r="C4" i="10" s="1"/>
  <c r="D29" i="13"/>
  <c r="C29" i="13" s="1"/>
  <c r="D127" i="2"/>
  <c r="D128" i="2" s="1"/>
  <c r="D145" i="2" s="1"/>
  <c r="J623" i="1"/>
  <c r="D31" i="2"/>
  <c r="D51" i="2" s="1"/>
  <c r="D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52" i="1"/>
  <c r="J642" i="1"/>
  <c r="G571" i="1"/>
  <c r="I434" i="1"/>
  <c r="G434" i="1"/>
  <c r="E104" i="2"/>
  <c r="I663" i="1"/>
  <c r="C27" i="10"/>
  <c r="L545" i="1" l="1"/>
  <c r="J648" i="1"/>
  <c r="F193" i="1"/>
  <c r="G627" i="1" s="1"/>
  <c r="J627" i="1" s="1"/>
  <c r="C104" i="2"/>
  <c r="E115" i="2"/>
  <c r="E128" i="2"/>
  <c r="D31" i="13"/>
  <c r="C31" i="13" s="1"/>
  <c r="L338" i="1"/>
  <c r="L352" i="1" s="1"/>
  <c r="G633" i="1" s="1"/>
  <c r="J633" i="1" s="1"/>
  <c r="L408" i="1"/>
  <c r="G637" i="1" s="1"/>
  <c r="J637" i="1" s="1"/>
  <c r="C141" i="2"/>
  <c r="C144" i="2" s="1"/>
  <c r="G664" i="1"/>
  <c r="F667" i="1"/>
  <c r="I661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H646" i="1"/>
  <c r="J646" i="1" s="1"/>
  <c r="G672" i="1"/>
  <c r="C5" i="10" s="1"/>
  <c r="G667" i="1"/>
  <c r="C41" i="10"/>
  <c r="D38" i="10" s="1"/>
  <c r="D37" i="10" l="1"/>
  <c r="D36" i="10"/>
  <c r="D35" i="10"/>
  <c r="D40" i="10"/>
  <c r="D39" i="10"/>
  <c r="D41" i="10" l="1"/>
  <c r="D5" i="13"/>
  <c r="C5" i="13" s="1"/>
  <c r="L247" i="1"/>
  <c r="H660" i="1" s="1"/>
  <c r="G247" i="1"/>
  <c r="G257" i="1" s="1"/>
  <c r="G271" i="1" s="1"/>
  <c r="L236" i="1"/>
  <c r="C13" i="10" s="1"/>
  <c r="C28" i="10" s="1"/>
  <c r="D19" i="10" s="1"/>
  <c r="C112" i="2"/>
  <c r="C115" i="2"/>
  <c r="C145" i="2" s="1"/>
  <c r="C36" i="12"/>
  <c r="A40" i="12"/>
  <c r="L257" i="1" l="1"/>
  <c r="L271" i="1" s="1"/>
  <c r="G632" i="1" s="1"/>
  <c r="H656" i="1" s="1"/>
  <c r="D13" i="10"/>
  <c r="I660" i="1"/>
  <c r="I664" i="1" s="1"/>
  <c r="H664" i="1"/>
  <c r="D23" i="10"/>
  <c r="D25" i="10"/>
  <c r="D12" i="10"/>
  <c r="D22" i="10"/>
  <c r="D17" i="10"/>
  <c r="D11" i="10"/>
  <c r="D18" i="10"/>
  <c r="D16" i="10"/>
  <c r="D27" i="10"/>
  <c r="D20" i="10"/>
  <c r="D21" i="10"/>
  <c r="C30" i="10"/>
  <c r="D10" i="10"/>
  <c r="D33" i="13"/>
  <c r="D36" i="13" s="1"/>
  <c r="D24" i="10"/>
  <c r="D26" i="10"/>
  <c r="D15" i="10"/>
  <c r="J632" i="1" l="1"/>
  <c r="H667" i="1"/>
  <c r="H672" i="1"/>
  <c r="C6" i="10" s="1"/>
  <c r="D28" i="10"/>
  <c r="I672" i="1"/>
  <c r="C7" i="10" s="1"/>
  <c r="I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<sst xmlns="http://schemas.openxmlformats.org/spreadsheetml/2006/main" count="3959" uniqueCount="915">
  <si>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</si>
  <si>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</si>
  <si>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</si>
  <si>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</si>
  <si>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</si>
  <si>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</si>
  <si>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</si>
  <si>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</si>
  <si>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</si>
  <si>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</si>
  <si>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</si>
  <si>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</si>
  <si>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</si>
  <si>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</si>
  <si>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</si>
  <si>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</si>
  <si>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</si>
  <si>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</si>
  <si>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</si>
  <si>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</si>
  <si>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</si>
  <si>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</si>
  <si>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</si>
  <si>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</si>
  <si>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</si>
  <si>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</si>
  <si>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</si>
  <si>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</si>
  <si>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</si>
  <si>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</si>
  <si>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</si>
  <si>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</si>
  <si>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</si>
  <si>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</si>
  <si>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</si>
  <si>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</si>
  <si>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</si>
  <si>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</si>
  <si>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</si>
  <si>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</si>
  <si>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</si>
  <si>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</si>
  <si>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</si>
  <si>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</si>
  <si>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</si>
  <si>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</si>
  <si>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</si>
  <si>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</si>
  <si>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</si>
  <si>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</si>
  <si>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</si>
  <si>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</si>
  <si>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</si>
  <si>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</si>
  <si>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</si>
  <si>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</si>
  <si>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</si>
  <si>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</si>
  <si>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</si>
  <si>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</si>
  <si>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</si>
  <si>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</si>
  <si>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</si>
  <si>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</si>
  <si>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</si>
  <si>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</si>
  <si>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</si>
  <si>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</si>
  <si>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</si>
  <si>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</si>
  <si>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</si>
  <si>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</si>
  <si>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</si>
  <si>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</si>
  <si>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</si>
  <si>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</si>
  <si>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</si>
  <si>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</si>
  <si>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</si>
  <si>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</si>
  <si>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</si>
  <si>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</si>
  <si>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</si>
  <si>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</si>
  <si>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</si>
  <si>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</si>
  <si>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</si>
  <si>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</si>
  <si>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</si>
  <si>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</si>
  <si>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</si>
  <si>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</si>
  <si>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</si>
  <si>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</si>
  <si>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</si>
  <si>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</si>
  <si>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</si>
  <si>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</si>
  <si>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</si>
  <si>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</si>
  <si>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</si>
  <si>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</si>
  <si>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</si>
  <si>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</si>
  <si>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</si>
  <si>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</si>
  <si>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</si>
  <si>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</si>
  <si>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</si>
  <si>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</si>
  <si>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</si>
  <si>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</si>
  <si>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</si>
  <si>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</si>
  <si>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</si>
  <si>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</si>
  <si>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</si>
  <si>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</si>
  <si>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</si>
  <si>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</si>
  <si>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</si>
  <si>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</si>
  <si>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</si>
  <si>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</si>
  <si>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</si>
  <si>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</si>
  <si>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</si>
  <si>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</si>
  <si>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</si>
  <si>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</si>
  <si>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</si>
  <si>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</si>
  <si>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</si>
  <si>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</si>
  <si>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</si>
  <si>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</si>
  <si>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</si>
  <si>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</si>
  <si>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</si>
  <si>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</si>
  <si>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</si>
  <si>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</si>
  <si>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</si>
  <si>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</si>
  <si>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</si>
  <si>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</si>
  <si>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</si>
  <si>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</si>
  <si>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</si>
  <si>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</si>
  <si>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</si>
  <si>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</si>
  <si>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</si>
  <si>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</si>
  <si>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</si>
  <si>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</si>
  <si>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</si>
  <si>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</si>
  <si>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</si>
  <si>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</si>
  <si>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</si>
  <si>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</si>
  <si>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</si>
  <si>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</si>
  <si>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</si>
  <si>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</si>
  <si>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</si>
  <si>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</si>
  <si>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</si>
  <si>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</si>
  <si>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</si>
  <si>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</si>
  <si>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</si>
  <si>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</si>
  <si>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</si>
  <si>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</si>
  <si>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</si>
  <si>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</si>
  <si>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</si>
  <si>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</si>
  <si>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</si>
  <si>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</si>
  <si>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</si>
  <si>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</si>
  <si>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</si>
  <si>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</si>
  <si>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</si>
  <si>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</si>
  <si>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</si>
  <si>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</si>
  <si>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</si>
  <si>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</si>
  <si>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</si>
  <si>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</si>
  <si>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</si>
  <si>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</si>
  <si>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</si>
  <si>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</si>
  <si>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</si>
  <si>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</si>
  <si>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</si>
  <si>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</si>
  <si>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</si>
  <si>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</si>
  <si>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</si>
  <si>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</si>
  <si>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</si>
  <si>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</si>
  <si>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</si>
  <si>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</si>
  <si>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</si>
  <si>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</si>
  <si>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</si>
  <si>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</si>
  <si>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</si>
  <si>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</si>
  <si>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</si>
  <si>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</si>
  <si>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</si>
  <si>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</si>
  <si>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</si>
  <si>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</si>
  <si>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</si>
  <si>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</si>
  <si>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</si>
  <si>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</si>
  <si>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</si>
  <si>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</si>
  <si>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</si>
  <si>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</si>
  <si>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</si>
  <si>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</si>
  <si>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</si>
  <si>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</si>
  <si>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</si>
  <si>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</si>
  <si>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</si>
  <si>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</si>
  <si>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</si>
  <si>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</si>
  <si>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</si>
  <si>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</si>
  <si>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</si>
  <si>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</si>
  <si>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</si>
  <si>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</si>
  <si>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</si>
  <si>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</si>
  <si>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</si>
  <si>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</si>
  <si>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</si>
  <si>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</si>
  <si>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</si>
  <si>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</si>
  <si>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</si>
  <si>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</si>
  <si>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</si>
  <si>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</si>
  <si>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</si>
  <si>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</si>
  <si>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</si>
  <si>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</si>
  <si>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</si>
  <si>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</si>
  <si>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</si>
  <si>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</si>
  <si>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</si>
  <si>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</si>
  <si>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</si>
  <si>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</si>
  <si>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</si>
  <si>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</si>
  <si>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</si>
  <si>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</si>
  <si>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</si>
  <si>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</si>
  <si>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</si>
  <si>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</si>
  <si>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</si>
  <si>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</si>
  <si>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</si>
  <si>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</si>
  <si>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</si>
  <si>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</si>
  <si>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</si>
  <si>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</si>
  <si>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</si>
  <si>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</si>
  <si>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</si>
  <si>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</si>
  <si>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</si>
  <si>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</si>
  <si>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</si>
  <si>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</si>
  <si>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</si>
  <si>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</si>
  <si>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</si>
  <si>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</si>
  <si>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</si>
  <si>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</si>
  <si>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</si>
  <si>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</si>
  <si>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</si>
  <si>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</si>
  <si>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</si>
  <si>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</si>
  <si>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</si>
  <si>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</si>
  <si>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</si>
  <si>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</si>
  <si>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</si>
  <si>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</si>
  <si>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</si>
  <si>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</si>
  <si>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</si>
  <si>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</si>
  <si>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</si>
  <si>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</si>
  <si>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</si>
  <si>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</si>
  <si>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</si>
  <si>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</si>
  <si>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</si>
  <si>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</si>
  <si>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</si>
  <si>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</si>
  <si>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</si>
  <si>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</si>
  <si>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</si>
  <si>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</si>
  <si>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</si>
  <si>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</si>
  <si>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</si>
  <si>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</si>
  <si>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</si>
  <si>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</si>
  <si>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</si>
  <si>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</si>
  <si>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</si>
  <si>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</si>
  <si>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</si>
  <si>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</si>
  <si>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</si>
  <si>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</si>
  <si>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</si>
  <si>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</si>
  <si>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</si>
  <si>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</si>
  <si>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</si>
  <si>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</si>
  <si>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</si>
  <si>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</si>
  <si>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</si>
  <si>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</si>
  <si>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</si>
  <si>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</si>
  <si>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</si>
  <si>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</si>
  <si>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</si>
  <si>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</si>
  <si>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</si>
  <si>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</si>
  <si>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</si>
  <si>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</si>
  <si>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</si>
  <si>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</si>
  <si>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</si>
  <si>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</si>
  <si>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</si>
  <si>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</si>
  <si>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</si>
  <si>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</si>
  <si>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</si>
  <si>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</si>
  <si>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</si>
  <si>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</si>
  <si>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</si>
  <si>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</si>
  <si>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</si>
  <si>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</si>
  <si>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</si>
  <si>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</si>
  <si>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</si>
  <si>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</si>
  <si>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</si>
  <si>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</si>
  <si>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</si>
  <si>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</si>
  <si>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</si>
  <si>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</si>
  <si>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</si>
  <si>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</si>
  <si>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</si>
  <si>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</si>
  <si>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</si>
  <si>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</si>
  <si>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</si>
  <si>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</si>
  <si>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</si>
  <si>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</si>
  <si>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</si>
  <si>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</si>
  <si>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</si>
  <si>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</si>
  <si>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</si>
  <si>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</si>
  <si>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</si>
  <si>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</si>
  <si>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</si>
  <si>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</si>
  <si>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</si>
  <si>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</si>
  <si>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</si>
  <si>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</si>
  <si>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</si>
  <si>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</si>
  <si>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</si>
  <si>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</si>
  <si>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</si>
  <si>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</si>
  <si>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</si>
  <si>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</si>
  <si>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</si>
  <si>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</si>
  <si>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</si>
  <si>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</si>
  <si>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</si>
  <si>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</si>
  <si>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</si>
  <si>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</si>
  <si>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</si>
  <si>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</si>
  <si>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</si>
  <si>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</si>
  <si>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</si>
  <si>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</si>
  <si>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</si>
  <si>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</si>
  <si>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</si>
  <si>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</si>
  <si>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</si>
  <si>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</si>
  <si>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</si>
  <si>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</si>
  <si>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</si>
  <si>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</si>
  <si>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</si>
  <si>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</si>
  <si>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</si>
  <si>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</si>
  <si>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</si>
  <si>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</si>
  <si>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</si>
  <si>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</si>
  <si>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</si>
  <si>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</si>
  <si>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</si>
  <si>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</si>
  <si>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</si>
  <si>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</si>
  <si>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</si>
  <si>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</si>
  <si>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</si>
  <si>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</si>
  <si>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</si>
  <si>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</si>
  <si>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</si>
  <si>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</si>
  <si>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</si>
  <si>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</si>
  <si>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</si>
  <si>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</si>
  <si>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</si>
  <si>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</si>
  <si>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</si>
  <si>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</si>
  <si>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</si>
  <si>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</si>
  <si>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</si>
  <si>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</si>
  <si>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</si>
  <si>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</si>
  <si>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</si>
  <si>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</si>
  <si>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</si>
  <si>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</si>
  <si>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</si>
  <si>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</si>
  <si>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</si>
  <si>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</si>
  <si>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</si>
  <si>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</si>
  <si>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</si>
  <si>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</si>
  <si>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</si>
  <si>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</si>
  <si>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</si>
  <si>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</si>
  <si>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</si>
  <si>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</si>
  <si>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</si>
  <si>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</si>
  <si>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</si>
  <si>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</si>
  <si>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</si>
  <si>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</si>
  <si>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</si>
  <si>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</si>
  <si>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</si>
  <si>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</si>
  <si>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</si>
  <si>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</si>
  <si>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</si>
  <si>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</si>
  <si>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</si>
  <si>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</si>
  <si>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</si>
  <si>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</si>
  <si>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</si>
  <si>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</si>
  <si>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</si>
  <si>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</si>
  <si>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</si>
  <si>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</si>
  <si>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</si>
  <si>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</si>
  <si>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</si>
  <si>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</si>
  <si>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</si>
  <si>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</si>
  <si>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</si>
  <si>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</si>
  <si>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</si>
  <si>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</si>
  <si>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</si>
  <si>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</si>
  <si>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</si>
  <si>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</si>
  <si>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</si>
  <si>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</si>
  <si>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</si>
  <si>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</si>
  <si>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</si>
  <si>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</si>
  <si>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</si>
  <si>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</si>
  <si>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</si>
  <si>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</si>
  <si>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</si>
  <si>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</si>
  <si>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</si>
  <si>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</si>
  <si>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</si>
  <si>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</si>
  <si>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</si>
  <si>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</si>
  <si>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</si>
  <si>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</si>
  <si>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</si>
  <si>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</si>
  <si>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</si>
  <si>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</si>
  <si>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</si>
  <si>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</si>
  <si>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</si>
  <si>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</si>
  <si>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</si>
  <si>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</si>
  <si>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</si>
  <si>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</si>
  <si>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</si>
  <si>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</si>
  <si>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</si>
  <si>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</si>
  <si>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</si>
  <si>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</si>
  <si>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</si>
  <si>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</si>
  <si>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</si>
  <si>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</si>
  <si>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</si>
  <si>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</si>
  <si>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</si>
  <si>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</si>
  <si>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</si>
  <si>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</si>
  <si>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</si>
  <si>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</si>
  <si>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</si>
  <si>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</si>
  <si>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</si>
  <si>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</si>
  <si>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</si>
  <si>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</si>
  <si>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</si>
  <si>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</si>
  <si>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</si>
  <si>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</si>
  <si>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</si>
  <si>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</si>
  <si>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</si>
  <si>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</si>
  <si>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</si>
  <si>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</si>
  <si>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</si>
  <si>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</si>
  <si>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</si>
  <si>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</si>
  <si>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</si>
  <si>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</si>
  <si>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</si>
  <si>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</si>
  <si>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</si>
  <si>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</si>
  <si>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</si>
  <si>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</si>
  <si>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</si>
  <si>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</si>
  <si>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</si>
  <si>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</si>
  <si>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</si>
  <si>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</si>
  <si>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</si>
  <si>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</si>
  <si>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</si>
  <si>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</si>
  <si>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</si>
  <si>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</si>
  <si>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</si>
  <si>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</si>
  <si>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</si>
  <si>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</si>
  <si>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</si>
  <si>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</si>
  <si>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</si>
  <si>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</si>
  <si>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</si>
  <si>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</si>
  <si>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</si>
  <si>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</si>
  <si>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</si>
  <si>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</si>
  <si>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</si>
  <si>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</si>
  <si>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</si>
  <si>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</si>
  <si>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</si>
  <si>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</si>
  <si>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</si>
  <si>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</si>
  <si>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</si>
  <si>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</si>
  <si>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</si>
  <si>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</si>
  <si>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</si>
  <si>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</si>
  <si>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</si>
  <si>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</si>
  <si>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</si>
  <si>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</si>
  <si>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</si>
  <si>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</si>
  <si>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</si>
  <si>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</si>
  <si>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</si>
  <si>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</si>
  <si>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</si>
  <si>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</si>
  <si>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</si>
  <si>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</si>
  <si>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</si>
  <si>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</si>
  <si>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</si>
  <si>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</si>
  <si>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</si>
  <si>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</si>
  <si>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</si>
  <si>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</si>
  <si>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</si>
  <si>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</si>
  <si>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</si>
  <si>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</si>
  <si>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</si>
  <si>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</si>
  <si>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</si>
  <si>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</si>
  <si>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</si>
  <si>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</si>
  <si>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</si>
  <si>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</si>
  <si>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</si>
  <si>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</si>
  <si>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</si>
  <si>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</si>
  <si>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</si>
  <si>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</si>
  <si>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</si>
  <si>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</si>
  <si>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</si>
  <si>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</si>
  <si>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</si>
  <si>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</si>
  <si>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</si>
  <si>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</si>
  <si>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</si>
  <si>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</si>
  <si>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</si>
  <si>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</si>
  <si>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</si>
  <si>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</si>
  <si>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</si>
  <si>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</si>
  <si>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</si>
  <si>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</si>
  <si>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</si>
  <si>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</si>
  <si>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</si>
  <si>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</si>
  <si>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</si>
  <si>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</si>
  <si>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</si>
  <si>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</si>
  <si>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</si>
  <si>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</si>
  <si>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</si>
  <si>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</si>
  <si>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</si>
  <si>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</si>
  <si>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</si>
  <si>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</si>
  <si>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</si>
  <si>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</si>
  <si>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</si>
  <si>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</si>
  <si>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</si>
  <si>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</si>
  <si>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</si>
  <si>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</si>
  <si>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</si>
  <si>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</si>
  <si>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</si>
  <si>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</si>
  <si>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</si>
  <si>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</si>
  <si>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</si>
  <si>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</si>
  <si>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</si>
  <si>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</si>
  <si>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</si>
  <si>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</si>
  <si>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</si>
  <si>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</si>
  <si>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</si>
  <si>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</si>
  <si>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</si>
  <si>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</si>
  <si>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</si>
  <si>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</si>
  <si>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</si>
  <si>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</si>
  <si>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</si>
  <si>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</si>
  <si>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</si>
  <si>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</si>
  <si>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</si>
  <si>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</si>
  <si>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</si>
  <si>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</si>
  <si>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</si>
  <si>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</si>
  <si>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</si>
  <si>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</si>
  <si>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</si>
  <si>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</si>
  <si>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</si>
  <si>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</si>
  <si>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</si>
  <si>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</si>
  <si>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</si>
  <si>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</si>
  <si>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</si>
  <si>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</si>
  <si>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</si>
  <si>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</si>
  <si>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</si>
  <si>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</si>
  <si>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</si>
  <si>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</si>
  <si>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</si>
  <si>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</si>
  <si>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</si>
  <si>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</si>
  <si>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</si>
  <si>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</si>
  <si>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</si>
  <si>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</si>
  <si>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</si>
  <si>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</si>
  <si>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</si>
  <si>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</si>
  <si>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</si>
  <si>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</si>
  <si>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</si>
  <si>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</si>
  <si>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</si>
  <si>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</si>
  <si>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</si>
  <si>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</si>
  <si>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</si>
  <si>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</si>
  <si>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</si>
  <si>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</si>
  <si>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</si>
  <si>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</si>
  <si>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</si>
  <si>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</si>
  <si>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</si>
  <si>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</si>
  <si>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</si>
  <si>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</si>
  <si>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</si>
  <si>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</si>
  <si>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</si>
  <si>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</si>
  <si>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</si>
  <si>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</si>
  <si>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</si>
  <si>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</si>
  <si>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</si>
  <si>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</si>
  <si>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</si>
  <si>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</si>
  <si>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</si>
  <si>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</si>
  <si>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</si>
  <si>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</si>
  <si>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</si>
  <si>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</si>
  <si>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</si>
  <si>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</si>
  <si>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</si>
  <si>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</si>
  <si>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</si>
  <si>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</si>
  <si>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</si>
  <si>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</si>
  <si>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</si>
  <si>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</si>
  <si>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</si>
  <si>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</si>
  <si>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</si>
  <si>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</si>
  <si>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</si>
  <si>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</si>
  <si>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</si>
  <si>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</si>
  <si>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</si>
  <si>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</si>
  <si>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</si>
  <si>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</si>
  <si>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</si>
  <si>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</si>
  <si>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</si>
  <si>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</si>
  <si>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</si>
  <si>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</si>
  <si>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</si>
  <si>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</si>
  <si>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</si>
  <si>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</si>
  <si>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</si>
  <si>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</si>
  <si>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</si>
  <si>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</si>
  <si>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</si>
  <si>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</si>
  <si>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</si>
  <si>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</si>
  <si>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</si>
  <si>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</si>
  <si>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</si>
  <si>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</si>
  <si>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</si>
  <si>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</si>
  <si>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</si>
  <si>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</si>
  <si>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</si>
  <si>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</si>
  <si>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</si>
  <si>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</si>
  <si>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</si>
  <si>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</si>
  <si>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</si>
  <si>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</si>
  <si>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</si>
  <si>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</si>
  <si>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</si>
  <si>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</si>
  <si>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</si>
  <si>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</si>
  <si>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</si>
  <si>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</si>
  <si>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</si>
  <si>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</si>
  <si>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</si>
  <si>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</si>
  <si>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</si>
  <si>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</si>
  <si>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</si>
  <si>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</si>
  <si>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</si>
  <si>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</si>
  <si>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WINNACUNNET</t>
  </si>
  <si>
    <t>August 2004</t>
  </si>
  <si>
    <t>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</si>
</sst>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581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782767.82+200</f>
        <v>782967.82</v>
      </c>
      <c r="G9" s="18">
        <v>200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34833.75</v>
      </c>
      <c r="G10" s="18"/>
      <c r="H10" s="18"/>
      <c r="I10" s="18"/>
      <c r="J10" s="67">
        <f>SUM(I440)</f>
        <v>411264.94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60119.21</v>
      </c>
      <c r="G12" s="18">
        <v>1687.39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13104.62</v>
      </c>
      <c r="G13" s="18">
        <v>4484.74</v>
      </c>
      <c r="H13" s="18">
        <v>61958.41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21568.78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6253.13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11653.69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924247.86999999988</v>
      </c>
      <c r="G19" s="41">
        <f>SUM(G9:G18)</f>
        <v>12625.26</v>
      </c>
      <c r="H19" s="41">
        <f>SUM(H9:H18)</f>
        <v>61958.41</v>
      </c>
      <c r="I19" s="41">
        <f>SUM(I9:I18)</f>
        <v>0</v>
      </c>
      <c r="J19" s="41">
        <f>SUM(J9:J18)</f>
        <v>411264.94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61806.6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249622.94</v>
      </c>
      <c r="G24" s="18">
        <v>2767.72</v>
      </c>
      <c r="H24" s="18">
        <v>151.81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20918.68</v>
      </c>
      <c r="G28" s="18">
        <v>92.16</v>
      </c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1607.35-4760.14+5105.4+2130.11</f>
        <v>4082.7199999999993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14577</v>
      </c>
      <c r="G30" s="18">
        <v>9765.3799999999992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289201.33999999997</v>
      </c>
      <c r="G32" s="41">
        <f>SUM(G22:G31)</f>
        <v>12625.259999999998</v>
      </c>
      <c r="H32" s="41">
        <f>SUM(H22:H31)</f>
        <v>61958.409999999996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6253.13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11653.69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-6253.13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175000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f>4786.08+43488</f>
        <v>48274.080000000002</v>
      </c>
      <c r="G48" s="18"/>
      <c r="H48" s="18"/>
      <c r="I48" s="18"/>
      <c r="J48" s="13">
        <f>SUM(I459)</f>
        <v>411264.94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23526.67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376592.09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635046.53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411264.94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924247.87</v>
      </c>
      <c r="G52" s="41">
        <f>G51+G32</f>
        <v>12625.259999999998</v>
      </c>
      <c r="H52" s="41">
        <f>H51+H32</f>
        <v>61958.409999999996</v>
      </c>
      <c r="I52" s="41">
        <f>I51+I32</f>
        <v>0</v>
      </c>
      <c r="J52" s="41">
        <f>J51+J32</f>
        <v>411264.94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f>1300078+2571325+6245044+7904478</f>
        <v>18020925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18020925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2900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6145</v>
      </c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9045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4973.99</v>
      </c>
      <c r="G96" s="18"/>
      <c r="H96" s="18"/>
      <c r="I96" s="18"/>
      <c r="J96" s="18">
        <f>-4182.66+41.17+8033.87+3816.03</f>
        <v>7708.41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394152.2+16521.26</f>
        <v>410673.46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10509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9459.36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8556.16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11774.71+16015+11700</f>
        <v>39489.71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72988.22</v>
      </c>
      <c r="G111" s="41">
        <f>SUM(G96:G110)</f>
        <v>410673.46</v>
      </c>
      <c r="H111" s="41">
        <f>SUM(H96:H110)</f>
        <v>0</v>
      </c>
      <c r="I111" s="41">
        <f>SUM(I96:I110)</f>
        <v>0</v>
      </c>
      <c r="J111" s="41">
        <f>SUM(J96:J110)</f>
        <v>7708.41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18102958.219999999</v>
      </c>
      <c r="G112" s="41">
        <f>G60+G111</f>
        <v>410673.46</v>
      </c>
      <c r="H112" s="41">
        <f>H60+H79+H94+H111</f>
        <v>0</v>
      </c>
      <c r="I112" s="41">
        <f>I60+I111</f>
        <v>0</v>
      </c>
      <c r="J112" s="41">
        <f>J60+J111</f>
        <v>7708.41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400680.27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f>2329712+271992+680995+1213992</f>
        <v>4496691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5211.1400000000003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4902582.4099999992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752339.17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511961.69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15251.6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3749.21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1279552.4600000002</v>
      </c>
      <c r="G136" s="41">
        <f>SUM(G123:G135)</f>
        <v>3749.21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6182134.8699999992</v>
      </c>
      <c r="G140" s="41">
        <f>G121+SUM(G136:G137)</f>
        <v>3749.21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244.16+176087.03</f>
        <v>176331.19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1550.42+35750.88+12500</f>
        <v>49801.299999999996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f>40984.36+20792.84</f>
        <v>61777.2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83481.399999999994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89368.2+129967.34</f>
        <v>219335.53999999998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103640.94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103640.94</v>
      </c>
      <c r="G162" s="41">
        <f>SUM(G150:G161)</f>
        <v>83481.399999999994</v>
      </c>
      <c r="H162" s="41">
        <f>SUM(H150:H161)</f>
        <v>507245.23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>
        <v>20250.97</v>
      </c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103640.94</v>
      </c>
      <c r="G169" s="41">
        <f>G147+G162+SUM(G163:G168)</f>
        <v>103732.37</v>
      </c>
      <c r="H169" s="41">
        <f>H147+H162+SUM(H163:H168)</f>
        <v>507245.23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4719.1499999999996</v>
      </c>
      <c r="H179" s="18"/>
      <c r="I179" s="18"/>
      <c r="J179" s="18">
        <v>150000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4719.1499999999996</v>
      </c>
      <c r="H183" s="41">
        <f>SUM(H179:H182)</f>
        <v>0</v>
      </c>
      <c r="I183" s="41">
        <f>SUM(I179:I182)</f>
        <v>0</v>
      </c>
      <c r="J183" s="41">
        <f>SUM(J179:J182)</f>
        <v>150000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100000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100000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100000</v>
      </c>
      <c r="G192" s="41">
        <f>G183+SUM(G188:G191)</f>
        <v>4719.1499999999996</v>
      </c>
      <c r="H192" s="41">
        <f>+H183+SUM(H188:H191)</f>
        <v>0</v>
      </c>
      <c r="I192" s="41">
        <f>I177+I183+SUM(I188:I191)</f>
        <v>0</v>
      </c>
      <c r="J192" s="41">
        <f>J183</f>
        <v>150000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24488734.029999997</v>
      </c>
      <c r="G193" s="47">
        <f>G112+G140+G169+G192</f>
        <v>522874.19000000006</v>
      </c>
      <c r="H193" s="47">
        <f>H112+H140+H169+H192</f>
        <v>507245.23</v>
      </c>
      <c r="I193" s="47">
        <f>I112+I140+I169+I192</f>
        <v>0</v>
      </c>
      <c r="J193" s="47">
        <f>J112+J140+J192</f>
        <v>157708.41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6103964.8899999997</v>
      </c>
      <c r="G233" s="18">
        <f>2806117.89</f>
        <v>2806117.89</v>
      </c>
      <c r="H233" s="18">
        <v>3220.94</v>
      </c>
      <c r="I233" s="18">
        <f>138552.09+1538.18</f>
        <v>140090.26999999999</v>
      </c>
      <c r="J233" s="18">
        <f>66543.84+2485.39</f>
        <v>69029.23</v>
      </c>
      <c r="K233" s="18"/>
      <c r="L233" s="19">
        <f>SUM(F233:K233)</f>
        <v>9122423.2199999988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1574746.58</v>
      </c>
      <c r="G234" s="18">
        <v>786379.16</v>
      </c>
      <c r="H234" s="18">
        <v>1845186.38</v>
      </c>
      <c r="I234" s="18">
        <v>2890.33</v>
      </c>
      <c r="J234" s="18">
        <v>897.99</v>
      </c>
      <c r="K234" s="18">
        <v>870</v>
      </c>
      <c r="L234" s="19">
        <f>SUM(F234:K234)</f>
        <v>4210970.4400000004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199578</v>
      </c>
      <c r="I235" s="18"/>
      <c r="J235" s="18"/>
      <c r="K235" s="18"/>
      <c r="L235" s="19">
        <f>SUM(F235:K235)</f>
        <v>199578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f>518482.08+54550</f>
        <v>573032.08000000007</v>
      </c>
      <c r="G236" s="18">
        <f>143589.77+4173.08</f>
        <v>147762.84999999998</v>
      </c>
      <c r="H236" s="18">
        <v>151307.92000000001</v>
      </c>
      <c r="I236" s="18">
        <f>56242.48+9919.59</f>
        <v>66162.070000000007</v>
      </c>
      <c r="J236" s="18">
        <v>32415.86</v>
      </c>
      <c r="K236" s="18">
        <f>38507.98+4054.75</f>
        <v>42562.73</v>
      </c>
      <c r="L236" s="19">
        <f>SUM(F236:K236)</f>
        <v>1013243.5100000001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688209.68+140839.45</f>
        <v>829049.13000000012</v>
      </c>
      <c r="G238" s="18">
        <v>411334.05</v>
      </c>
      <c r="H238" s="18">
        <f>89054.94+828</f>
        <v>89882.94</v>
      </c>
      <c r="I238" s="18">
        <f>993.68+4524.24</f>
        <v>5517.92</v>
      </c>
      <c r="J238" s="18">
        <v>285</v>
      </c>
      <c r="K238" s="18">
        <v>644</v>
      </c>
      <c r="L238" s="19">
        <f t="shared" ref="L238:L244" si="4">SUM(F238:K238)</f>
        <v>1336713.04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238488+120847.82+204426.32+48085.52</f>
        <v>611847.66</v>
      </c>
      <c r="G239" s="18">
        <f>51521+301212.38</f>
        <v>352733.38</v>
      </c>
      <c r="H239" s="18">
        <f>18115.82+1105.46+32228.04+47495.83</f>
        <v>98945.15</v>
      </c>
      <c r="I239" s="18">
        <f>645.95+37378.07+151984.28</f>
        <v>190008.3</v>
      </c>
      <c r="J239" s="18">
        <f>7110.29+190460.44</f>
        <v>197570.73</v>
      </c>
      <c r="K239" s="18"/>
      <c r="L239" s="19">
        <f t="shared" si="4"/>
        <v>1451105.22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25768</v>
      </c>
      <c r="G240" s="18">
        <v>1971.25</v>
      </c>
      <c r="H240" s="18">
        <f>35780.41+581759</f>
        <v>617539.41</v>
      </c>
      <c r="I240" s="18"/>
      <c r="J240" s="18"/>
      <c r="K240" s="18">
        <v>9176.4</v>
      </c>
      <c r="L240" s="19">
        <f t="shared" si="4"/>
        <v>654455.06000000006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668855.74</v>
      </c>
      <c r="G241" s="18">
        <f>314691.02+15092.85</f>
        <v>329783.87</v>
      </c>
      <c r="H241" s="18">
        <v>97061.11</v>
      </c>
      <c r="I241" s="18">
        <v>18013.27</v>
      </c>
      <c r="J241" s="18"/>
      <c r="K241" s="18">
        <v>36979.85</v>
      </c>
      <c r="L241" s="19">
        <f t="shared" si="4"/>
        <v>1150693.8400000001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813950.77</v>
      </c>
      <c r="G243" s="18">
        <v>421569.85</v>
      </c>
      <c r="H243" s="18">
        <f>291716.48+228179.39+15696.35</f>
        <v>535592.22</v>
      </c>
      <c r="I243" s="18">
        <v>453395.08</v>
      </c>
      <c r="J243" s="18">
        <f>87063.54+4521.56+15986.81</f>
        <v>107571.90999999999</v>
      </c>
      <c r="K243" s="18">
        <v>3795</v>
      </c>
      <c r="L243" s="19">
        <f t="shared" si="4"/>
        <v>2335874.83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519686.53+129781.6+98841.31+11002.12+30979.74</f>
        <v>790291.29999999993</v>
      </c>
      <c r="I244" s="18"/>
      <c r="J244" s="18"/>
      <c r="K244" s="18"/>
      <c r="L244" s="19">
        <f t="shared" si="4"/>
        <v>790291.29999999993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>
        <v>1746.5</v>
      </c>
      <c r="L245" s="19">
        <f>SUM(F245:K245)</f>
        <v>1746.5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11201214.85</v>
      </c>
      <c r="G247" s="41">
        <f t="shared" si="5"/>
        <v>5257652.3</v>
      </c>
      <c r="H247" s="41">
        <f t="shared" si="5"/>
        <v>4428605.3699999992</v>
      </c>
      <c r="I247" s="41">
        <f t="shared" si="5"/>
        <v>876077.24</v>
      </c>
      <c r="J247" s="41">
        <f t="shared" si="5"/>
        <v>407770.72</v>
      </c>
      <c r="K247" s="41">
        <f t="shared" si="5"/>
        <v>95774.48000000001</v>
      </c>
      <c r="L247" s="41">
        <f t="shared" si="5"/>
        <v>22267094.959999997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108883.69</v>
      </c>
      <c r="G251" s="18">
        <v>8724.84</v>
      </c>
      <c r="H251" s="18"/>
      <c r="I251" s="18">
        <v>1030.1300000000001</v>
      </c>
      <c r="J251" s="18"/>
      <c r="K251" s="18"/>
      <c r="L251" s="19">
        <f t="shared" si="6"/>
        <v>118638.66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112916</v>
      </c>
      <c r="I255" s="18"/>
      <c r="J255" s="18"/>
      <c r="K255" s="18"/>
      <c r="L255" s="19">
        <f t="shared" si="6"/>
        <v>112916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108883.69</v>
      </c>
      <c r="G256" s="41">
        <f t="shared" si="7"/>
        <v>8724.84</v>
      </c>
      <c r="H256" s="41">
        <f t="shared" si="7"/>
        <v>112916</v>
      </c>
      <c r="I256" s="41">
        <f t="shared" si="7"/>
        <v>1030.1300000000001</v>
      </c>
      <c r="J256" s="41">
        <f t="shared" si="7"/>
        <v>0</v>
      </c>
      <c r="K256" s="41">
        <f t="shared" si="7"/>
        <v>0</v>
      </c>
      <c r="L256" s="41">
        <f>SUM(F256:K256)</f>
        <v>231554.66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11310098.539999999</v>
      </c>
      <c r="G257" s="41">
        <f t="shared" si="8"/>
        <v>5266377.1399999997</v>
      </c>
      <c r="H257" s="41">
        <f t="shared" si="8"/>
        <v>4541521.3699999992</v>
      </c>
      <c r="I257" s="41">
        <f t="shared" si="8"/>
        <v>877107.37</v>
      </c>
      <c r="J257" s="41">
        <f t="shared" si="8"/>
        <v>407770.72</v>
      </c>
      <c r="K257" s="41">
        <f t="shared" si="8"/>
        <v>95774.48000000001</v>
      </c>
      <c r="L257" s="41">
        <f t="shared" si="8"/>
        <v>22498649.619999997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1385000</v>
      </c>
      <c r="L260" s="19">
        <f>SUM(F260:K260)</f>
        <v>1385000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586658.5</v>
      </c>
      <c r="L261" s="19">
        <f>SUM(F261:K261)</f>
        <v>586658.5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4719.1499999999996</v>
      </c>
      <c r="L263" s="19">
        <f>SUM(F263:K263)</f>
        <v>4719.1499999999996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150000</v>
      </c>
      <c r="L266" s="19">
        <f t="shared" si="9"/>
        <v>150000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2126377.65</v>
      </c>
      <c r="L270" s="41">
        <f t="shared" si="9"/>
        <v>2126377.65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11310098.539999999</v>
      </c>
      <c r="G271" s="42">
        <f t="shared" si="11"/>
        <v>5266377.1399999997</v>
      </c>
      <c r="H271" s="42">
        <f t="shared" si="11"/>
        <v>4541521.3699999992</v>
      </c>
      <c r="I271" s="42">
        <f t="shared" si="11"/>
        <v>877107.37</v>
      </c>
      <c r="J271" s="42">
        <f t="shared" si="11"/>
        <v>407770.72</v>
      </c>
      <c r="K271" s="42">
        <f t="shared" si="11"/>
        <v>2222152.13</v>
      </c>
      <c r="L271" s="42">
        <f t="shared" si="11"/>
        <v>24625027.269999996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138241.16</v>
      </c>
      <c r="G314" s="18">
        <v>33616.129999999997</v>
      </c>
      <c r="H314" s="18">
        <v>239</v>
      </c>
      <c r="I314" s="18"/>
      <c r="J314" s="18"/>
      <c r="K314" s="18"/>
      <c r="L314" s="19">
        <f>SUM(F314:K314)</f>
        <v>172096.29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f>2170.61+51284.74</f>
        <v>53455.35</v>
      </c>
      <c r="G315" s="18">
        <f>473.26+23650.14</f>
        <v>24123.399999999998</v>
      </c>
      <c r="H315" s="18">
        <f>70172.2+50750.51</f>
        <v>120922.70999999999</v>
      </c>
      <c r="I315" s="18">
        <v>7737.28</v>
      </c>
      <c r="J315" s="18">
        <f>2150.22+2176.25</f>
        <v>4326.4699999999993</v>
      </c>
      <c r="K315" s="18">
        <v>5141.55</v>
      </c>
      <c r="L315" s="19">
        <f>SUM(F315:K315)</f>
        <v>215706.75999999998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4592</v>
      </c>
      <c r="G319" s="18">
        <v>1091.07</v>
      </c>
      <c r="H319" s="18"/>
      <c r="I319" s="18"/>
      <c r="J319" s="18"/>
      <c r="K319" s="18">
        <v>25</v>
      </c>
      <c r="L319" s="19">
        <f t="shared" ref="L319:L325" si="16">SUM(F319:K319)</f>
        <v>5708.07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28000</v>
      </c>
      <c r="G320" s="18">
        <v>6864.95</v>
      </c>
      <c r="H320" s="18">
        <f>1536.27+12500</f>
        <v>14036.27</v>
      </c>
      <c r="I320" s="18">
        <v>397.7</v>
      </c>
      <c r="J320" s="18"/>
      <c r="K320" s="18"/>
      <c r="L320" s="19">
        <f t="shared" si="16"/>
        <v>49298.92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875</v>
      </c>
      <c r="G321" s="18">
        <v>218.84</v>
      </c>
      <c r="H321" s="18"/>
      <c r="I321" s="18"/>
      <c r="J321" s="18"/>
      <c r="K321" s="18">
        <f>5.16+14.15+3110.9+488.23+697.74+302.31+1523.11+2105.7</f>
        <v>8247.2999999999993</v>
      </c>
      <c r="L321" s="19">
        <f t="shared" si="16"/>
        <v>9341.14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225163.51</v>
      </c>
      <c r="G328" s="42">
        <f t="shared" si="17"/>
        <v>65914.39</v>
      </c>
      <c r="H328" s="42">
        <f t="shared" si="17"/>
        <v>135197.97999999998</v>
      </c>
      <c r="I328" s="42">
        <f t="shared" si="17"/>
        <v>8134.98</v>
      </c>
      <c r="J328" s="42">
        <f t="shared" si="17"/>
        <v>4326.4699999999993</v>
      </c>
      <c r="K328" s="42">
        <f t="shared" si="17"/>
        <v>13413.849999999999</v>
      </c>
      <c r="L328" s="41">
        <f t="shared" si="17"/>
        <v>452151.18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f>34090+9946.11</f>
        <v>44036.11</v>
      </c>
      <c r="G333" s="18">
        <f>5218.47+1712.49</f>
        <v>6930.96</v>
      </c>
      <c r="H333" s="18"/>
      <c r="I333" s="18">
        <f>911.71+1816</f>
        <v>2727.71</v>
      </c>
      <c r="J333" s="18">
        <v>1247.48</v>
      </c>
      <c r="K333" s="18">
        <f>151.81-0.02</f>
        <v>151.79</v>
      </c>
      <c r="L333" s="19">
        <f t="shared" si="18"/>
        <v>55094.05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44036.11</v>
      </c>
      <c r="G337" s="41">
        <f t="shared" si="19"/>
        <v>6930.96</v>
      </c>
      <c r="H337" s="41">
        <f t="shared" si="19"/>
        <v>0</v>
      </c>
      <c r="I337" s="41">
        <f t="shared" si="19"/>
        <v>2727.71</v>
      </c>
      <c r="J337" s="41">
        <f t="shared" si="19"/>
        <v>1247.48</v>
      </c>
      <c r="K337" s="41">
        <f t="shared" si="19"/>
        <v>151.79</v>
      </c>
      <c r="L337" s="41">
        <f t="shared" si="18"/>
        <v>55094.05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269199.62</v>
      </c>
      <c r="G338" s="41">
        <f t="shared" si="20"/>
        <v>72845.350000000006</v>
      </c>
      <c r="H338" s="41">
        <f t="shared" si="20"/>
        <v>135197.97999999998</v>
      </c>
      <c r="I338" s="41">
        <f t="shared" si="20"/>
        <v>10862.689999999999</v>
      </c>
      <c r="J338" s="41">
        <f t="shared" si="20"/>
        <v>5573.9499999999989</v>
      </c>
      <c r="K338" s="41">
        <f t="shared" si="20"/>
        <v>13565.64</v>
      </c>
      <c r="L338" s="41">
        <f t="shared" si="20"/>
        <v>507245.23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269199.62</v>
      </c>
      <c r="G352" s="41">
        <f>G338</f>
        <v>72845.350000000006</v>
      </c>
      <c r="H352" s="41">
        <f>H338</f>
        <v>135197.97999999998</v>
      </c>
      <c r="I352" s="41">
        <f>I338</f>
        <v>10862.689999999999</v>
      </c>
      <c r="J352" s="41">
        <f>J338</f>
        <v>5573.9499999999989</v>
      </c>
      <c r="K352" s="47">
        <f>K338+K351</f>
        <v>13565.64</v>
      </c>
      <c r="L352" s="41">
        <f>L338+L351</f>
        <v>507245.23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f>52000+197338.94+1222.82</f>
        <v>250561.76</v>
      </c>
      <c r="G360" s="18"/>
      <c r="H360" s="18">
        <f>865.7+11444.55</f>
        <v>12310.25</v>
      </c>
      <c r="I360" s="18">
        <f>14703.44+219699.1+20250.97</f>
        <v>254653.51</v>
      </c>
      <c r="J360" s="18">
        <f>109.28+3517.25</f>
        <v>3626.53</v>
      </c>
      <c r="K360" s="18">
        <v>1722.14</v>
      </c>
      <c r="L360" s="19">
        <f>SUM(F360:K360)</f>
        <v>522874.19000000006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250561.76</v>
      </c>
      <c r="G362" s="47">
        <f t="shared" si="22"/>
        <v>0</v>
      </c>
      <c r="H362" s="47">
        <f t="shared" si="22"/>
        <v>12310.25</v>
      </c>
      <c r="I362" s="47">
        <f t="shared" si="22"/>
        <v>254653.51</v>
      </c>
      <c r="J362" s="47">
        <f t="shared" si="22"/>
        <v>3626.53</v>
      </c>
      <c r="K362" s="47">
        <f t="shared" si="22"/>
        <v>1722.14</v>
      </c>
      <c r="L362" s="47">
        <f t="shared" si="22"/>
        <v>522874.19000000006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>
        <f>219699.1+20250.97</f>
        <v>239950.07</v>
      </c>
      <c r="I367" s="56">
        <f>SUM(F367:H367)</f>
        <v>239950.07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>
        <v>14703.44</v>
      </c>
      <c r="I368" s="56">
        <f>SUM(F368:H368)</f>
        <v>14703.44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254653.51</v>
      </c>
      <c r="I369" s="47">
        <f>SUM(I367:I368)</f>
        <v>254653.51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>
        <v>50000</v>
      </c>
      <c r="H395" s="18">
        <f>3.76+671.81+474.61</f>
        <v>1150.1799999999998</v>
      </c>
      <c r="I395" s="18"/>
      <c r="J395" s="24" t="s">
        <v>286</v>
      </c>
      <c r="K395" s="24" t="s">
        <v>286</v>
      </c>
      <c r="L395" s="56">
        <f t="shared" ref="L395:L400" si="26">SUM(F395:K395)</f>
        <v>51150.18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f>-2879.64+18.17+4181.7+2292.1</f>
        <v>3612.33</v>
      </c>
      <c r="I396" s="18"/>
      <c r="J396" s="24" t="s">
        <v>286</v>
      </c>
      <c r="K396" s="24" t="s">
        <v>286</v>
      </c>
      <c r="L396" s="56">
        <f t="shared" si="26"/>
        <v>3612.33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100000</v>
      </c>
      <c r="H397" s="18">
        <f>-1243.92+18.87+3094.52+1002.28</f>
        <v>2871.75</v>
      </c>
      <c r="I397" s="18"/>
      <c r="J397" s="24" t="s">
        <v>286</v>
      </c>
      <c r="K397" s="24" t="s">
        <v>286</v>
      </c>
      <c r="L397" s="56">
        <f t="shared" si="26"/>
        <v>102871.75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f>-59.1+0.37+85.84+47.04</f>
        <v>74.150000000000006</v>
      </c>
      <c r="I399" s="18"/>
      <c r="J399" s="24" t="s">
        <v>286</v>
      </c>
      <c r="K399" s="24" t="s">
        <v>286</v>
      </c>
      <c r="L399" s="56">
        <f t="shared" si="26"/>
        <v>74.150000000000006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150000</v>
      </c>
      <c r="H401" s="47">
        <f>SUM(H395:H400)</f>
        <v>7708.41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157708.41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150000</v>
      </c>
      <c r="H408" s="47">
        <f>H393+H401+H407</f>
        <v>7708.41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157708.41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>
        <v>100000</v>
      </c>
      <c r="L423" s="56">
        <f t="shared" si="29"/>
        <v>100000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100000</v>
      </c>
      <c r="L427" s="47">
        <f t="shared" si="30"/>
        <v>100000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100000</v>
      </c>
      <c r="L434" s="47">
        <f t="shared" si="32"/>
        <v>100000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411264.94</v>
      </c>
      <c r="H440" s="18"/>
      <c r="I440" s="56">
        <f t="shared" si="33"/>
        <v>411264.94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411264.94</v>
      </c>
      <c r="H446" s="13">
        <f>SUM(H439:H445)</f>
        <v>0</v>
      </c>
      <c r="I446" s="13">
        <f>SUM(I439:I445)</f>
        <v>411264.94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411264.94</v>
      </c>
      <c r="H459" s="18"/>
      <c r="I459" s="56">
        <f t="shared" si="34"/>
        <v>411264.94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411264.94</v>
      </c>
      <c r="H460" s="83">
        <f>SUM(H454:H459)</f>
        <v>0</v>
      </c>
      <c r="I460" s="83">
        <f>SUM(I454:I459)</f>
        <v>411264.94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411264.94</v>
      </c>
      <c r="H461" s="42">
        <f>H452+H460</f>
        <v>0</v>
      </c>
      <c r="I461" s="42">
        <f>I452+I460</f>
        <v>411264.94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771339.77</v>
      </c>
      <c r="G465" s="18">
        <v>0</v>
      </c>
      <c r="H465" s="18">
        <v>0</v>
      </c>
      <c r="I465" s="18">
        <v>0</v>
      </c>
      <c r="J465" s="18">
        <v>353556.53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24488734.030000001</v>
      </c>
      <c r="G468" s="18">
        <v>522874.19</v>
      </c>
      <c r="H468" s="18">
        <v>507245.23</v>
      </c>
      <c r="I468" s="18"/>
      <c r="J468" s="18">
        <f>150000+7708.41</f>
        <v>157708.41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24488734.030000001</v>
      </c>
      <c r="G470" s="53">
        <f>SUM(G468:G469)</f>
        <v>522874.19</v>
      </c>
      <c r="H470" s="53">
        <f>SUM(H468:H469)</f>
        <v>507245.23</v>
      </c>
      <c r="I470" s="53">
        <f>SUM(I468:I469)</f>
        <v>0</v>
      </c>
      <c r="J470" s="53">
        <f>SUM(J468:J469)</f>
        <v>157708.41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24625027.27</v>
      </c>
      <c r="G472" s="18">
        <v>522874.19</v>
      </c>
      <c r="H472" s="18">
        <v>507245.23</v>
      </c>
      <c r="I472" s="18"/>
      <c r="J472" s="18">
        <v>100000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24625027.27</v>
      </c>
      <c r="G474" s="53">
        <f>SUM(G472:G473)</f>
        <v>522874.19</v>
      </c>
      <c r="H474" s="53">
        <f>SUM(H472:H473)</f>
        <v>507245.23</v>
      </c>
      <c r="I474" s="53">
        <f>SUM(I472:I473)</f>
        <v>0</v>
      </c>
      <c r="J474" s="53">
        <f>SUM(J472:J473)</f>
        <v>100000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635046.53000000119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411264.94000000006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25484800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4.54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13260000</v>
      </c>
      <c r="G495" s="18"/>
      <c r="H495" s="18"/>
      <c r="I495" s="18"/>
      <c r="J495" s="18"/>
      <c r="K495" s="53">
        <f>SUM(F495:J495)</f>
        <v>13260000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f>1385000+327581.25+292956.25-33879</f>
        <v>1971658.5</v>
      </c>
      <c r="G497" s="18"/>
      <c r="H497" s="18"/>
      <c r="I497" s="18"/>
      <c r="J497" s="18"/>
      <c r="K497" s="53">
        <f t="shared" si="35"/>
        <v>1971658.5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11875000</v>
      </c>
      <c r="G498" s="204"/>
      <c r="H498" s="204"/>
      <c r="I498" s="204"/>
      <c r="J498" s="204"/>
      <c r="K498" s="205">
        <f t="shared" si="35"/>
        <v>11875000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1927788.25</v>
      </c>
      <c r="G499" s="18"/>
      <c r="H499" s="18"/>
      <c r="I499" s="18"/>
      <c r="J499" s="18"/>
      <c r="K499" s="53">
        <f t="shared" si="35"/>
        <v>1927788.25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13802788.25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13802788.25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1460000</v>
      </c>
      <c r="G501" s="204"/>
      <c r="H501" s="204"/>
      <c r="I501" s="204"/>
      <c r="J501" s="204"/>
      <c r="K501" s="205">
        <f t="shared" si="35"/>
        <v>1460000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515533.5</v>
      </c>
      <c r="G502" s="18"/>
      <c r="H502" s="18"/>
      <c r="I502" s="18"/>
      <c r="J502" s="18"/>
      <c r="K502" s="53">
        <f t="shared" si="35"/>
        <v>515533.5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1975533.5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1975533.5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838858.66+290152.14+2429+2170.61+51284.74</f>
        <v>1184895.1500000001</v>
      </c>
      <c r="G523" s="18">
        <f>376535.67+203597.08+473.26+23650.14</f>
        <v>604256.15</v>
      </c>
      <c r="H523" s="18">
        <f>1845186.38-H538+70172.2+50750.51</f>
        <v>1954957.2799999998</v>
      </c>
      <c r="I523" s="18">
        <f>2890.33+7737.28</f>
        <v>10627.61</v>
      </c>
      <c r="J523" s="18">
        <f>897.99+2150.22+2176.25</f>
        <v>5224.46</v>
      </c>
      <c r="K523" s="18"/>
      <c r="L523" s="88">
        <f>SUM(F523:K523)</f>
        <v>3759960.65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1184895.1500000001</v>
      </c>
      <c r="G524" s="108">
        <f t="shared" ref="G524:L524" si="36">SUM(G521:G523)</f>
        <v>604256.15</v>
      </c>
      <c r="H524" s="108">
        <f t="shared" si="36"/>
        <v>1954957.2799999998</v>
      </c>
      <c r="I524" s="108">
        <f t="shared" si="36"/>
        <v>10627.61</v>
      </c>
      <c r="J524" s="108">
        <f t="shared" si="36"/>
        <v>5224.46</v>
      </c>
      <c r="K524" s="108">
        <f t="shared" si="36"/>
        <v>0</v>
      </c>
      <c r="L524" s="89">
        <f t="shared" si="36"/>
        <v>3759960.65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306846.55</v>
      </c>
      <c r="G528" s="18">
        <v>144977</v>
      </c>
      <c r="H528" s="18"/>
      <c r="I528" s="18"/>
      <c r="J528" s="18"/>
      <c r="K528" s="18"/>
      <c r="L528" s="88">
        <f>SUM(F528:K528)</f>
        <v>451823.55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306846.55</v>
      </c>
      <c r="G529" s="89">
        <f t="shared" ref="G529:L529" si="37">SUM(G526:G528)</f>
        <v>144977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451823.55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f>87638+48822.23</f>
        <v>136460.23000000001</v>
      </c>
      <c r="G533" s="18">
        <f>24542.46+36726.94</f>
        <v>61269.4</v>
      </c>
      <c r="H533" s="18"/>
      <c r="I533" s="18"/>
      <c r="J533" s="18"/>
      <c r="K533" s="18">
        <f>870+5141.55+1523.11+2105.7</f>
        <v>9640.36</v>
      </c>
      <c r="L533" s="88">
        <f>SUM(F533:K533)</f>
        <v>207369.99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136460.23000000001</v>
      </c>
      <c r="G534" s="89">
        <f t="shared" ref="G534:L534" si="38">SUM(G531:G533)</f>
        <v>61269.4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9640.36</v>
      </c>
      <c r="L534" s="89">
        <f t="shared" si="38"/>
        <v>207369.99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11151.81</v>
      </c>
      <c r="I538" s="18"/>
      <c r="J538" s="18"/>
      <c r="K538" s="18"/>
      <c r="L538" s="88">
        <f>SUM(F538:K538)</f>
        <v>11151.81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11151.81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11151.81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129781.6</v>
      </c>
      <c r="I543" s="18"/>
      <c r="J543" s="18"/>
      <c r="K543" s="18"/>
      <c r="L543" s="88">
        <f>SUM(F543:K543)</f>
        <v>129781.6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129781.6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129781.6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1628201.9300000002</v>
      </c>
      <c r="G545" s="89">
        <f t="shared" ref="G545:L545" si="41">G524+G529+G534+G539+G544</f>
        <v>810502.55</v>
      </c>
      <c r="H545" s="89">
        <f t="shared" si="41"/>
        <v>2095890.69</v>
      </c>
      <c r="I545" s="89">
        <f t="shared" si="41"/>
        <v>10627.61</v>
      </c>
      <c r="J545" s="89">
        <f t="shared" si="41"/>
        <v>5224.46</v>
      </c>
      <c r="K545" s="89">
        <f t="shared" si="41"/>
        <v>9640.36</v>
      </c>
      <c r="L545" s="89">
        <f t="shared" si="41"/>
        <v>4560087.5999999996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3759960.65</v>
      </c>
      <c r="G551" s="87">
        <f>L528</f>
        <v>451823.55</v>
      </c>
      <c r="H551" s="87">
        <f>L533</f>
        <v>207369.99</v>
      </c>
      <c r="I551" s="87">
        <f>L538</f>
        <v>11151.81</v>
      </c>
      <c r="J551" s="87">
        <f>L543</f>
        <v>129781.6</v>
      </c>
      <c r="K551" s="87">
        <f>SUM(F551:J551)</f>
        <v>4560087.5999999996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3759960.65</v>
      </c>
      <c r="G552" s="89">
        <f t="shared" si="42"/>
        <v>451823.55</v>
      </c>
      <c r="H552" s="89">
        <f t="shared" si="42"/>
        <v>207369.99</v>
      </c>
      <c r="I552" s="89">
        <f t="shared" si="42"/>
        <v>11151.81</v>
      </c>
      <c r="J552" s="89">
        <f t="shared" si="42"/>
        <v>129781.6</v>
      </c>
      <c r="K552" s="89">
        <f t="shared" si="42"/>
        <v>4560087.5999999996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47541</v>
      </c>
      <c r="I579" s="87">
        <f t="shared" si="47"/>
        <v>47541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>
        <f>36532.8+109974+11497.82+35692.42+97217.03</f>
        <v>290914.06999999995</v>
      </c>
      <c r="I582" s="87">
        <f t="shared" si="47"/>
        <v>290914.06999999995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>
        <f>601049.62+124381.05+87304.67+235435.46+155563.23+176672.29+29227</f>
        <v>1409633.32</v>
      </c>
      <c r="I583" s="87">
        <f t="shared" si="47"/>
        <v>1409633.32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199578</v>
      </c>
      <c r="I584" s="87">
        <f t="shared" si="47"/>
        <v>199578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/>
      <c r="I591" s="18"/>
      <c r="J591" s="18">
        <f>519686.53-J593</f>
        <v>467717.87700000004</v>
      </c>
      <c r="K591" s="104">
        <f t="shared" ref="K591:K597" si="48">SUM(H591:J591)</f>
        <v>467717.87700000004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>
        <v>129781.6</v>
      </c>
      <c r="K592" s="104">
        <f t="shared" si="48"/>
        <v>129781.6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f>519686.53*10%</f>
        <v>51968.653000000006</v>
      </c>
      <c r="K593" s="104">
        <f t="shared" si="48"/>
        <v>51968.653000000006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>
        <v>98841.31</v>
      </c>
      <c r="K594" s="104">
        <f t="shared" si="48"/>
        <v>98841.31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>
        <v>11002.12</v>
      </c>
      <c r="K595" s="104">
        <f t="shared" si="48"/>
        <v>11002.12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>
        <v>30979.74</v>
      </c>
      <c r="K597" s="104">
        <f t="shared" si="48"/>
        <v>30979.74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790291.30000000016</v>
      </c>
      <c r="K598" s="108">
        <f>SUM(K591:K597)</f>
        <v>790291.30000000016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>
        <v>42875.08</v>
      </c>
      <c r="K603" s="104">
        <f>SUM(H603:J603)</f>
        <v>42875.08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>
        <f>5573.95+362410.25+2485.39</f>
        <v>370469.59</v>
      </c>
      <c r="K604" s="104">
        <f>SUM(H604:J604)</f>
        <v>370469.59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413344.67000000004</v>
      </c>
      <c r="K605" s="108">
        <f>SUM(K602:K604)</f>
        <v>413344.67000000004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924247.86999999988</v>
      </c>
      <c r="H617" s="109">
        <f>SUM(F52)</f>
        <v>924247.87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12625.26</v>
      </c>
      <c r="H618" s="109">
        <f>SUM(G52)</f>
        <v>12625.259999999998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61958.41</v>
      </c>
      <c r="H619" s="109">
        <f>SUM(H52)</f>
        <v>61958.409999999996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411264.94</v>
      </c>
      <c r="H621" s="109">
        <f>SUM(J52)</f>
        <v>411264.94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635046.53</v>
      </c>
      <c r="H622" s="109">
        <f>F476</f>
        <v>635046.53000000119</v>
      </c>
      <c r="I622" s="121" t="s">
        <v>101</v>
      </c>
      <c r="J622" s="109">
        <f t="shared" ref="J622:J655" si="50">G622-H622</f>
        <v>-1.1641532182693481E-9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411264.94</v>
      </c>
      <c r="H626" s="109">
        <f>J476</f>
        <v>411264.94000000006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24488734.029999997</v>
      </c>
      <c r="H627" s="104">
        <f>SUM(F468)</f>
        <v>24488734.030000001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522874.19000000006</v>
      </c>
      <c r="H628" s="104">
        <f>SUM(G468)</f>
        <v>522874.19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507245.23</v>
      </c>
      <c r="H629" s="104">
        <f>SUM(H468)</f>
        <v>507245.23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157708.41</v>
      </c>
      <c r="H631" s="104">
        <f>SUM(J468)</f>
        <v>157708.41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24625027.269999996</v>
      </c>
      <c r="H632" s="104">
        <f>SUM(F472)</f>
        <v>24625027.27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507245.23</v>
      </c>
      <c r="H633" s="104">
        <f>SUM(H472)</f>
        <v>507245.23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254653.51</v>
      </c>
      <c r="H634" s="104">
        <f>I369</f>
        <v>254653.51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522874.19000000006</v>
      </c>
      <c r="H635" s="104">
        <f>SUM(G472)</f>
        <v>522874.19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157708.41</v>
      </c>
      <c r="H637" s="164">
        <f>SUM(J468)</f>
        <v>157708.41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100000</v>
      </c>
      <c r="H638" s="164">
        <f>SUM(J472)</f>
        <v>100000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411264.94</v>
      </c>
      <c r="H640" s="104">
        <f>SUM(G461)</f>
        <v>411264.94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411264.94</v>
      </c>
      <c r="H642" s="104">
        <f>SUM(I461)</f>
        <v>411264.94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7708.41</v>
      </c>
      <c r="H644" s="104">
        <f>H408</f>
        <v>7708.41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150000</v>
      </c>
      <c r="H645" s="104">
        <f>G408</f>
        <v>150000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157708.41</v>
      </c>
      <c r="H646" s="104">
        <f>L408</f>
        <v>157708.41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790291.30000000016</v>
      </c>
      <c r="H647" s="104">
        <f>L208+L226+L244</f>
        <v>790291.29999999993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413344.67000000004</v>
      </c>
      <c r="H648" s="104">
        <f>(J257+J338)-(J255+J336)</f>
        <v>413344.67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0</v>
      </c>
      <c r="H649" s="104">
        <f>H598</f>
        <v>0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790291.29999999993</v>
      </c>
      <c r="H651" s="104">
        <f>J598</f>
        <v>790291.30000000016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4719.1499999999996</v>
      </c>
      <c r="H652" s="104">
        <f>K263+K345</f>
        <v>4719.1499999999996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150000</v>
      </c>
      <c r="H655" s="104">
        <f>K266+K347</f>
        <v>150000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23242120.329999998</v>
      </c>
      <c r="I660" s="19">
        <f>SUM(F660:H660)</f>
        <v>23242120.329999998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410673.46</v>
      </c>
      <c r="I661" s="19">
        <f>SUM(F661:H661)</f>
        <v>410673.46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790291.29999999993</v>
      </c>
      <c r="I662" s="19">
        <f>SUM(F662:H662)</f>
        <v>790291.29999999993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2361011.06</v>
      </c>
      <c r="I663" s="19">
        <f>SUM(F663:H663)</f>
        <v>2361011.06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19680144.509999998</v>
      </c>
      <c r="I664" s="19">
        <f>I660-SUM(I661:I663)</f>
        <v>19680144.509999998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>
        <v>1035.82</v>
      </c>
      <c r="I665" s="19">
        <f>SUM(F665:H665)</f>
        <v>1035.82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18999.580000000002</v>
      </c>
      <c r="I667" s="19">
        <f>ROUND(I664/I665,2)</f>
        <v>18999.580000000002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-30.33</v>
      </c>
      <c r="I670" s="19">
        <f>SUM(F670:H670)</f>
        <v>-30.33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19572.689999999999</v>
      </c>
      <c r="I672" s="19">
        <f>ROUND((I664+I669)/(I665+I670),2)</f>
        <v>19572.689999999999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E11" sqref="E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WINNACUNNET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6242206.0499999998</v>
      </c>
      <c r="C9" s="229">
        <f>'DOE25'!G197+'DOE25'!G215+'DOE25'!G233+'DOE25'!G276+'DOE25'!G295+'DOE25'!G314</f>
        <v>2839734.02</v>
      </c>
    </row>
    <row r="10" spans="1:3" x14ac:dyDescent="0.2">
      <c r="A10" t="s">
        <v>773</v>
      </c>
      <c r="B10" s="240">
        <f>5807970.69+138241.16</f>
        <v>5946211.8500000006</v>
      </c>
      <c r="C10" s="240">
        <f>33616.13+2757637.35</f>
        <v>2791253.48</v>
      </c>
    </row>
    <row r="11" spans="1:3" x14ac:dyDescent="0.2">
      <c r="A11" t="s">
        <v>774</v>
      </c>
      <c r="B11" s="240">
        <v>51929</v>
      </c>
      <c r="C11" s="240">
        <f>10427.34</f>
        <v>10427.34</v>
      </c>
    </row>
    <row r="12" spans="1:3" x14ac:dyDescent="0.2">
      <c r="A12" t="s">
        <v>775</v>
      </c>
      <c r="B12" s="240">
        <f>80892.37+60525.5+15164.1+87483.23</f>
        <v>244065.2</v>
      </c>
      <c r="C12" s="240">
        <f>17319.29+12153.52+1319.28+7261.11</f>
        <v>38053.199999999997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6242206.0500000007</v>
      </c>
      <c r="C13" s="231">
        <f>SUM(C10:C12)</f>
        <v>2839734.02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1628201.9300000002</v>
      </c>
      <c r="C18" s="229">
        <f>'DOE25'!G198+'DOE25'!G216+'DOE25'!G234+'DOE25'!G277+'DOE25'!G296+'DOE25'!G315</f>
        <v>810502.56</v>
      </c>
    </row>
    <row r="19" spans="1:3" x14ac:dyDescent="0.2">
      <c r="A19" t="s">
        <v>773</v>
      </c>
      <c r="B19" s="240">
        <v>838858.66</v>
      </c>
      <c r="C19" s="240">
        <v>376535.68</v>
      </c>
    </row>
    <row r="20" spans="1:3" x14ac:dyDescent="0.2">
      <c r="A20" t="s">
        <v>774</v>
      </c>
      <c r="B20" s="240">
        <f>290152.14+2429+53455.35</f>
        <v>346036.49</v>
      </c>
      <c r="C20" s="240">
        <f>24123.4+203597.08</f>
        <v>227720.47999999998</v>
      </c>
    </row>
    <row r="21" spans="1:3" x14ac:dyDescent="0.2">
      <c r="A21" t="s">
        <v>775</v>
      </c>
      <c r="B21" s="240">
        <f>87638+306846.55+48822.23</f>
        <v>443306.77999999997</v>
      </c>
      <c r="C21" s="240">
        <f>24542.46+144977+36726.94</f>
        <v>206246.39999999999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1628201.93</v>
      </c>
      <c r="C22" s="231">
        <f>SUM(C19:C21)</f>
        <v>810502.55999999994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573032.08000000007</v>
      </c>
      <c r="C36" s="235">
        <f>'DOE25'!G200+'DOE25'!G218+'DOE25'!G236+'DOE25'!G279+'DOE25'!G298+'DOE25'!G317</f>
        <v>147762.84999999998</v>
      </c>
    </row>
    <row r="37" spans="1:3" x14ac:dyDescent="0.2">
      <c r="A37" t="s">
        <v>773</v>
      </c>
      <c r="B37" s="240">
        <v>54550</v>
      </c>
      <c r="C37" s="240">
        <v>4173.08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518482.08</v>
      </c>
      <c r="C39" s="240">
        <v>143589.76999999999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573032.08000000007</v>
      </c>
      <c r="C40" s="231">
        <f>SUM(C37:C39)</f>
        <v>147762.84999999998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WINNACUNNET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14546215.17</v>
      </c>
      <c r="D5" s="20">
        <f>SUM('DOE25'!L197:L200)+SUM('DOE25'!L215:L218)+SUM('DOE25'!L233:L236)-F5-G5</f>
        <v>14400439.359999999</v>
      </c>
      <c r="E5" s="243"/>
      <c r="F5" s="255">
        <f>SUM('DOE25'!J197:J200)+SUM('DOE25'!J215:J218)+SUM('DOE25'!J233:J236)</f>
        <v>102343.08</v>
      </c>
      <c r="G5" s="53">
        <f>SUM('DOE25'!K197:K200)+SUM('DOE25'!K215:K218)+SUM('DOE25'!K233:K236)</f>
        <v>43432.73</v>
      </c>
      <c r="H5" s="259"/>
    </row>
    <row r="6" spans="1:9" x14ac:dyDescent="0.2">
      <c r="A6" s="32">
        <v>2100</v>
      </c>
      <c r="B6" t="s">
        <v>795</v>
      </c>
      <c r="C6" s="245">
        <f t="shared" si="0"/>
        <v>1336713.04</v>
      </c>
      <c r="D6" s="20">
        <f>'DOE25'!L202+'DOE25'!L220+'DOE25'!L238-F6-G6</f>
        <v>1335784.04</v>
      </c>
      <c r="E6" s="243"/>
      <c r="F6" s="255">
        <f>'DOE25'!J202+'DOE25'!J220+'DOE25'!J238</f>
        <v>285</v>
      </c>
      <c r="G6" s="53">
        <f>'DOE25'!K202+'DOE25'!K220+'DOE25'!K238</f>
        <v>644</v>
      </c>
      <c r="H6" s="259"/>
    </row>
    <row r="7" spans="1:9" x14ac:dyDescent="0.2">
      <c r="A7" s="32">
        <v>2200</v>
      </c>
      <c r="B7" t="s">
        <v>828</v>
      </c>
      <c r="C7" s="245">
        <f t="shared" si="0"/>
        <v>1451105.22</v>
      </c>
      <c r="D7" s="20">
        <f>'DOE25'!L203+'DOE25'!L221+'DOE25'!L239-F7-G7</f>
        <v>1253534.49</v>
      </c>
      <c r="E7" s="243"/>
      <c r="F7" s="255">
        <f>'DOE25'!J203+'DOE25'!J221+'DOE25'!J239</f>
        <v>197570.73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387651.52000000014</v>
      </c>
      <c r="D8" s="243"/>
      <c r="E8" s="20">
        <f>'DOE25'!L204+'DOE25'!L222+'DOE25'!L240-F8-G8-D9-D11</f>
        <v>378475.12000000011</v>
      </c>
      <c r="F8" s="255">
        <f>'DOE25'!J204+'DOE25'!J222+'DOE25'!J240</f>
        <v>0</v>
      </c>
      <c r="G8" s="53">
        <f>'DOE25'!K204+'DOE25'!K222+'DOE25'!K240</f>
        <v>9176.4</v>
      </c>
      <c r="H8" s="259"/>
    </row>
    <row r="9" spans="1:9" x14ac:dyDescent="0.2">
      <c r="A9" s="32">
        <v>2310</v>
      </c>
      <c r="B9" t="s">
        <v>812</v>
      </c>
      <c r="C9" s="245">
        <f t="shared" si="0"/>
        <v>70724.81</v>
      </c>
      <c r="D9" s="244">
        <v>70724.81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12450</v>
      </c>
      <c r="D10" s="243"/>
      <c r="E10" s="244">
        <v>12450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196078.73</v>
      </c>
      <c r="D11" s="244">
        <v>196078.73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1150693.8400000001</v>
      </c>
      <c r="D12" s="20">
        <f>'DOE25'!L205+'DOE25'!L223+'DOE25'!L241-F12-G12</f>
        <v>1113713.99</v>
      </c>
      <c r="E12" s="243"/>
      <c r="F12" s="255">
        <f>'DOE25'!J205+'DOE25'!J223+'DOE25'!J241</f>
        <v>0</v>
      </c>
      <c r="G12" s="53">
        <f>'DOE25'!K205+'DOE25'!K223+'DOE25'!K241</f>
        <v>36979.85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2335874.83</v>
      </c>
      <c r="D14" s="20">
        <f>'DOE25'!L207+'DOE25'!L225+'DOE25'!L243-F14-G14</f>
        <v>2224507.92</v>
      </c>
      <c r="E14" s="243"/>
      <c r="F14" s="255">
        <f>'DOE25'!J207+'DOE25'!J225+'DOE25'!J243</f>
        <v>107571.90999999999</v>
      </c>
      <c r="G14" s="53">
        <f>'DOE25'!K207+'DOE25'!K225+'DOE25'!K243</f>
        <v>3795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790291.29999999993</v>
      </c>
      <c r="D15" s="20">
        <f>'DOE25'!L208+'DOE25'!L226+'DOE25'!L244-F15-G15</f>
        <v>790291.29999999993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1746.5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1746.5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118638.66</v>
      </c>
      <c r="D17" s="20">
        <f>'DOE25'!L251-F17-G17</f>
        <v>118638.66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112916</v>
      </c>
      <c r="D22" s="243"/>
      <c r="E22" s="243"/>
      <c r="F22" s="255">
        <f>'DOE25'!L255+'DOE25'!L336</f>
        <v>112916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1971658.5</v>
      </c>
      <c r="D25" s="243"/>
      <c r="E25" s="243"/>
      <c r="F25" s="258"/>
      <c r="G25" s="256"/>
      <c r="H25" s="257">
        <f>'DOE25'!L260+'DOE25'!L261+'DOE25'!L341+'DOE25'!L342</f>
        <v>1971658.5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282924.12000000005</v>
      </c>
      <c r="D29" s="20">
        <f>'DOE25'!L358+'DOE25'!L359+'DOE25'!L360-'DOE25'!I367-F29-G29</f>
        <v>277575.45</v>
      </c>
      <c r="E29" s="243"/>
      <c r="F29" s="255">
        <f>'DOE25'!J358+'DOE25'!J359+'DOE25'!J360</f>
        <v>3626.53</v>
      </c>
      <c r="G29" s="53">
        <f>'DOE25'!K358+'DOE25'!K359+'DOE25'!K360</f>
        <v>1722.14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507245.23</v>
      </c>
      <c r="D31" s="20">
        <f>'DOE25'!L290+'DOE25'!L309+'DOE25'!L328+'DOE25'!L333+'DOE25'!L334+'DOE25'!L335-F31-G31</f>
        <v>488105.63999999996</v>
      </c>
      <c r="E31" s="243"/>
      <c r="F31" s="255">
        <f>'DOE25'!J290+'DOE25'!J309+'DOE25'!J328+'DOE25'!J333+'DOE25'!J334+'DOE25'!J335</f>
        <v>5573.9499999999989</v>
      </c>
      <c r="G31" s="53">
        <f>'DOE25'!K290+'DOE25'!K309+'DOE25'!K328+'DOE25'!K333+'DOE25'!K334+'DOE25'!K335</f>
        <v>13565.64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22269394.389999997</v>
      </c>
      <c r="E33" s="246">
        <f>SUM(E5:E31)</f>
        <v>390925.12000000011</v>
      </c>
      <c r="F33" s="246">
        <f>SUM(F5:F31)</f>
        <v>529887.19999999995</v>
      </c>
      <c r="G33" s="246">
        <f>SUM(G5:G31)</f>
        <v>111062.26000000001</v>
      </c>
      <c r="H33" s="246">
        <f>SUM(H5:H31)</f>
        <v>1971658.5</v>
      </c>
    </row>
    <row r="35" spans="2:8" ht="12" thickBot="1" x14ac:dyDescent="0.25">
      <c r="B35" s="253" t="s">
        <v>841</v>
      </c>
      <c r="D35" s="254">
        <f>E33</f>
        <v>390925.12000000011</v>
      </c>
      <c r="E35" s="249"/>
    </row>
    <row r="36" spans="2:8" ht="12" thickTop="1" x14ac:dyDescent="0.2">
      <c r="B36" t="s">
        <v>809</v>
      </c>
      <c r="D36" s="20">
        <f>D33</f>
        <v>22269394.389999997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WINNACUNNET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782967.82</v>
      </c>
      <c r="D8" s="95">
        <f>'DOE25'!G9</f>
        <v>200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34833.75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411264.94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60119.21</v>
      </c>
      <c r="D11" s="95">
        <f>'DOE25'!G12</f>
        <v>1687.39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13104.62</v>
      </c>
      <c r="D12" s="95">
        <f>'DOE25'!G13</f>
        <v>4484.74</v>
      </c>
      <c r="E12" s="95">
        <f>'DOE25'!H13</f>
        <v>61958.41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21568.78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6253.13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11653.69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924247.86999999988</v>
      </c>
      <c r="D18" s="41">
        <f>SUM(D8:D17)</f>
        <v>12625.26</v>
      </c>
      <c r="E18" s="41">
        <f>SUM(E8:E17)</f>
        <v>61958.41</v>
      </c>
      <c r="F18" s="41">
        <f>SUM(F8:F17)</f>
        <v>0</v>
      </c>
      <c r="G18" s="41">
        <f>SUM(G8:G17)</f>
        <v>411264.94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61806.6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249622.94</v>
      </c>
      <c r="D23" s="95">
        <f>'DOE25'!G24</f>
        <v>2767.72</v>
      </c>
      <c r="E23" s="95">
        <f>'DOE25'!H24</f>
        <v>151.81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20918.68</v>
      </c>
      <c r="D27" s="95">
        <f>'DOE25'!G28</f>
        <v>92.16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4082.7199999999993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14577</v>
      </c>
      <c r="D29" s="95">
        <f>'DOE25'!G30</f>
        <v>9765.3799999999992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289201.33999999997</v>
      </c>
      <c r="D31" s="41">
        <f>SUM(D21:D30)</f>
        <v>12625.259999999998</v>
      </c>
      <c r="E31" s="41">
        <f>SUM(E21:E30)</f>
        <v>61958.409999999996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6253.13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11653.69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-6253.13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48274.080000000002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411264.94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23526.67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376592.09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635046.53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411264.94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924247.87</v>
      </c>
      <c r="D51" s="41">
        <f>D50+D31</f>
        <v>12625.259999999998</v>
      </c>
      <c r="E51" s="41">
        <f>E50+E31</f>
        <v>61958.409999999996</v>
      </c>
      <c r="F51" s="41">
        <f>F50+F31</f>
        <v>0</v>
      </c>
      <c r="G51" s="41">
        <f>G50+G31</f>
        <v>411264.94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18020925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9045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4973.99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7708.41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410673.46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68014.23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82033.22</v>
      </c>
      <c r="D62" s="130">
        <f>SUM(D57:D61)</f>
        <v>410673.46</v>
      </c>
      <c r="E62" s="130">
        <f>SUM(E57:E61)</f>
        <v>0</v>
      </c>
      <c r="F62" s="130">
        <f>SUM(F57:F61)</f>
        <v>0</v>
      </c>
      <c r="G62" s="130">
        <f>SUM(G57:G61)</f>
        <v>7708.41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18102958.219999999</v>
      </c>
      <c r="D63" s="22">
        <f>D56+D62</f>
        <v>410673.46</v>
      </c>
      <c r="E63" s="22">
        <f>E56+E62</f>
        <v>0</v>
      </c>
      <c r="F63" s="22">
        <f>F56+F62</f>
        <v>0</v>
      </c>
      <c r="G63" s="22">
        <f>G56+G62</f>
        <v>7708.41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400680.27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4496691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5211.1400000000003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4902582.4099999992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752339.17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511961.69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15251.6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3749.21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1279552.4600000002</v>
      </c>
      <c r="D78" s="130">
        <f>SUM(D72:D77)</f>
        <v>3749.21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6182134.8699999992</v>
      </c>
      <c r="D81" s="130">
        <f>SUM(D79:D80)+D78+D70</f>
        <v>3749.21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103640.94</v>
      </c>
      <c r="D88" s="95">
        <f>SUM('DOE25'!G153:G161)</f>
        <v>83481.399999999994</v>
      </c>
      <c r="E88" s="95">
        <f>SUM('DOE25'!H153:H161)</f>
        <v>507245.23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20250.97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103640.94</v>
      </c>
      <c r="D91" s="131">
        <f>SUM(D85:D90)</f>
        <v>103732.37</v>
      </c>
      <c r="E91" s="131">
        <f>SUM(E85:E90)</f>
        <v>507245.23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4719.1499999999996</v>
      </c>
      <c r="E96" s="95">
        <f>'DOE25'!H179</f>
        <v>0</v>
      </c>
      <c r="F96" s="95">
        <f>'DOE25'!I179</f>
        <v>0</v>
      </c>
      <c r="G96" s="95">
        <f>'DOE25'!J179</f>
        <v>150000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100000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100000</v>
      </c>
      <c r="D103" s="86">
        <f>SUM(D93:D102)</f>
        <v>4719.1499999999996</v>
      </c>
      <c r="E103" s="86">
        <f>SUM(E93:E102)</f>
        <v>0</v>
      </c>
      <c r="F103" s="86">
        <f>SUM(F93:F102)</f>
        <v>0</v>
      </c>
      <c r="G103" s="86">
        <f>SUM(G93:G102)</f>
        <v>150000</v>
      </c>
    </row>
    <row r="104" spans="1:7" ht="12.75" thickTop="1" thickBot="1" x14ac:dyDescent="0.25">
      <c r="A104" s="33" t="s">
        <v>759</v>
      </c>
      <c r="C104" s="86">
        <f>C63+C81+C91+C103</f>
        <v>24488734.029999997</v>
      </c>
      <c r="D104" s="86">
        <f>D63+D81+D91+D103</f>
        <v>522874.19000000006</v>
      </c>
      <c r="E104" s="86">
        <f>E63+E81+E91+E103</f>
        <v>507245.23</v>
      </c>
      <c r="F104" s="86">
        <f>F63+F81+F91+F103</f>
        <v>0</v>
      </c>
      <c r="G104" s="86">
        <f>G63+G81+G103</f>
        <v>157708.41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9122423.2199999988</v>
      </c>
      <c r="D109" s="24" t="s">
        <v>286</v>
      </c>
      <c r="E109" s="95">
        <f>('DOE25'!L276)+('DOE25'!L295)+('DOE25'!L314)</f>
        <v>172096.29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4210970.4400000004</v>
      </c>
      <c r="D110" s="24" t="s">
        <v>286</v>
      </c>
      <c r="E110" s="95">
        <f>('DOE25'!L277)+('DOE25'!L296)+('DOE25'!L315)</f>
        <v>215706.75999999998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199578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1013243.5100000001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118638.66</v>
      </c>
      <c r="D114" s="24" t="s">
        <v>286</v>
      </c>
      <c r="E114" s="95">
        <f>+ SUM('DOE25'!L333:L335)</f>
        <v>55094.05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14664853.83</v>
      </c>
      <c r="D115" s="86">
        <f>SUM(D109:D114)</f>
        <v>0</v>
      </c>
      <c r="E115" s="86">
        <f>SUM(E109:E114)</f>
        <v>442897.1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1336713.04</v>
      </c>
      <c r="D118" s="24" t="s">
        <v>286</v>
      </c>
      <c r="E118" s="95">
        <f>+('DOE25'!L281)+('DOE25'!L300)+('DOE25'!L319)</f>
        <v>5708.07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1451105.22</v>
      </c>
      <c r="D119" s="24" t="s">
        <v>286</v>
      </c>
      <c r="E119" s="95">
        <f>+('DOE25'!L282)+('DOE25'!L301)+('DOE25'!L320)</f>
        <v>49298.92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654455.06000000006</v>
      </c>
      <c r="D120" s="24" t="s">
        <v>286</v>
      </c>
      <c r="E120" s="95">
        <f>+('DOE25'!L283)+('DOE25'!L302)+('DOE25'!L321)</f>
        <v>9341.14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1150693.8400000001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2335874.83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790291.29999999993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1746.5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522874.19000000006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7720879.79</v>
      </c>
      <c r="D128" s="86">
        <f>SUM(D118:D127)</f>
        <v>522874.19000000006</v>
      </c>
      <c r="E128" s="86">
        <f>SUM(E118:E127)</f>
        <v>64348.13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112916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1385000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586658.5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100000</v>
      </c>
    </row>
    <row r="135" spans="1:7" x14ac:dyDescent="0.2">
      <c r="A135" t="s">
        <v>233</v>
      </c>
      <c r="B135" s="32" t="s">
        <v>234</v>
      </c>
      <c r="C135" s="95">
        <f>'DOE25'!L263</f>
        <v>4719.1499999999996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157708.41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-7708.4100000000035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2239293.65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100000</v>
      </c>
    </row>
    <row r="145" spans="1:9" ht="12.75" thickTop="1" thickBot="1" x14ac:dyDescent="0.25">
      <c r="A145" s="33" t="s">
        <v>244</v>
      </c>
      <c r="C145" s="86">
        <f>(C115+C128+C144)</f>
        <v>24625027.27</v>
      </c>
      <c r="D145" s="86">
        <f>(D115+D128+D144)</f>
        <v>522874.19000000006</v>
      </c>
      <c r="E145" s="86">
        <f>(E115+E128+E144)</f>
        <v>507245.23</v>
      </c>
      <c r="F145" s="86">
        <f>(F115+F128+F144)</f>
        <v>0</v>
      </c>
      <c r="G145" s="86">
        <f>(G115+G128+G144)</f>
        <v>100000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August 2004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August 2024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25484800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13260000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13260000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1971658.5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1971658.5</v>
      </c>
    </row>
    <row r="159" spans="1:9" x14ac:dyDescent="0.2">
      <c r="A159" s="22" t="s">
        <v>35</v>
      </c>
      <c r="B159" s="137">
        <f>'DOE25'!F498</f>
        <v>11875000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11875000</v>
      </c>
    </row>
    <row r="160" spans="1:9" x14ac:dyDescent="0.2">
      <c r="A160" s="22" t="s">
        <v>36</v>
      </c>
      <c r="B160" s="137">
        <f>'DOE25'!F499</f>
        <v>1927788.25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1927788.25</v>
      </c>
    </row>
    <row r="161" spans="1:7" x14ac:dyDescent="0.2">
      <c r="A161" s="22" t="s">
        <v>37</v>
      </c>
      <c r="B161" s="137">
        <f>'DOE25'!F500</f>
        <v>13802788.25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13802788.25</v>
      </c>
    </row>
    <row r="162" spans="1:7" x14ac:dyDescent="0.2">
      <c r="A162" s="22" t="s">
        <v>38</v>
      </c>
      <c r="B162" s="137">
        <f>'DOE25'!F501</f>
        <v>1460000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1460000</v>
      </c>
    </row>
    <row r="163" spans="1:7" x14ac:dyDescent="0.2">
      <c r="A163" s="22" t="s">
        <v>39</v>
      </c>
      <c r="B163" s="137">
        <f>'DOE25'!F502</f>
        <v>515533.5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515533.5</v>
      </c>
    </row>
    <row r="164" spans="1:7" x14ac:dyDescent="0.2">
      <c r="A164" s="22" t="s">
        <v>246</v>
      </c>
      <c r="B164" s="137">
        <f>'DOE25'!F503</f>
        <v>1975533.5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1975533.5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WINNACUNNET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19573</v>
      </c>
    </row>
    <row r="7" spans="1:4" x14ac:dyDescent="0.2">
      <c r="B7" t="s">
        <v>699</v>
      </c>
      <c r="C7" s="179">
        <f>IF('DOE25'!I665+'DOE25'!I670=0,0,ROUND('DOE25'!I672,0))</f>
        <v>19573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9294520</v>
      </c>
      <c r="D10" s="182">
        <f>ROUND((C10/$C$28)*100,1)</f>
        <v>39.4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4426677</v>
      </c>
      <c r="D11" s="182">
        <f>ROUND((C11/$C$28)*100,1)</f>
        <v>18.8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199578</v>
      </c>
      <c r="D12" s="182">
        <f>ROUND((C12/$C$28)*100,1)</f>
        <v>0.8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1013244</v>
      </c>
      <c r="D13" s="182">
        <f>ROUND((C13/$C$28)*100,1)</f>
        <v>4.3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1342421</v>
      </c>
      <c r="D15" s="182">
        <f t="shared" ref="D15:D27" si="0">ROUND((C15/$C$28)*100,1)</f>
        <v>5.7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1500404</v>
      </c>
      <c r="D16" s="182">
        <f t="shared" si="0"/>
        <v>6.4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665543</v>
      </c>
      <c r="D17" s="182">
        <f t="shared" si="0"/>
        <v>2.8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1150694</v>
      </c>
      <c r="D18" s="182">
        <f t="shared" si="0"/>
        <v>4.9000000000000004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2335875</v>
      </c>
      <c r="D20" s="182">
        <f t="shared" si="0"/>
        <v>9.9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790291</v>
      </c>
      <c r="D21" s="182">
        <f t="shared" si="0"/>
        <v>3.3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173733</v>
      </c>
      <c r="D24" s="182">
        <f t="shared" si="0"/>
        <v>0.7</v>
      </c>
    </row>
    <row r="25" spans="1:4" x14ac:dyDescent="0.2">
      <c r="A25">
        <v>5120</v>
      </c>
      <c r="B25" t="s">
        <v>714</v>
      </c>
      <c r="C25" s="179">
        <f>ROUND('DOE25'!L261+'DOE25'!L342,0)</f>
        <v>586659</v>
      </c>
      <c r="D25" s="182">
        <f t="shared" si="0"/>
        <v>2.5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112200.53999999998</v>
      </c>
      <c r="D27" s="182">
        <f t="shared" si="0"/>
        <v>0.5</v>
      </c>
    </row>
    <row r="28" spans="1:4" x14ac:dyDescent="0.2">
      <c r="B28" s="187" t="s">
        <v>717</v>
      </c>
      <c r="C28" s="180">
        <f>SUM(C10:C27)</f>
        <v>23591839.539999999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112916</v>
      </c>
    </row>
    <row r="30" spans="1:4" x14ac:dyDescent="0.2">
      <c r="B30" s="187" t="s">
        <v>723</v>
      </c>
      <c r="C30" s="180">
        <f>SUM(C28:C29)</f>
        <v>23704755.539999999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1385000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18020925</v>
      </c>
      <c r="D35" s="182">
        <f t="shared" ref="D35:D40" si="1">ROUND((C35/$C$41)*100,1)</f>
        <v>72.099999999999994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89741.629999998957</v>
      </c>
      <c r="D36" s="182">
        <f t="shared" si="1"/>
        <v>0.4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4897371</v>
      </c>
      <c r="D37" s="182">
        <f t="shared" si="1"/>
        <v>19.600000000000001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1288513</v>
      </c>
      <c r="D38" s="182">
        <f t="shared" si="1"/>
        <v>5.2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714619</v>
      </c>
      <c r="D39" s="182">
        <f t="shared" si="1"/>
        <v>2.9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25011169.629999999</v>
      </c>
      <c r="D41" s="184">
        <f>SUM(D35:D40)</f>
        <v>100.2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WINNACUNNET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2018-10-09T11:49:27Z</cp:lastPrinted>
  <dcterms:created xsi:type="dcterms:W3CDTF">1997-12-04T19:04:30Z</dcterms:created>
  <dcterms:modified xsi:type="dcterms:W3CDTF">2018-12-03T19:59:38Z</dcterms:modified>
</cp:coreProperties>
</file>