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5240" windowHeight="62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91" i="1" l="1"/>
  <c r="J595" i="1"/>
  <c r="I595" i="1"/>
  <c r="H595" i="1"/>
  <c r="I314" i="1" l="1"/>
  <c r="J314" i="1"/>
  <c r="F50" i="1" l="1"/>
  <c r="F109" i="1" l="1"/>
  <c r="I321" i="1" l="1"/>
  <c r="K317" i="1"/>
  <c r="H283" i="1" l="1"/>
  <c r="H281" i="1"/>
  <c r="H321" i="1"/>
  <c r="H319" i="1"/>
  <c r="H314" i="1"/>
  <c r="H300" i="1"/>
  <c r="H215" i="1"/>
  <c r="H110" i="1"/>
  <c r="H468" i="1" l="1"/>
  <c r="D28" i="14" l="1"/>
  <c r="A59" i="14" l="1"/>
  <c r="A55" i="14"/>
  <c r="A50" i="14"/>
  <c r="C42" i="14"/>
  <c r="A45" i="14"/>
  <c r="A41" i="14"/>
  <c r="A37" i="14"/>
  <c r="A31" i="14" l="1"/>
  <c r="A27" i="14"/>
  <c r="A21" i="14"/>
  <c r="A19" i="14"/>
  <c r="A12" i="14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L325" i="1"/>
  <c r="H662" i="1" s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I147" i="1"/>
  <c r="I162" i="1"/>
  <c r="L250" i="1"/>
  <c r="L332" i="1"/>
  <c r="E113" i="2" s="1"/>
  <c r="L254" i="1"/>
  <c r="L268" i="1"/>
  <c r="L269" i="1"/>
  <c r="C143" i="2" s="1"/>
  <c r="L349" i="1"/>
  <c r="C26" i="10" s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2" i="2"/>
  <c r="C113" i="2"/>
  <c r="D115" i="2"/>
  <c r="F115" i="2"/>
  <c r="G115" i="2"/>
  <c r="C119" i="2"/>
  <c r="C12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F461" i="1" s="1"/>
  <c r="H639" i="1" s="1"/>
  <c r="G452" i="1"/>
  <c r="H452" i="1"/>
  <c r="F460" i="1"/>
  <c r="G460" i="1"/>
  <c r="H460" i="1"/>
  <c r="H461" i="1" s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2" i="1"/>
  <c r="K593" i="1"/>
  <c r="K594" i="1"/>
  <c r="K595" i="1"/>
  <c r="K596" i="1"/>
  <c r="K597" i="1"/>
  <c r="I598" i="1"/>
  <c r="H650" i="1" s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1" i="1"/>
  <c r="J641" i="1" s="1"/>
  <c r="G643" i="1"/>
  <c r="G644" i="1"/>
  <c r="G645" i="1"/>
  <c r="G650" i="1"/>
  <c r="G652" i="1"/>
  <c r="H652" i="1"/>
  <c r="G653" i="1"/>
  <c r="H653" i="1"/>
  <c r="G654" i="1"/>
  <c r="H654" i="1"/>
  <c r="H655" i="1"/>
  <c r="D19" i="13"/>
  <c r="C19" i="13" s="1"/>
  <c r="I169" i="1"/>
  <c r="J476" i="1"/>
  <c r="H626" i="1" s="1"/>
  <c r="J140" i="1"/>
  <c r="G22" i="2"/>
  <c r="J552" i="1"/>
  <c r="H140" i="1"/>
  <c r="H192" i="1"/>
  <c r="E16" i="13"/>
  <c r="C16" i="13" s="1"/>
  <c r="L570" i="1"/>
  <c r="J643" i="1" l="1"/>
  <c r="H571" i="1"/>
  <c r="L256" i="1"/>
  <c r="F571" i="1"/>
  <c r="K571" i="1"/>
  <c r="H476" i="1"/>
  <c r="H624" i="1" s="1"/>
  <c r="J624" i="1" s="1"/>
  <c r="I476" i="1"/>
  <c r="H625" i="1" s="1"/>
  <c r="I446" i="1"/>
  <c r="G642" i="1" s="1"/>
  <c r="L433" i="1"/>
  <c r="L419" i="1"/>
  <c r="G161" i="2"/>
  <c r="E103" i="2"/>
  <c r="D81" i="2"/>
  <c r="D62" i="2"/>
  <c r="D63" i="2" s="1"/>
  <c r="F130" i="2"/>
  <c r="F144" i="2" s="1"/>
  <c r="F145" i="2" s="1"/>
  <c r="I571" i="1"/>
  <c r="G476" i="1"/>
  <c r="H623" i="1" s="1"/>
  <c r="I460" i="1"/>
  <c r="L427" i="1"/>
  <c r="L270" i="1"/>
  <c r="G164" i="2"/>
  <c r="G156" i="2"/>
  <c r="G157" i="2"/>
  <c r="D18" i="2"/>
  <c r="G81" i="2"/>
  <c r="F78" i="2"/>
  <c r="F81" i="2" s="1"/>
  <c r="D31" i="2"/>
  <c r="E31" i="2"/>
  <c r="F18" i="2"/>
  <c r="D18" i="13"/>
  <c r="C18" i="13" s="1"/>
  <c r="D17" i="13"/>
  <c r="C17" i="13" s="1"/>
  <c r="D50" i="2"/>
  <c r="A31" i="12"/>
  <c r="L560" i="1"/>
  <c r="E125" i="2"/>
  <c r="E122" i="2"/>
  <c r="L328" i="1"/>
  <c r="E124" i="2"/>
  <c r="E119" i="2"/>
  <c r="F338" i="1"/>
  <c r="F352" i="1" s="1"/>
  <c r="C19" i="10"/>
  <c r="F112" i="1"/>
  <c r="G461" i="1"/>
  <c r="H640" i="1" s="1"/>
  <c r="J640" i="1" s="1"/>
  <c r="E81" i="2"/>
  <c r="I408" i="1"/>
  <c r="H112" i="1"/>
  <c r="L565" i="1"/>
  <c r="L571" i="1" s="1"/>
  <c r="E121" i="2"/>
  <c r="G338" i="1"/>
  <c r="G352" i="1" s="1"/>
  <c r="G662" i="1"/>
  <c r="E123" i="2"/>
  <c r="E112" i="2"/>
  <c r="H338" i="1"/>
  <c r="H352" i="1" s="1"/>
  <c r="C10" i="10"/>
  <c r="E120" i="2"/>
  <c r="E118" i="2"/>
  <c r="L309" i="1"/>
  <c r="C11" i="10"/>
  <c r="K338" i="1"/>
  <c r="K352" i="1" s="1"/>
  <c r="E110" i="2"/>
  <c r="J651" i="1"/>
  <c r="J655" i="1"/>
  <c r="K500" i="1"/>
  <c r="L401" i="1"/>
  <c r="C139" i="2" s="1"/>
  <c r="H408" i="1"/>
  <c r="H644" i="1" s="1"/>
  <c r="J644" i="1" s="1"/>
  <c r="G408" i="1"/>
  <c r="H645" i="1" s="1"/>
  <c r="J645" i="1" s="1"/>
  <c r="L393" i="1"/>
  <c r="C138" i="2" s="1"/>
  <c r="H25" i="13"/>
  <c r="C132" i="2"/>
  <c r="H169" i="1"/>
  <c r="H552" i="1"/>
  <c r="L534" i="1"/>
  <c r="K551" i="1"/>
  <c r="I545" i="1"/>
  <c r="G552" i="1"/>
  <c r="H545" i="1"/>
  <c r="J545" i="1"/>
  <c r="K545" i="1"/>
  <c r="G545" i="1"/>
  <c r="F552" i="1"/>
  <c r="K550" i="1"/>
  <c r="J634" i="1"/>
  <c r="L362" i="1"/>
  <c r="C27" i="10" s="1"/>
  <c r="G661" i="1"/>
  <c r="D127" i="2"/>
  <c r="D128" i="2" s="1"/>
  <c r="D145" i="2" s="1"/>
  <c r="I452" i="1"/>
  <c r="I461" i="1" s="1"/>
  <c r="H642" i="1" s="1"/>
  <c r="J642" i="1" s="1"/>
  <c r="H52" i="1"/>
  <c r="H619" i="1" s="1"/>
  <c r="J619" i="1" s="1"/>
  <c r="F476" i="1"/>
  <c r="H622" i="1" s="1"/>
  <c r="J622" i="1" s="1"/>
  <c r="J617" i="1"/>
  <c r="C12" i="10"/>
  <c r="C123" i="2"/>
  <c r="L247" i="1"/>
  <c r="J257" i="1"/>
  <c r="J271" i="1" s="1"/>
  <c r="C21" i="10"/>
  <c r="I257" i="1"/>
  <c r="I271" i="1" s="1"/>
  <c r="C110" i="2"/>
  <c r="G257" i="1"/>
  <c r="G271" i="1" s="1"/>
  <c r="C16" i="10"/>
  <c r="C118" i="2"/>
  <c r="A40" i="12"/>
  <c r="L229" i="1"/>
  <c r="F257" i="1"/>
  <c r="F271" i="1" s="1"/>
  <c r="K257" i="1"/>
  <c r="K271" i="1" s="1"/>
  <c r="D5" i="13"/>
  <c r="C5" i="13" s="1"/>
  <c r="D14" i="13"/>
  <c r="C14" i="13" s="1"/>
  <c r="D12" i="13"/>
  <c r="C12" i="13" s="1"/>
  <c r="E8" i="13"/>
  <c r="C8" i="13" s="1"/>
  <c r="D7" i="13"/>
  <c r="C7" i="13" s="1"/>
  <c r="C17" i="10"/>
  <c r="H257" i="1"/>
  <c r="H271" i="1" s="1"/>
  <c r="C20" i="10"/>
  <c r="C18" i="10"/>
  <c r="L211" i="1"/>
  <c r="A13" i="12"/>
  <c r="J623" i="1"/>
  <c r="C91" i="2"/>
  <c r="C78" i="2"/>
  <c r="C70" i="2"/>
  <c r="C18" i="2"/>
  <c r="J625" i="1"/>
  <c r="L290" i="1"/>
  <c r="E109" i="2"/>
  <c r="C62" i="2"/>
  <c r="E57" i="2"/>
  <c r="E62" i="2" s="1"/>
  <c r="E63" i="2" s="1"/>
  <c r="F661" i="1"/>
  <c r="C15" i="10"/>
  <c r="K549" i="1"/>
  <c r="E13" i="13"/>
  <c r="C13" i="13" s="1"/>
  <c r="D6" i="13"/>
  <c r="C6" i="13" s="1"/>
  <c r="D15" i="13"/>
  <c r="C15" i="13" s="1"/>
  <c r="G649" i="1"/>
  <c r="L544" i="1"/>
  <c r="L524" i="1"/>
  <c r="J338" i="1"/>
  <c r="J352" i="1" s="1"/>
  <c r="E130" i="2"/>
  <c r="C124" i="2"/>
  <c r="C122" i="2"/>
  <c r="C120" i="2"/>
  <c r="C111" i="2"/>
  <c r="C56" i="2"/>
  <c r="F662" i="1"/>
  <c r="C13" i="10"/>
  <c r="C81" i="2"/>
  <c r="D29" i="13"/>
  <c r="C29" i="13" s="1"/>
  <c r="L539" i="1"/>
  <c r="K503" i="1"/>
  <c r="L382" i="1"/>
  <c r="G636" i="1" s="1"/>
  <c r="J636" i="1" s="1"/>
  <c r="C29" i="10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F51" i="2" l="1"/>
  <c r="H660" i="1"/>
  <c r="H664" i="1" s="1"/>
  <c r="H667" i="1" s="1"/>
  <c r="I662" i="1"/>
  <c r="I661" i="1"/>
  <c r="E128" i="2"/>
  <c r="G660" i="1"/>
  <c r="G664" i="1" s="1"/>
  <c r="E115" i="2"/>
  <c r="L408" i="1"/>
  <c r="C141" i="2"/>
  <c r="C144" i="2" s="1"/>
  <c r="G104" i="2"/>
  <c r="C25" i="13"/>
  <c r="H33" i="13"/>
  <c r="E104" i="2"/>
  <c r="K552" i="1"/>
  <c r="G635" i="1"/>
  <c r="J635" i="1" s="1"/>
  <c r="G51" i="2"/>
  <c r="H648" i="1"/>
  <c r="J648" i="1" s="1"/>
  <c r="C115" i="2"/>
  <c r="L257" i="1"/>
  <c r="L271" i="1" s="1"/>
  <c r="G632" i="1" s="1"/>
  <c r="J632" i="1" s="1"/>
  <c r="F660" i="1"/>
  <c r="F664" i="1" s="1"/>
  <c r="C128" i="2"/>
  <c r="C28" i="10"/>
  <c r="D23" i="10" s="1"/>
  <c r="E33" i="13"/>
  <c r="D35" i="13" s="1"/>
  <c r="C63" i="2"/>
  <c r="C104" i="2" s="1"/>
  <c r="L545" i="1"/>
  <c r="D31" i="13"/>
  <c r="C31" i="13" s="1"/>
  <c r="L338" i="1"/>
  <c r="L352" i="1" s="1"/>
  <c r="G633" i="1" s="1"/>
  <c r="J633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E145" i="2"/>
  <c r="G672" i="1"/>
  <c r="C5" i="10" s="1"/>
  <c r="G667" i="1"/>
  <c r="D33" i="13"/>
  <c r="D36" i="13" s="1"/>
  <c r="G637" i="1"/>
  <c r="J637" i="1" s="1"/>
  <c r="H646" i="1"/>
  <c r="J646" i="1" s="1"/>
  <c r="C145" i="2"/>
  <c r="I660" i="1"/>
  <c r="I664" i="1" s="1"/>
  <c r="I672" i="1" s="1"/>
  <c r="C7" i="10" s="1"/>
  <c r="D20" i="10"/>
  <c r="D15" i="10"/>
  <c r="D27" i="10"/>
  <c r="D25" i="10"/>
  <c r="D19" i="10"/>
  <c r="D13" i="10"/>
  <c r="D11" i="10"/>
  <c r="D21" i="10"/>
  <c r="D22" i="10"/>
  <c r="D18" i="10"/>
  <c r="D17" i="10"/>
  <c r="D12" i="10"/>
  <c r="D24" i="10"/>
  <c r="D10" i="10"/>
  <c r="D26" i="10"/>
  <c r="C30" i="10"/>
  <c r="D16" i="10"/>
  <c r="F672" i="1"/>
  <c r="C4" i="10" s="1"/>
  <c r="F667" i="1"/>
  <c r="C41" i="10"/>
  <c r="D38" i="10" s="1"/>
  <c r="I667" i="1" l="1"/>
  <c r="D28" i="10"/>
  <c r="D37" i="10"/>
  <c r="D36" i="10"/>
  <c r="D35" i="10"/>
  <c r="D40" i="10"/>
  <c r="D39" i="10"/>
  <c r="D41" i="10" l="1"/>
  <c r="K591" i="1"/>
  <c r="K598" i="1" s="1"/>
  <c r="G647" i="1" s="1"/>
  <c r="J647" i="1" s="1"/>
  <c r="H598" i="1"/>
  <c r="H649" i="1" s="1"/>
  <c r="J649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<sst xmlns="http://schemas.openxmlformats.org/spreadsheetml/2006/main" count="3961" uniqueCount="917">
  <si>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</si>
  <si>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</si>
  <si>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</si>
  <si>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</si>
  <si>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</si>
  <si>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</si>
  <si>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</si>
  <si>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</si>
  <si>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</si>
  <si>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</si>
  <si>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</si>
  <si>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</si>
  <si>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</si>
  <si>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</si>
  <si>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</si>
  <si>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</si>
  <si>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</si>
  <si>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</si>
  <si>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</si>
  <si>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</si>
  <si>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</si>
  <si>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</si>
  <si>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</si>
  <si>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</si>
  <si>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</si>
  <si>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</si>
  <si>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</si>
  <si>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</si>
  <si>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</si>
  <si>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</si>
  <si>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</si>
  <si>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</si>
  <si>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</si>
  <si>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</si>
  <si>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</si>
  <si>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</si>
  <si>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</si>
  <si>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</si>
  <si>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</si>
  <si>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</si>
  <si>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</si>
  <si>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</si>
  <si>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</si>
  <si>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</si>
  <si>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</si>
  <si>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</si>
  <si>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</si>
  <si>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</si>
  <si>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</si>
  <si>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</si>
  <si>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</si>
  <si>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</si>
  <si>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</si>
  <si>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</si>
  <si>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</si>
  <si>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</si>
  <si>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</si>
  <si>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</si>
  <si>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</si>
  <si>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</si>
  <si>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</si>
  <si>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</si>
  <si>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</si>
  <si>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</si>
  <si>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</si>
  <si>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</si>
  <si>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</si>
  <si>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</si>
  <si>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</si>
  <si>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</si>
  <si>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</si>
  <si>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</si>
  <si>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</si>
  <si>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</si>
  <si>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</si>
  <si>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</si>
  <si>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</si>
  <si>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</si>
  <si>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</si>
  <si>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</si>
  <si>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</si>
  <si>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</si>
  <si>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</si>
  <si>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</si>
  <si>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</si>
  <si>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</si>
  <si>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</si>
  <si>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</si>
  <si>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</si>
  <si>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</si>
  <si>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</si>
  <si>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</si>
  <si>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</si>
  <si>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</si>
  <si>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</si>
  <si>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</si>
  <si>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</si>
  <si>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</si>
  <si>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</si>
  <si>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</si>
  <si>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</si>
  <si>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</si>
  <si>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</si>
  <si>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</si>
  <si>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</si>
  <si>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</si>
  <si>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</si>
  <si>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</si>
  <si>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</si>
  <si>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</si>
  <si>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</si>
  <si>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</si>
  <si>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</si>
  <si>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</si>
  <si>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</si>
  <si>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</si>
  <si>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</si>
  <si>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</si>
  <si>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</si>
  <si>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</si>
  <si>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</si>
  <si>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</si>
  <si>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</si>
  <si>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</si>
  <si>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</si>
  <si>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</si>
  <si>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</si>
  <si>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</si>
  <si>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</si>
  <si>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</si>
  <si>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</si>
  <si>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</si>
  <si>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</si>
  <si>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</si>
  <si>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</si>
  <si>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</si>
  <si>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</si>
  <si>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</si>
  <si>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</si>
  <si>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</si>
  <si>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</si>
  <si>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</si>
  <si>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</si>
  <si>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</si>
  <si>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</si>
  <si>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</si>
  <si>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</si>
  <si>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</si>
  <si>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</si>
  <si>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</si>
  <si>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</si>
  <si>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</si>
  <si>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</si>
  <si>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</si>
  <si>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</si>
  <si>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</si>
  <si>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</si>
  <si>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</si>
  <si>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</si>
  <si>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</si>
  <si>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</si>
  <si>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</si>
  <si>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</si>
  <si>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</si>
  <si>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</si>
  <si>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</si>
  <si>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</si>
  <si>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</si>
  <si>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</si>
  <si>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</si>
  <si>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</si>
  <si>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</si>
  <si>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</si>
  <si>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</si>
  <si>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</si>
  <si>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</si>
  <si>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</si>
  <si>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</si>
  <si>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</si>
  <si>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</si>
  <si>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</si>
  <si>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</si>
  <si>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</si>
  <si>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</si>
  <si>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</si>
  <si>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</si>
  <si>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</si>
  <si>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</si>
  <si>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</si>
  <si>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</si>
  <si>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</si>
  <si>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</si>
  <si>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</si>
  <si>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</si>
  <si>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</si>
  <si>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</si>
  <si>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</si>
  <si>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</si>
  <si>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</si>
  <si>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</si>
  <si>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</si>
  <si>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</si>
  <si>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</si>
  <si>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</si>
  <si>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</si>
  <si>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</si>
  <si>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</si>
  <si>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</si>
  <si>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</si>
  <si>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</si>
  <si>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</si>
  <si>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</si>
  <si>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</si>
  <si>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</si>
  <si>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</si>
  <si>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</si>
  <si>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</si>
  <si>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</si>
  <si>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</si>
  <si>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</si>
  <si>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</si>
  <si>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</si>
  <si>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</si>
  <si>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</si>
  <si>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</si>
  <si>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</si>
  <si>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</si>
  <si>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</si>
  <si>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</si>
  <si>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</si>
  <si>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</si>
  <si>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</si>
  <si>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</si>
  <si>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</si>
  <si>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</si>
  <si>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</si>
  <si>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</si>
  <si>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</si>
  <si>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</si>
  <si>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</si>
  <si>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</si>
  <si>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</si>
  <si>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</si>
  <si>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</si>
  <si>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</si>
  <si>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</si>
  <si>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</si>
  <si>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</si>
  <si>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</si>
  <si>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</si>
  <si>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</si>
  <si>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</si>
  <si>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</si>
  <si>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</si>
  <si>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</si>
  <si>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</si>
  <si>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</si>
  <si>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</si>
  <si>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</si>
  <si>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</si>
  <si>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</si>
  <si>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</si>
  <si>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</si>
  <si>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</si>
  <si>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</si>
  <si>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</si>
  <si>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</si>
  <si>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</si>
  <si>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</si>
  <si>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</si>
  <si>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</si>
  <si>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</si>
  <si>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</si>
  <si>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</si>
  <si>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</si>
  <si>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</si>
  <si>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</si>
  <si>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</si>
  <si>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</si>
  <si>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</si>
  <si>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</si>
  <si>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</si>
  <si>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</si>
  <si>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</si>
  <si>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</si>
  <si>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</si>
  <si>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</si>
  <si>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</si>
  <si>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</si>
  <si>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</si>
  <si>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</si>
  <si>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</si>
  <si>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</si>
  <si>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</si>
  <si>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</si>
  <si>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</si>
  <si>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</si>
  <si>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</si>
  <si>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</si>
  <si>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</si>
  <si>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</si>
  <si>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</si>
  <si>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</si>
  <si>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</si>
  <si>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</si>
  <si>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</si>
  <si>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</si>
  <si>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</si>
  <si>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</si>
  <si>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</si>
  <si>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</si>
  <si>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</si>
  <si>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</si>
  <si>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</si>
  <si>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</si>
  <si>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</si>
  <si>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</si>
  <si>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</si>
  <si>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</si>
  <si>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</si>
  <si>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</si>
  <si>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</si>
  <si>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</si>
  <si>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</si>
  <si>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</si>
  <si>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</si>
  <si>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</si>
  <si>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</si>
  <si>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</si>
  <si>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</si>
  <si>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</si>
  <si>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</si>
  <si>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</si>
  <si>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</si>
  <si>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</si>
  <si>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</si>
  <si>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</si>
  <si>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</si>
  <si>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</si>
  <si>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</si>
  <si>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</si>
  <si>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</si>
  <si>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</si>
  <si>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</si>
  <si>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</si>
  <si>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</si>
  <si>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</si>
  <si>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</si>
  <si>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</si>
  <si>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</si>
  <si>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</si>
  <si>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</si>
  <si>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</si>
  <si>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</si>
  <si>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</si>
  <si>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</si>
  <si>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</si>
  <si>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</si>
  <si>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</si>
  <si>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</si>
  <si>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</si>
  <si>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</si>
  <si>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</si>
  <si>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</si>
  <si>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</si>
  <si>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</si>
  <si>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</si>
  <si>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</si>
  <si>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</si>
  <si>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</si>
  <si>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</si>
  <si>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</si>
  <si>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</si>
  <si>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</si>
  <si>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</si>
  <si>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</si>
  <si>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</si>
  <si>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</si>
  <si>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</si>
  <si>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</si>
  <si>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</si>
  <si>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</si>
  <si>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</si>
  <si>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</si>
  <si>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</si>
  <si>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</si>
  <si>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</si>
  <si>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</si>
  <si>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</si>
  <si>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</si>
  <si>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</si>
  <si>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</si>
  <si>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</si>
  <si>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</si>
  <si>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</si>
  <si>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</si>
  <si>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</si>
  <si>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</si>
  <si>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</si>
  <si>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</si>
  <si>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</si>
  <si>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</si>
  <si>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</si>
  <si>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</si>
  <si>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</si>
  <si>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</si>
  <si>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</si>
  <si>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</si>
  <si>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</si>
  <si>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</si>
  <si>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</si>
  <si>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</si>
  <si>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</si>
  <si>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</si>
  <si>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</si>
  <si>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</si>
  <si>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</si>
  <si>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</si>
  <si>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</si>
  <si>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</si>
  <si>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</si>
  <si>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</si>
  <si>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</si>
  <si>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</si>
  <si>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</si>
  <si>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</si>
  <si>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</si>
  <si>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</si>
  <si>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</si>
  <si>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</si>
  <si>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</si>
  <si>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</si>
  <si>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</si>
  <si>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</si>
  <si>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</si>
  <si>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</si>
  <si>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</si>
  <si>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</si>
  <si>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</si>
  <si>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</si>
  <si>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</si>
  <si>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</si>
  <si>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</si>
  <si>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</si>
  <si>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</si>
  <si>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</si>
  <si>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</si>
  <si>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</si>
  <si>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</si>
  <si>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</si>
  <si>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</si>
  <si>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</si>
  <si>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</si>
  <si>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</si>
  <si>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</si>
  <si>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</si>
  <si>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</si>
  <si>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</si>
  <si>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</si>
  <si>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</si>
  <si>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</si>
  <si>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</si>
  <si>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</si>
  <si>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</si>
  <si>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</si>
  <si>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</si>
  <si>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</si>
  <si>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</si>
  <si>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</si>
  <si>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</si>
  <si>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</si>
  <si>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</si>
  <si>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</si>
  <si>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</si>
  <si>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</si>
  <si>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</si>
  <si>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</si>
  <si>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</si>
  <si>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</si>
  <si>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</si>
  <si>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</si>
  <si>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</si>
  <si>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</si>
  <si>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</si>
  <si>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</si>
  <si>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</si>
  <si>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</si>
  <si>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</si>
  <si>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</si>
  <si>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</si>
  <si>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</si>
  <si>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</si>
  <si>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</si>
  <si>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</si>
  <si>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</si>
  <si>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</si>
  <si>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</si>
  <si>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</si>
  <si>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</si>
  <si>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</si>
  <si>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</si>
  <si>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</si>
  <si>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</si>
  <si>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</si>
  <si>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</si>
  <si>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</si>
  <si>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</si>
  <si>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</si>
  <si>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</si>
  <si>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</si>
  <si>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</si>
  <si>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</si>
  <si>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</si>
  <si>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</si>
  <si>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</si>
  <si>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</si>
  <si>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</si>
  <si>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</si>
  <si>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</si>
  <si>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</si>
  <si>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</si>
  <si>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</si>
  <si>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</si>
  <si>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</si>
  <si>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</si>
  <si>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</si>
  <si>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</si>
  <si>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</si>
  <si>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</si>
  <si>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</si>
  <si>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</si>
  <si>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</si>
  <si>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</si>
  <si>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</si>
  <si>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</si>
  <si>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</si>
  <si>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</si>
  <si>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</si>
  <si>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</si>
  <si>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</si>
  <si>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</si>
  <si>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</si>
  <si>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</si>
  <si>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</si>
  <si>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</si>
  <si>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</si>
  <si>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</si>
  <si>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</si>
  <si>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</si>
  <si>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</si>
  <si>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</si>
  <si>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</si>
  <si>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</si>
  <si>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</si>
  <si>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</si>
  <si>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</si>
  <si>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</si>
  <si>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</si>
  <si>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</si>
  <si>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</si>
  <si>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</si>
  <si>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</si>
  <si>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</si>
  <si>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</si>
  <si>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</si>
  <si>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</si>
  <si>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</si>
  <si>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</si>
  <si>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</si>
  <si>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</si>
  <si>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</si>
  <si>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</si>
  <si>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</si>
  <si>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</si>
  <si>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</si>
  <si>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</si>
  <si>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</si>
  <si>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</si>
  <si>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</si>
  <si>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</si>
  <si>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</si>
  <si>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</si>
  <si>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</si>
  <si>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</si>
  <si>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</si>
  <si>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</si>
  <si>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</si>
  <si>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</si>
  <si>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</si>
  <si>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</si>
  <si>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</si>
  <si>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</si>
  <si>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</si>
  <si>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</si>
  <si>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</si>
  <si>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</si>
  <si>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</si>
  <si>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</si>
  <si>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</si>
  <si>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</si>
  <si>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</si>
  <si>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</si>
  <si>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</si>
  <si>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</si>
  <si>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</si>
  <si>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</si>
  <si>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</si>
  <si>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</si>
  <si>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</si>
  <si>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</si>
  <si>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</si>
  <si>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</si>
  <si>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</si>
  <si>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</si>
  <si>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</si>
  <si>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</si>
  <si>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</si>
  <si>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</si>
  <si>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</si>
  <si>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</si>
  <si>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</si>
  <si>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</si>
  <si>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</si>
  <si>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</si>
  <si>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</si>
  <si>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</si>
  <si>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</si>
  <si>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</si>
  <si>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</si>
  <si>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</si>
  <si>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</si>
  <si>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</si>
  <si>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</si>
  <si>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</si>
  <si>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</si>
  <si>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</si>
  <si>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</si>
  <si>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</si>
  <si>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</si>
  <si>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</si>
  <si>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</si>
  <si>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</si>
  <si>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</si>
  <si>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</si>
  <si>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</si>
  <si>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</si>
  <si>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</si>
  <si>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</si>
  <si>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</si>
  <si>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</si>
  <si>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</si>
  <si>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</si>
  <si>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</si>
  <si>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</si>
  <si>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</si>
  <si>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</si>
  <si>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</si>
  <si>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</si>
  <si>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</si>
  <si>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</si>
  <si>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</si>
  <si>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</si>
  <si>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</si>
  <si>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</si>
  <si>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</si>
  <si>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</si>
  <si>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</si>
  <si>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</si>
  <si>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</si>
  <si>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</si>
  <si>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</si>
  <si>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</si>
  <si>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</si>
  <si>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</si>
  <si>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</si>
  <si>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</si>
  <si>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</si>
  <si>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</si>
  <si>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</si>
  <si>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</si>
  <si>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</si>
  <si>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</si>
  <si>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</si>
  <si>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</si>
  <si>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</si>
  <si>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</si>
  <si>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</si>
  <si>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</si>
  <si>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</si>
  <si>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</si>
  <si>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</si>
  <si>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</si>
  <si>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</si>
  <si>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</si>
  <si>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</si>
  <si>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</si>
  <si>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</si>
  <si>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</si>
  <si>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</si>
  <si>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</si>
  <si>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</si>
  <si>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</si>
  <si>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</si>
  <si>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</si>
  <si>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</si>
  <si>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</si>
  <si>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</si>
  <si>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</si>
  <si>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</si>
  <si>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</si>
  <si>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</si>
  <si>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</si>
  <si>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</si>
  <si>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</si>
  <si>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</si>
  <si>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</si>
  <si>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</si>
  <si>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</si>
  <si>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</si>
  <si>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</si>
  <si>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</si>
  <si>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</si>
  <si>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</si>
  <si>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</si>
  <si>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</si>
  <si>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</si>
  <si>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</si>
  <si>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</si>
  <si>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</si>
  <si>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</si>
  <si>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</si>
  <si>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</si>
  <si>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</si>
  <si>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</si>
  <si>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</si>
  <si>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</si>
  <si>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</si>
  <si>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</si>
  <si>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</si>
  <si>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</si>
  <si>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</si>
  <si>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</si>
  <si>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</si>
  <si>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</si>
  <si>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</si>
  <si>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</si>
  <si>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</si>
  <si>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</si>
  <si>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</si>
  <si>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</si>
  <si>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</si>
  <si>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</si>
  <si>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</si>
  <si>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</si>
  <si>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</si>
  <si>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</si>
  <si>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</si>
  <si>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</si>
  <si>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</si>
  <si>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</si>
  <si>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</si>
  <si>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</si>
  <si>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</si>
  <si>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</si>
  <si>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</si>
  <si>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</si>
  <si>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</si>
  <si>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</si>
  <si>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</si>
  <si>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</si>
  <si>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</si>
  <si>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</si>
  <si>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</si>
  <si>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</si>
  <si>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</si>
  <si>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</si>
  <si>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</si>
  <si>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</si>
  <si>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</si>
  <si>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</si>
  <si>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</si>
  <si>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</si>
  <si>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</si>
  <si>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</si>
  <si>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</si>
  <si>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</si>
  <si>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</si>
  <si>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</si>
  <si>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</si>
  <si>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</si>
  <si>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</si>
  <si>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</si>
  <si>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</si>
  <si>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</si>
  <si>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</si>
  <si>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</si>
  <si>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</si>
  <si>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</si>
  <si>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</si>
  <si>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</si>
  <si>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</si>
  <si>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</si>
  <si>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</si>
  <si>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</si>
  <si>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</si>
  <si>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</si>
  <si>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</si>
  <si>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</si>
  <si>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</si>
  <si>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</si>
  <si>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</si>
  <si>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</si>
  <si>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</si>
  <si>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</si>
  <si>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</si>
  <si>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</si>
  <si>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</si>
  <si>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</si>
  <si>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</si>
  <si>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</si>
  <si>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</si>
  <si>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</si>
  <si>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</si>
  <si>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</si>
  <si>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</si>
  <si>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</si>
  <si>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</si>
  <si>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</si>
  <si>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</si>
  <si>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</si>
  <si>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</si>
  <si>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</si>
  <si>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</si>
  <si>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</si>
  <si>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</si>
  <si>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</si>
  <si>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</si>
  <si>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</si>
  <si>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</si>
  <si>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</si>
  <si>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</si>
  <si>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</si>
  <si>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</si>
  <si>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</si>
  <si>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</si>
  <si>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</si>
  <si>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</si>
  <si>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</si>
  <si>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</si>
  <si>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</si>
  <si>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</si>
  <si>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</si>
  <si>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</si>
  <si>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</si>
  <si>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</si>
  <si>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</si>
  <si>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</si>
  <si>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</si>
  <si>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</si>
  <si>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</si>
  <si>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</si>
  <si>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</si>
  <si>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</si>
  <si>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</si>
  <si>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</si>
  <si>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</si>
  <si>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</si>
  <si>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</si>
  <si>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</si>
  <si>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</si>
  <si>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</si>
  <si>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</si>
  <si>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</si>
  <si>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</si>
  <si>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</si>
  <si>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</si>
  <si>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</si>
  <si>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</si>
  <si>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</si>
  <si>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</si>
  <si>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</si>
  <si>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</si>
  <si>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</si>
  <si>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</si>
  <si>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</si>
  <si>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</si>
  <si>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</si>
  <si>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</si>
  <si>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</si>
  <si>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</si>
  <si>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</si>
  <si>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</si>
  <si>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</si>
  <si>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</si>
  <si>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</si>
  <si>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</si>
  <si>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</si>
  <si>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</si>
  <si>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</si>
  <si>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</si>
  <si>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</si>
  <si>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</si>
  <si>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</si>
  <si>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</si>
  <si>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</si>
  <si>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</si>
  <si>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</si>
  <si>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</si>
  <si>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</si>
  <si>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</si>
  <si>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</si>
  <si>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</si>
  <si>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3/11</t>
  </si>
  <si>
    <t>8/21</t>
  </si>
  <si>
    <t>11/09</t>
  </si>
  <si>
    <t>12/25</t>
  </si>
  <si>
    <t>Winnisquam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</si>
</sst>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44" fontId="39" fillId="0" borderId="0" applyFont="0" applyFill="0" applyBorder="0" applyAlignment="0" applyProtection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4" fontId="0" fillId="0" borderId="0" xfId="1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916</v>
      </c>
      <c r="B2" s="21">
        <v>582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1354212</v>
      </c>
      <c r="G9" s="18">
        <v>113771</v>
      </c>
      <c r="H9" s="18"/>
      <c r="I9" s="18"/>
      <c r="J9" s="67">
        <f>SUM(I439)</f>
        <v>1303880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447644</v>
      </c>
      <c r="G12" s="18"/>
      <c r="H12" s="18">
        <v>12509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5165</v>
      </c>
      <c r="G13" s="18">
        <v>22078</v>
      </c>
      <c r="H13" s="18">
        <v>271953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216425</v>
      </c>
      <c r="G14" s="18">
        <v>4808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14720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2038166</v>
      </c>
      <c r="G19" s="41">
        <f>SUM(G9:G18)</f>
        <v>140657</v>
      </c>
      <c r="H19" s="41">
        <f>SUM(H9:H18)</f>
        <v>284462</v>
      </c>
      <c r="I19" s="41">
        <f>SUM(I9:I18)</f>
        <v>0</v>
      </c>
      <c r="J19" s="41">
        <f>SUM(J9:J18)</f>
        <v>1303880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-43704</v>
      </c>
      <c r="H22" s="18">
        <v>271953</v>
      </c>
      <c r="I22" s="18"/>
      <c r="J22" s="67">
        <f>SUM(I448)</f>
        <v>233484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>
        <v>0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7108</v>
      </c>
      <c r="G24" s="18"/>
      <c r="H24" s="18">
        <v>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50516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596591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11461</v>
      </c>
      <c r="H30" s="18">
        <v>12509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654215</v>
      </c>
      <c r="G32" s="41">
        <f>SUM(G22:G31)</f>
        <v>-32243</v>
      </c>
      <c r="H32" s="41">
        <f>SUM(H22:H31)</f>
        <v>284462</v>
      </c>
      <c r="I32" s="41">
        <f>SUM(I22:I31)</f>
        <v>0</v>
      </c>
      <c r="J32" s="41">
        <f>SUM(J22:J31)</f>
        <v>233484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14720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>
        <v>172900</v>
      </c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1070396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363809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520142-14720</f>
        <v>505422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1383951</v>
      </c>
      <c r="G51" s="41">
        <f>SUM(G35:G50)</f>
        <v>172900</v>
      </c>
      <c r="H51" s="41">
        <f>SUM(H35:H50)</f>
        <v>0</v>
      </c>
      <c r="I51" s="41">
        <f>SUM(I35:I50)</f>
        <v>0</v>
      </c>
      <c r="J51" s="41">
        <f>SUM(J35:J50)</f>
        <v>1070396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2038166</v>
      </c>
      <c r="G52" s="41">
        <f>G51+G32</f>
        <v>140657</v>
      </c>
      <c r="H52" s="41">
        <f>H51+H32</f>
        <v>284462</v>
      </c>
      <c r="I52" s="41">
        <f>I51+I32</f>
        <v>0</v>
      </c>
      <c r="J52" s="41">
        <f>J51+J32</f>
        <v>1303880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13380072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13380072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5103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68739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20864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94706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32214</v>
      </c>
      <c r="G96" s="18"/>
      <c r="H96" s="18"/>
      <c r="I96" s="18"/>
      <c r="J96" s="18">
        <v>11572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303159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1923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1015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162308</v>
      </c>
      <c r="G102" s="18"/>
      <c r="H102" s="18"/>
      <c r="I102" s="18"/>
      <c r="J102" s="18">
        <v>15374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3050</v>
      </c>
      <c r="G103" s="18">
        <v>550</v>
      </c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f>51555+71903</f>
        <v>123458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878</v>
      </c>
      <c r="G110" s="18"/>
      <c r="H110" s="18">
        <f>25333+272</f>
        <v>25605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324846</v>
      </c>
      <c r="G111" s="41">
        <f>SUM(G96:G110)</f>
        <v>303709</v>
      </c>
      <c r="H111" s="41">
        <f>SUM(H96:H110)</f>
        <v>25605</v>
      </c>
      <c r="I111" s="41">
        <f>SUM(I96:I110)</f>
        <v>0</v>
      </c>
      <c r="J111" s="41">
        <f>SUM(J96:J110)</f>
        <v>26946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13799624</v>
      </c>
      <c r="G112" s="41">
        <f>G60+G111</f>
        <v>303709</v>
      </c>
      <c r="H112" s="41">
        <f>H60+H79+H94+H111</f>
        <v>25605</v>
      </c>
      <c r="I112" s="41">
        <f>I60+I111</f>
        <v>0</v>
      </c>
      <c r="J112" s="41">
        <f>J60+J111</f>
        <v>26946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6312462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2689335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12805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9014602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606078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46418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38738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20476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9183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711710</v>
      </c>
      <c r="G136" s="41">
        <f>SUM(G123:G135)</f>
        <v>9183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9726312</v>
      </c>
      <c r="G140" s="41">
        <f>G121+SUM(G136:G137)</f>
        <v>9183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381982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512473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83854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268622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405519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244997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244997</v>
      </c>
      <c r="G162" s="41">
        <f>SUM(G150:G161)</f>
        <v>268622</v>
      </c>
      <c r="H162" s="41">
        <f>SUM(H150:H161)</f>
        <v>1383828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244997</v>
      </c>
      <c r="G169" s="41">
        <f>G147+G162+SUM(G163:G168)</f>
        <v>268622</v>
      </c>
      <c r="H169" s="41">
        <f>H147+H162+SUM(H163:H168)</f>
        <v>1383828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500000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12473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12473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12473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23783406</v>
      </c>
      <c r="G193" s="47">
        <f>G112+G140+G169+G192</f>
        <v>581514</v>
      </c>
      <c r="H193" s="47">
        <f>H112+H140+H169+H192</f>
        <v>1409433</v>
      </c>
      <c r="I193" s="47">
        <f>I112+I140+I169+I192</f>
        <v>0</v>
      </c>
      <c r="J193" s="47">
        <f>J112+J140+J192</f>
        <v>526946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2502863</v>
      </c>
      <c r="G197" s="18">
        <v>1096415</v>
      </c>
      <c r="H197" s="18">
        <v>120</v>
      </c>
      <c r="I197" s="18">
        <v>75897</v>
      </c>
      <c r="J197" s="18">
        <v>17273</v>
      </c>
      <c r="K197" s="18"/>
      <c r="L197" s="19">
        <f>SUM(F197:K197)</f>
        <v>3692568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883191</v>
      </c>
      <c r="G198" s="18">
        <v>377117</v>
      </c>
      <c r="H198" s="18">
        <v>584615</v>
      </c>
      <c r="I198" s="18">
        <v>4379</v>
      </c>
      <c r="J198" s="18"/>
      <c r="K198" s="18">
        <v>14379</v>
      </c>
      <c r="L198" s="19">
        <f>SUM(F198:K198)</f>
        <v>1863681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5364</v>
      </c>
      <c r="G200" s="18">
        <v>679</v>
      </c>
      <c r="H200" s="18"/>
      <c r="I200" s="18"/>
      <c r="J200" s="18"/>
      <c r="K200" s="18"/>
      <c r="L200" s="19">
        <f>SUM(F200:K200)</f>
        <v>6043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416003</v>
      </c>
      <c r="G202" s="18">
        <v>196671</v>
      </c>
      <c r="H202" s="18">
        <v>41442</v>
      </c>
      <c r="I202" s="18">
        <v>6800</v>
      </c>
      <c r="J202" s="18">
        <v>990</v>
      </c>
      <c r="K202" s="18">
        <v>403</v>
      </c>
      <c r="L202" s="19">
        <f t="shared" ref="L202:L208" si="0">SUM(F202:K202)</f>
        <v>662309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143664</v>
      </c>
      <c r="G203" s="18">
        <v>110365</v>
      </c>
      <c r="H203" s="18">
        <v>35813</v>
      </c>
      <c r="I203" s="18">
        <v>13315</v>
      </c>
      <c r="J203" s="18">
        <v>174</v>
      </c>
      <c r="K203" s="18">
        <v>198</v>
      </c>
      <c r="L203" s="19">
        <f t="shared" si="0"/>
        <v>303529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398334</v>
      </c>
      <c r="G204" s="18">
        <v>155081</v>
      </c>
      <c r="H204" s="18">
        <v>143788</v>
      </c>
      <c r="I204" s="18">
        <v>12343</v>
      </c>
      <c r="J204" s="18">
        <v>119483</v>
      </c>
      <c r="K204" s="18">
        <v>6857</v>
      </c>
      <c r="L204" s="19">
        <f t="shared" si="0"/>
        <v>835886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362995</v>
      </c>
      <c r="G205" s="18">
        <v>161222</v>
      </c>
      <c r="H205" s="18">
        <v>5145</v>
      </c>
      <c r="I205" s="18">
        <v>460</v>
      </c>
      <c r="J205" s="18">
        <v>348</v>
      </c>
      <c r="K205" s="18">
        <v>899</v>
      </c>
      <c r="L205" s="19">
        <f t="shared" si="0"/>
        <v>531069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113917</v>
      </c>
      <c r="G206" s="18">
        <v>48786</v>
      </c>
      <c r="H206" s="18"/>
      <c r="I206" s="18"/>
      <c r="J206" s="18"/>
      <c r="K206" s="18"/>
      <c r="L206" s="19">
        <f t="shared" si="0"/>
        <v>162703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333806</v>
      </c>
      <c r="G207" s="18">
        <v>184770</v>
      </c>
      <c r="H207" s="18">
        <v>214380</v>
      </c>
      <c r="I207" s="18">
        <v>179034</v>
      </c>
      <c r="J207" s="18">
        <v>19863</v>
      </c>
      <c r="K207" s="18">
        <v>637</v>
      </c>
      <c r="L207" s="19">
        <f t="shared" si="0"/>
        <v>932490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307615</v>
      </c>
      <c r="I208" s="18">
        <v>32195</v>
      </c>
      <c r="J208" s="18"/>
      <c r="K208" s="18"/>
      <c r="L208" s="19">
        <f t="shared" si="0"/>
        <v>339810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>
        <v>36794</v>
      </c>
      <c r="H209" s="18"/>
      <c r="I209" s="18"/>
      <c r="J209" s="18"/>
      <c r="K209" s="18"/>
      <c r="L209" s="19">
        <f>SUM(F209:K209)</f>
        <v>36794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5160137</v>
      </c>
      <c r="G211" s="41">
        <f t="shared" si="1"/>
        <v>2367900</v>
      </c>
      <c r="H211" s="41">
        <f t="shared" si="1"/>
        <v>1332918</v>
      </c>
      <c r="I211" s="41">
        <f t="shared" si="1"/>
        <v>324423</v>
      </c>
      <c r="J211" s="41">
        <f t="shared" si="1"/>
        <v>158131</v>
      </c>
      <c r="K211" s="41">
        <f t="shared" si="1"/>
        <v>23373</v>
      </c>
      <c r="L211" s="41">
        <f t="shared" si="1"/>
        <v>9366882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1248329</v>
      </c>
      <c r="G215" s="18">
        <v>546284</v>
      </c>
      <c r="H215" s="18">
        <f>525</f>
        <v>525</v>
      </c>
      <c r="I215" s="18">
        <v>42792</v>
      </c>
      <c r="J215" s="18">
        <v>11349</v>
      </c>
      <c r="K215" s="18">
        <v>502</v>
      </c>
      <c r="L215" s="19">
        <f>SUM(F215:K215)</f>
        <v>1849781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420103</v>
      </c>
      <c r="G216" s="18">
        <v>175616</v>
      </c>
      <c r="H216" s="18">
        <v>370530</v>
      </c>
      <c r="I216" s="18">
        <v>1962</v>
      </c>
      <c r="J216" s="18"/>
      <c r="K216" s="18">
        <v>8791</v>
      </c>
      <c r="L216" s="19">
        <f>SUM(F216:K216)</f>
        <v>977002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84592</v>
      </c>
      <c r="G218" s="18">
        <v>19754</v>
      </c>
      <c r="H218" s="18">
        <v>11320</v>
      </c>
      <c r="I218" s="18">
        <v>13095</v>
      </c>
      <c r="J218" s="18">
        <v>2256</v>
      </c>
      <c r="K218" s="18">
        <v>2912</v>
      </c>
      <c r="L218" s="19">
        <f>SUM(F218:K218)</f>
        <v>133929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236263</v>
      </c>
      <c r="G220" s="18">
        <v>123704</v>
      </c>
      <c r="H220" s="18">
        <v>64839</v>
      </c>
      <c r="I220" s="18">
        <v>5861</v>
      </c>
      <c r="J220" s="18">
        <v>628</v>
      </c>
      <c r="K220" s="18">
        <v>200</v>
      </c>
      <c r="L220" s="19">
        <f t="shared" ref="L220:L226" si="2">SUM(F220:K220)</f>
        <v>431495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155887</v>
      </c>
      <c r="G221" s="18">
        <v>92087</v>
      </c>
      <c r="H221" s="18">
        <v>24553</v>
      </c>
      <c r="I221" s="18">
        <v>16424</v>
      </c>
      <c r="J221" s="18"/>
      <c r="K221" s="18">
        <v>316</v>
      </c>
      <c r="L221" s="19">
        <f t="shared" si="2"/>
        <v>289267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252641</v>
      </c>
      <c r="G222" s="18">
        <v>98359</v>
      </c>
      <c r="H222" s="18">
        <v>91197</v>
      </c>
      <c r="I222" s="18">
        <v>7829</v>
      </c>
      <c r="J222" s="18">
        <v>75781</v>
      </c>
      <c r="K222" s="18">
        <v>4349</v>
      </c>
      <c r="L222" s="19">
        <f t="shared" si="2"/>
        <v>530156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262665</v>
      </c>
      <c r="G223" s="18">
        <v>110660</v>
      </c>
      <c r="H223" s="18">
        <v>3324</v>
      </c>
      <c r="I223" s="18">
        <v>6689</v>
      </c>
      <c r="J223" s="18"/>
      <c r="K223" s="18">
        <v>2082</v>
      </c>
      <c r="L223" s="19">
        <f t="shared" si="2"/>
        <v>385420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72251</v>
      </c>
      <c r="G224" s="18">
        <v>30943</v>
      </c>
      <c r="H224" s="18"/>
      <c r="I224" s="18"/>
      <c r="J224" s="18"/>
      <c r="K224" s="18"/>
      <c r="L224" s="19">
        <f t="shared" si="2"/>
        <v>103194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184980</v>
      </c>
      <c r="G225" s="18">
        <v>96799</v>
      </c>
      <c r="H225" s="18">
        <v>114583</v>
      </c>
      <c r="I225" s="18">
        <v>70841</v>
      </c>
      <c r="J225" s="18">
        <v>13314</v>
      </c>
      <c r="K225" s="18">
        <v>404</v>
      </c>
      <c r="L225" s="19">
        <f t="shared" si="2"/>
        <v>480921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208229</v>
      </c>
      <c r="I226" s="18">
        <v>20420</v>
      </c>
      <c r="J226" s="18"/>
      <c r="K226" s="18"/>
      <c r="L226" s="19">
        <f t="shared" si="2"/>
        <v>228649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>
        <v>23336</v>
      </c>
      <c r="H227" s="18"/>
      <c r="I227" s="18"/>
      <c r="J227" s="18"/>
      <c r="K227" s="18"/>
      <c r="L227" s="19">
        <f>SUM(F227:K227)</f>
        <v>23336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2917711</v>
      </c>
      <c r="G229" s="41">
        <f>SUM(G215:G228)</f>
        <v>1317542</v>
      </c>
      <c r="H229" s="41">
        <f>SUM(H215:H228)</f>
        <v>889100</v>
      </c>
      <c r="I229" s="41">
        <f>SUM(I215:I228)</f>
        <v>185913</v>
      </c>
      <c r="J229" s="41">
        <f>SUM(J215:J228)</f>
        <v>103328</v>
      </c>
      <c r="K229" s="41">
        <f t="shared" si="3"/>
        <v>19556</v>
      </c>
      <c r="L229" s="41">
        <f t="shared" si="3"/>
        <v>5433150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1506714</v>
      </c>
      <c r="G233" s="18">
        <v>661216</v>
      </c>
      <c r="H233" s="18">
        <v>23524</v>
      </c>
      <c r="I233" s="18">
        <v>49521</v>
      </c>
      <c r="J233" s="18">
        <v>23468</v>
      </c>
      <c r="K233" s="18">
        <v>2636</v>
      </c>
      <c r="L233" s="19">
        <f>SUM(F233:K233)</f>
        <v>2267079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372671</v>
      </c>
      <c r="G234" s="18">
        <v>144837</v>
      </c>
      <c r="H234" s="18">
        <v>439768</v>
      </c>
      <c r="I234" s="18">
        <v>7269</v>
      </c>
      <c r="J234" s="18"/>
      <c r="K234" s="18">
        <v>10434</v>
      </c>
      <c r="L234" s="19">
        <f>SUM(F234:K234)</f>
        <v>974979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230288</v>
      </c>
      <c r="G235" s="18">
        <v>82511</v>
      </c>
      <c r="H235" s="18">
        <v>181525</v>
      </c>
      <c r="I235" s="18">
        <v>11026</v>
      </c>
      <c r="J235" s="18"/>
      <c r="K235" s="18">
        <v>479</v>
      </c>
      <c r="L235" s="19">
        <f>SUM(F235:K235)</f>
        <v>505829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167087</v>
      </c>
      <c r="G236" s="18">
        <v>36185</v>
      </c>
      <c r="H236" s="18">
        <v>69605</v>
      </c>
      <c r="I236" s="18">
        <v>15711</v>
      </c>
      <c r="J236" s="18">
        <v>26764</v>
      </c>
      <c r="K236" s="18">
        <v>15877</v>
      </c>
      <c r="L236" s="19">
        <f>SUM(F236:K236)</f>
        <v>331229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242015</v>
      </c>
      <c r="G238" s="18">
        <v>149650</v>
      </c>
      <c r="H238" s="18">
        <v>73335</v>
      </c>
      <c r="I238" s="18">
        <v>5302</v>
      </c>
      <c r="J238" s="18">
        <v>3229</v>
      </c>
      <c r="K238" s="18">
        <v>50</v>
      </c>
      <c r="L238" s="19">
        <f t="shared" ref="L238:L244" si="4">SUM(F238:K238)</f>
        <v>473581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123381</v>
      </c>
      <c r="G239" s="18">
        <v>87207</v>
      </c>
      <c r="H239" s="18">
        <v>24749</v>
      </c>
      <c r="I239" s="18">
        <v>14150</v>
      </c>
      <c r="J239" s="18">
        <v>357</v>
      </c>
      <c r="K239" s="18">
        <v>149</v>
      </c>
      <c r="L239" s="19">
        <f t="shared" si="4"/>
        <v>249993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299850</v>
      </c>
      <c r="G240" s="18">
        <v>116739</v>
      </c>
      <c r="H240" s="18">
        <v>108238</v>
      </c>
      <c r="I240" s="18">
        <v>9292</v>
      </c>
      <c r="J240" s="18">
        <v>89942</v>
      </c>
      <c r="K240" s="18">
        <v>5161</v>
      </c>
      <c r="L240" s="19">
        <f t="shared" si="4"/>
        <v>629222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358989</v>
      </c>
      <c r="G241" s="18">
        <v>155414</v>
      </c>
      <c r="H241" s="18">
        <v>28828</v>
      </c>
      <c r="I241" s="18">
        <v>4083</v>
      </c>
      <c r="J241" s="18"/>
      <c r="K241" s="18">
        <v>7398</v>
      </c>
      <c r="L241" s="19">
        <f t="shared" si="4"/>
        <v>554712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85752</v>
      </c>
      <c r="G242" s="18">
        <v>36724</v>
      </c>
      <c r="H242" s="18"/>
      <c r="I242" s="18"/>
      <c r="J242" s="18"/>
      <c r="K242" s="18"/>
      <c r="L242" s="19">
        <f t="shared" si="4"/>
        <v>122476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222453</v>
      </c>
      <c r="G243" s="18">
        <v>133374</v>
      </c>
      <c r="H243" s="18">
        <v>142718</v>
      </c>
      <c r="I243" s="18">
        <v>203178</v>
      </c>
      <c r="J243" s="18">
        <v>13668</v>
      </c>
      <c r="K243" s="18">
        <v>480</v>
      </c>
      <c r="L243" s="19">
        <f t="shared" si="4"/>
        <v>715871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273966</v>
      </c>
      <c r="I244" s="18">
        <v>24235</v>
      </c>
      <c r="J244" s="18"/>
      <c r="K244" s="18"/>
      <c r="L244" s="19">
        <f t="shared" si="4"/>
        <v>298201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>
        <v>27697</v>
      </c>
      <c r="H245" s="18"/>
      <c r="I245" s="18"/>
      <c r="J245" s="18"/>
      <c r="K245" s="18"/>
      <c r="L245" s="19">
        <f>SUM(F245:K245)</f>
        <v>27697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3609200</v>
      </c>
      <c r="G247" s="41">
        <f t="shared" si="5"/>
        <v>1631554</v>
      </c>
      <c r="H247" s="41">
        <f t="shared" si="5"/>
        <v>1366256</v>
      </c>
      <c r="I247" s="41">
        <f t="shared" si="5"/>
        <v>343767</v>
      </c>
      <c r="J247" s="41">
        <f t="shared" si="5"/>
        <v>157428</v>
      </c>
      <c r="K247" s="41">
        <f t="shared" si="5"/>
        <v>42664</v>
      </c>
      <c r="L247" s="41">
        <f t="shared" si="5"/>
        <v>7150869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11687048</v>
      </c>
      <c r="G257" s="41">
        <f t="shared" si="8"/>
        <v>5316996</v>
      </c>
      <c r="H257" s="41">
        <f t="shared" si="8"/>
        <v>3588274</v>
      </c>
      <c r="I257" s="41">
        <f t="shared" si="8"/>
        <v>854103</v>
      </c>
      <c r="J257" s="41">
        <f t="shared" si="8"/>
        <v>418887</v>
      </c>
      <c r="K257" s="41">
        <f t="shared" si="8"/>
        <v>85593</v>
      </c>
      <c r="L257" s="41">
        <f t="shared" si="8"/>
        <v>21950901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1070690</v>
      </c>
      <c r="L260" s="19">
        <f>SUM(F260:K260)</f>
        <v>1070690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155341</v>
      </c>
      <c r="L261" s="19">
        <f>SUM(F261:K261)</f>
        <v>155341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500000</v>
      </c>
      <c r="L266" s="19">
        <f t="shared" si="9"/>
        <v>500000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1726031</v>
      </c>
      <c r="L270" s="41">
        <f t="shared" si="9"/>
        <v>1726031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11687048</v>
      </c>
      <c r="G271" s="42">
        <f t="shared" si="11"/>
        <v>5316996</v>
      </c>
      <c r="H271" s="42">
        <f t="shared" si="11"/>
        <v>3588274</v>
      </c>
      <c r="I271" s="42">
        <f t="shared" si="11"/>
        <v>854103</v>
      </c>
      <c r="J271" s="42">
        <f t="shared" si="11"/>
        <v>418887</v>
      </c>
      <c r="K271" s="42">
        <f t="shared" si="11"/>
        <v>1811624</v>
      </c>
      <c r="L271" s="42">
        <f t="shared" si="11"/>
        <v>23676932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85162</v>
      </c>
      <c r="G276" s="18">
        <v>39440</v>
      </c>
      <c r="H276" s="18">
        <v>4759</v>
      </c>
      <c r="I276" s="18">
        <v>22256</v>
      </c>
      <c r="J276" s="18">
        <v>3165</v>
      </c>
      <c r="K276" s="18"/>
      <c r="L276" s="19">
        <f>SUM(F276:K276)</f>
        <v>154782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74641</v>
      </c>
      <c r="G277" s="18">
        <v>5709</v>
      </c>
      <c r="H277" s="18">
        <v>44737</v>
      </c>
      <c r="I277" s="18">
        <v>6</v>
      </c>
      <c r="J277" s="18">
        <v>1981</v>
      </c>
      <c r="K277" s="18"/>
      <c r="L277" s="19">
        <f>SUM(F277:K277)</f>
        <v>127074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7598</v>
      </c>
      <c r="G278" s="18">
        <v>258</v>
      </c>
      <c r="H278" s="18">
        <v>8631</v>
      </c>
      <c r="I278" s="18">
        <v>5486</v>
      </c>
      <c r="J278" s="18">
        <v>13269</v>
      </c>
      <c r="K278" s="18"/>
      <c r="L278" s="19">
        <f>SUM(F278:K278)</f>
        <v>35242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88285</v>
      </c>
      <c r="G281" s="18">
        <v>15054</v>
      </c>
      <c r="H281" s="18">
        <f>37867+8745</f>
        <v>46612</v>
      </c>
      <c r="I281" s="18">
        <v>4157</v>
      </c>
      <c r="J281" s="18"/>
      <c r="K281" s="18"/>
      <c r="L281" s="19">
        <f t="shared" ref="L281:L287" si="12">SUM(F281:K281)</f>
        <v>154108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10951</v>
      </c>
      <c r="G282" s="18">
        <v>1575</v>
      </c>
      <c r="H282" s="18">
        <v>37020</v>
      </c>
      <c r="I282" s="18"/>
      <c r="J282" s="18"/>
      <c r="K282" s="18"/>
      <c r="L282" s="19">
        <f t="shared" si="12"/>
        <v>49546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11942</v>
      </c>
      <c r="G283" s="18">
        <v>5193</v>
      </c>
      <c r="H283" s="18">
        <f>1220+849</f>
        <v>2069</v>
      </c>
      <c r="I283" s="18">
        <v>200</v>
      </c>
      <c r="J283" s="18"/>
      <c r="K283" s="18"/>
      <c r="L283" s="19">
        <f t="shared" si="12"/>
        <v>19404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1128</v>
      </c>
      <c r="I286" s="18">
        <v>293</v>
      </c>
      <c r="J286" s="18">
        <v>6659</v>
      </c>
      <c r="K286" s="18">
        <v>2802</v>
      </c>
      <c r="L286" s="19">
        <f t="shared" si="12"/>
        <v>10882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255</v>
      </c>
      <c r="G287" s="18">
        <v>64</v>
      </c>
      <c r="H287" s="18">
        <v>203</v>
      </c>
      <c r="I287" s="18"/>
      <c r="J287" s="18">
        <v>637</v>
      </c>
      <c r="K287" s="18"/>
      <c r="L287" s="19">
        <f t="shared" si="12"/>
        <v>1159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>
        <v>3964</v>
      </c>
      <c r="H288" s="18"/>
      <c r="I288" s="18"/>
      <c r="J288" s="18"/>
      <c r="K288" s="18"/>
      <c r="L288" s="19">
        <f>SUM(F288:K288)</f>
        <v>3964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278834</v>
      </c>
      <c r="G290" s="42">
        <f t="shared" si="13"/>
        <v>71257</v>
      </c>
      <c r="H290" s="42">
        <f t="shared" si="13"/>
        <v>145159</v>
      </c>
      <c r="I290" s="42">
        <f t="shared" si="13"/>
        <v>32398</v>
      </c>
      <c r="J290" s="42">
        <f t="shared" si="13"/>
        <v>25711</v>
      </c>
      <c r="K290" s="42">
        <f t="shared" si="13"/>
        <v>2802</v>
      </c>
      <c r="L290" s="41">
        <f t="shared" si="13"/>
        <v>556161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51393</v>
      </c>
      <c r="G295" s="18">
        <v>23801</v>
      </c>
      <c r="H295" s="18">
        <v>2872</v>
      </c>
      <c r="I295" s="18">
        <v>13431</v>
      </c>
      <c r="J295" s="18">
        <v>1910</v>
      </c>
      <c r="K295" s="18"/>
      <c r="L295" s="19">
        <f>SUM(F295:K295)</f>
        <v>93407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45044</v>
      </c>
      <c r="G296" s="18">
        <v>3445</v>
      </c>
      <c r="H296" s="18">
        <v>26998</v>
      </c>
      <c r="I296" s="18">
        <v>4</v>
      </c>
      <c r="J296" s="18">
        <v>1196</v>
      </c>
      <c r="K296" s="18"/>
      <c r="L296" s="19">
        <f>SUM(F296:K296)</f>
        <v>76687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4585</v>
      </c>
      <c r="G297" s="18">
        <v>156</v>
      </c>
      <c r="H297" s="18">
        <v>5209</v>
      </c>
      <c r="I297" s="18">
        <v>3311</v>
      </c>
      <c r="J297" s="18">
        <v>8007</v>
      </c>
      <c r="K297" s="18"/>
      <c r="L297" s="19">
        <f>SUM(F297:K297)</f>
        <v>21268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8054</v>
      </c>
      <c r="G298" s="18">
        <v>2014</v>
      </c>
      <c r="H298" s="18">
        <v>849</v>
      </c>
      <c r="I298" s="18">
        <v>2987</v>
      </c>
      <c r="J298" s="18">
        <v>4790</v>
      </c>
      <c r="K298" s="18"/>
      <c r="L298" s="19">
        <f>SUM(F298:K298)</f>
        <v>18694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53278</v>
      </c>
      <c r="G300" s="18">
        <v>9085</v>
      </c>
      <c r="H300" s="18">
        <f>22852+5277</f>
        <v>28129</v>
      </c>
      <c r="I300" s="18">
        <v>2508</v>
      </c>
      <c r="J300" s="18"/>
      <c r="K300" s="18"/>
      <c r="L300" s="19">
        <f t="shared" ref="L300:L306" si="14">SUM(F300:K300)</f>
        <v>93000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6609</v>
      </c>
      <c r="G301" s="18">
        <v>950</v>
      </c>
      <c r="H301" s="18">
        <v>22341</v>
      </c>
      <c r="I301" s="18"/>
      <c r="J301" s="18"/>
      <c r="K301" s="18"/>
      <c r="L301" s="19">
        <f t="shared" si="14"/>
        <v>29900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7207</v>
      </c>
      <c r="G302" s="18">
        <v>3134</v>
      </c>
      <c r="H302" s="18">
        <v>736</v>
      </c>
      <c r="I302" s="18">
        <v>512</v>
      </c>
      <c r="J302" s="18">
        <v>120</v>
      </c>
      <c r="K302" s="18"/>
      <c r="L302" s="19">
        <f t="shared" si="14"/>
        <v>11709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>
        <v>681</v>
      </c>
      <c r="I305" s="18">
        <v>177</v>
      </c>
      <c r="J305" s="18">
        <v>4018</v>
      </c>
      <c r="K305" s="18">
        <v>1691</v>
      </c>
      <c r="L305" s="19">
        <f t="shared" si="14"/>
        <v>6567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154</v>
      </c>
      <c r="G306" s="18">
        <v>38</v>
      </c>
      <c r="H306" s="18">
        <v>123</v>
      </c>
      <c r="I306" s="18"/>
      <c r="J306" s="18">
        <v>385</v>
      </c>
      <c r="K306" s="18"/>
      <c r="L306" s="19">
        <f t="shared" si="14"/>
        <v>700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>
        <v>2392</v>
      </c>
      <c r="H307" s="18"/>
      <c r="I307" s="18"/>
      <c r="J307" s="18"/>
      <c r="K307" s="18"/>
      <c r="L307" s="19">
        <f>SUM(F307:K307)</f>
        <v>2392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176324</v>
      </c>
      <c r="G309" s="42">
        <f t="shared" si="15"/>
        <v>45015</v>
      </c>
      <c r="H309" s="42">
        <f t="shared" si="15"/>
        <v>87938</v>
      </c>
      <c r="I309" s="42">
        <f t="shared" si="15"/>
        <v>22930</v>
      </c>
      <c r="J309" s="42">
        <f t="shared" si="15"/>
        <v>20426</v>
      </c>
      <c r="K309" s="42">
        <f t="shared" si="15"/>
        <v>1691</v>
      </c>
      <c r="L309" s="41">
        <f t="shared" si="15"/>
        <v>354324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63819</v>
      </c>
      <c r="G314" s="18">
        <v>29556</v>
      </c>
      <c r="H314" s="18">
        <f>3566</f>
        <v>3566</v>
      </c>
      <c r="I314" s="18">
        <f>16678+119</f>
        <v>16797</v>
      </c>
      <c r="J314" s="18">
        <f>2372-199+80</f>
        <v>2253</v>
      </c>
      <c r="K314" s="18"/>
      <c r="L314" s="19">
        <f>SUM(F314:K314)</f>
        <v>115991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55935</v>
      </c>
      <c r="G315" s="18">
        <v>4278</v>
      </c>
      <c r="H315" s="18">
        <v>33525</v>
      </c>
      <c r="I315" s="18">
        <v>5</v>
      </c>
      <c r="J315" s="18">
        <v>1485</v>
      </c>
      <c r="K315" s="18"/>
      <c r="L315" s="19">
        <f>SUM(F315:K315)</f>
        <v>95228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5694</v>
      </c>
      <c r="G316" s="18">
        <v>194</v>
      </c>
      <c r="H316" s="18">
        <v>6468</v>
      </c>
      <c r="I316" s="18">
        <v>4111</v>
      </c>
      <c r="J316" s="18">
        <v>9943</v>
      </c>
      <c r="K316" s="18"/>
      <c r="L316" s="19">
        <f>SUM(F316:K316)</f>
        <v>26410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1000</v>
      </c>
      <c r="G317" s="18">
        <v>250</v>
      </c>
      <c r="H317" s="18">
        <v>250</v>
      </c>
      <c r="I317" s="18">
        <v>4758</v>
      </c>
      <c r="J317" s="18">
        <v>1158</v>
      </c>
      <c r="K317" s="18">
        <f>320+8426</f>
        <v>8746</v>
      </c>
      <c r="L317" s="19">
        <f>SUM(F317:K317)</f>
        <v>16162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66159</v>
      </c>
      <c r="G319" s="18">
        <v>11281</v>
      </c>
      <c r="H319" s="18">
        <f>28377+6553</f>
        <v>34930</v>
      </c>
      <c r="I319" s="18">
        <v>3115</v>
      </c>
      <c r="J319" s="18"/>
      <c r="K319" s="18"/>
      <c r="L319" s="19">
        <f t="shared" ref="L319:L325" si="16">SUM(F319:K319)</f>
        <v>115485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8207</v>
      </c>
      <c r="G320" s="18">
        <v>1180</v>
      </c>
      <c r="H320" s="18">
        <v>27742</v>
      </c>
      <c r="I320" s="18"/>
      <c r="J320" s="18"/>
      <c r="K320" s="18"/>
      <c r="L320" s="19">
        <f t="shared" si="16"/>
        <v>37129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8949</v>
      </c>
      <c r="G321" s="18">
        <v>3892</v>
      </c>
      <c r="H321" s="18">
        <f>915+635</f>
        <v>1550</v>
      </c>
      <c r="I321" s="18">
        <f>157</f>
        <v>157</v>
      </c>
      <c r="J321" s="18"/>
      <c r="K321" s="18"/>
      <c r="L321" s="19">
        <f t="shared" si="16"/>
        <v>14548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>
        <v>845</v>
      </c>
      <c r="I324" s="18">
        <v>220</v>
      </c>
      <c r="J324" s="18">
        <v>4990</v>
      </c>
      <c r="K324" s="18">
        <v>2100</v>
      </c>
      <c r="L324" s="19">
        <f t="shared" si="16"/>
        <v>8155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191</v>
      </c>
      <c r="G325" s="18">
        <v>48</v>
      </c>
      <c r="H325" s="18">
        <v>152</v>
      </c>
      <c r="I325" s="18"/>
      <c r="J325" s="18">
        <v>478</v>
      </c>
      <c r="K325" s="18"/>
      <c r="L325" s="19">
        <f t="shared" si="16"/>
        <v>869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>
        <v>2971</v>
      </c>
      <c r="H326" s="18"/>
      <c r="I326" s="18"/>
      <c r="J326" s="18"/>
      <c r="K326" s="18"/>
      <c r="L326" s="19">
        <f>SUM(F326:K326)</f>
        <v>2971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209954</v>
      </c>
      <c r="G328" s="42">
        <f t="shared" si="17"/>
        <v>53650</v>
      </c>
      <c r="H328" s="42">
        <f t="shared" si="17"/>
        <v>109028</v>
      </c>
      <c r="I328" s="42">
        <f t="shared" si="17"/>
        <v>29163</v>
      </c>
      <c r="J328" s="42">
        <f t="shared" si="17"/>
        <v>20307</v>
      </c>
      <c r="K328" s="42">
        <f t="shared" si="17"/>
        <v>10846</v>
      </c>
      <c r="L328" s="41">
        <f t="shared" si="17"/>
        <v>432948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>
        <v>66000</v>
      </c>
      <c r="I332" s="18"/>
      <c r="J332" s="18"/>
      <c r="K332" s="18"/>
      <c r="L332" s="19">
        <f t="shared" ref="L332:L337" si="18">SUM(F332:K332)</f>
        <v>66000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66000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66000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665112</v>
      </c>
      <c r="G338" s="41">
        <f t="shared" si="20"/>
        <v>169922</v>
      </c>
      <c r="H338" s="41">
        <f t="shared" si="20"/>
        <v>408125</v>
      </c>
      <c r="I338" s="41">
        <f t="shared" si="20"/>
        <v>84491</v>
      </c>
      <c r="J338" s="41">
        <f t="shared" si="20"/>
        <v>66444</v>
      </c>
      <c r="K338" s="41">
        <f t="shared" si="20"/>
        <v>15339</v>
      </c>
      <c r="L338" s="41">
        <f t="shared" si="20"/>
        <v>1409433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665112</v>
      </c>
      <c r="G352" s="41">
        <f>G338</f>
        <v>169922</v>
      </c>
      <c r="H352" s="41">
        <f>H338</f>
        <v>408125</v>
      </c>
      <c r="I352" s="41">
        <f>I338</f>
        <v>84491</v>
      </c>
      <c r="J352" s="41">
        <f>J338</f>
        <v>66444</v>
      </c>
      <c r="K352" s="47">
        <f>K338+K351</f>
        <v>15339</v>
      </c>
      <c r="L352" s="41">
        <f>L338+L351</f>
        <v>1409433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113457</v>
      </c>
      <c r="G358" s="18">
        <v>30307</v>
      </c>
      <c r="H358" s="18">
        <v>2515</v>
      </c>
      <c r="I358" s="18">
        <v>108863</v>
      </c>
      <c r="J358" s="18">
        <v>5683</v>
      </c>
      <c r="K358" s="18">
        <v>2204</v>
      </c>
      <c r="L358" s="13">
        <f>SUM(F358:K358)</f>
        <v>263029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67775</v>
      </c>
      <c r="G359" s="18">
        <v>11290</v>
      </c>
      <c r="H359" s="18">
        <v>1595</v>
      </c>
      <c r="I359" s="18">
        <v>60353</v>
      </c>
      <c r="J359" s="18">
        <v>3604</v>
      </c>
      <c r="K359" s="18">
        <v>1398</v>
      </c>
      <c r="L359" s="19">
        <f>SUM(F359:K359)</f>
        <v>146015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88324</v>
      </c>
      <c r="G360" s="18">
        <v>22109</v>
      </c>
      <c r="H360" s="18">
        <v>1893</v>
      </c>
      <c r="I360" s="18">
        <v>71630</v>
      </c>
      <c r="J360" s="18">
        <v>4278</v>
      </c>
      <c r="K360" s="18">
        <v>1659</v>
      </c>
      <c r="L360" s="19">
        <f>SUM(F360:K360)</f>
        <v>189893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269556</v>
      </c>
      <c r="G362" s="47">
        <f t="shared" si="22"/>
        <v>63706</v>
      </c>
      <c r="H362" s="47">
        <f t="shared" si="22"/>
        <v>6003</v>
      </c>
      <c r="I362" s="47">
        <f t="shared" si="22"/>
        <v>240846</v>
      </c>
      <c r="J362" s="47">
        <f t="shared" si="22"/>
        <v>13565</v>
      </c>
      <c r="K362" s="47">
        <f t="shared" si="22"/>
        <v>5261</v>
      </c>
      <c r="L362" s="47">
        <f t="shared" si="22"/>
        <v>598937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94523</v>
      </c>
      <c r="G367" s="18">
        <v>59951</v>
      </c>
      <c r="H367" s="18">
        <v>71153</v>
      </c>
      <c r="I367" s="56">
        <f>SUM(F367:H367)</f>
        <v>225627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6376</v>
      </c>
      <c r="G368" s="63">
        <v>4044</v>
      </c>
      <c r="H368" s="63">
        <v>4799</v>
      </c>
      <c r="I368" s="56">
        <f>SUM(F368:H368)</f>
        <v>15219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100899</v>
      </c>
      <c r="G369" s="47">
        <f>SUM(G367:G368)</f>
        <v>63995</v>
      </c>
      <c r="H369" s="47">
        <f>SUM(H367:H368)</f>
        <v>75952</v>
      </c>
      <c r="I369" s="47">
        <f>SUM(I367:I368)</f>
        <v>240846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450000</v>
      </c>
      <c r="H389" s="18">
        <v>9019</v>
      </c>
      <c r="I389" s="18"/>
      <c r="J389" s="24" t="s">
        <v>286</v>
      </c>
      <c r="K389" s="24" t="s">
        <v>286</v>
      </c>
      <c r="L389" s="56">
        <f t="shared" si="25"/>
        <v>459019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450000</v>
      </c>
      <c r="H393" s="139">
        <f>SUM(H387:H392)</f>
        <v>9019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459019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923</v>
      </c>
      <c r="I396" s="18"/>
      <c r="J396" s="24" t="s">
        <v>286</v>
      </c>
      <c r="K396" s="24" t="s">
        <v>286</v>
      </c>
      <c r="L396" s="56">
        <f t="shared" si="26"/>
        <v>923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50000</v>
      </c>
      <c r="H397" s="18">
        <v>982</v>
      </c>
      <c r="I397" s="18"/>
      <c r="J397" s="24" t="s">
        <v>286</v>
      </c>
      <c r="K397" s="24" t="s">
        <v>286</v>
      </c>
      <c r="L397" s="56">
        <f t="shared" si="26"/>
        <v>50982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648</v>
      </c>
      <c r="I400" s="18">
        <v>15374</v>
      </c>
      <c r="J400" s="24" t="s">
        <v>286</v>
      </c>
      <c r="K400" s="24" t="s">
        <v>286</v>
      </c>
      <c r="L400" s="56">
        <f t="shared" si="26"/>
        <v>16022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2553</v>
      </c>
      <c r="I401" s="47">
        <f>SUM(I395:I400)</f>
        <v>15374</v>
      </c>
      <c r="J401" s="45" t="s">
        <v>286</v>
      </c>
      <c r="K401" s="45" t="s">
        <v>286</v>
      </c>
      <c r="L401" s="47">
        <f>SUM(L395:L400)</f>
        <v>67927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500000</v>
      </c>
      <c r="H408" s="47">
        <f>H393+H401+H407</f>
        <v>11572</v>
      </c>
      <c r="I408" s="47">
        <f>I393+I401+I407</f>
        <v>15374</v>
      </c>
      <c r="J408" s="24" t="s">
        <v>286</v>
      </c>
      <c r="K408" s="24" t="s">
        <v>286</v>
      </c>
      <c r="L408" s="47">
        <f>L393+L401+L407</f>
        <v>526946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>
        <v>405857</v>
      </c>
      <c r="I415" s="18"/>
      <c r="J415" s="18"/>
      <c r="K415" s="18"/>
      <c r="L415" s="56">
        <f t="shared" si="27"/>
        <v>405857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405857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405857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405857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405857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1303880</v>
      </c>
      <c r="H439" s="18"/>
      <c r="I439" s="56">
        <f t="shared" ref="I439:I445" si="33">SUM(F439:H439)</f>
        <v>1303880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1303880</v>
      </c>
      <c r="H446" s="13">
        <f>SUM(H439:H445)</f>
        <v>0</v>
      </c>
      <c r="I446" s="13">
        <f>SUM(I439:I445)</f>
        <v>1303880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v>233484</v>
      </c>
      <c r="H448" s="18"/>
      <c r="I448" s="56">
        <f>SUM(F448:H448)</f>
        <v>233484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233484</v>
      </c>
      <c r="H452" s="72">
        <f>SUM(H448:H451)</f>
        <v>0</v>
      </c>
      <c r="I452" s="72">
        <f>SUM(I448:I451)</f>
        <v>233484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1070396</v>
      </c>
      <c r="H459" s="18"/>
      <c r="I459" s="56">
        <f t="shared" si="34"/>
        <v>1070396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1070396</v>
      </c>
      <c r="H460" s="83">
        <f>SUM(H454:H459)</f>
        <v>0</v>
      </c>
      <c r="I460" s="83">
        <f>SUM(I454:I459)</f>
        <v>1070396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1303880</v>
      </c>
      <c r="H461" s="42">
        <f>H452+H460</f>
        <v>0</v>
      </c>
      <c r="I461" s="42">
        <f>I452+I460</f>
        <v>1303880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1277477</v>
      </c>
      <c r="G465" s="18">
        <v>190323</v>
      </c>
      <c r="H465" s="18">
        <v>0</v>
      </c>
      <c r="I465" s="18">
        <v>0</v>
      </c>
      <c r="J465" s="18">
        <v>949307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23783406</v>
      </c>
      <c r="G468" s="18">
        <v>581514</v>
      </c>
      <c r="H468" s="18">
        <f>25605+1383828</f>
        <v>1409433</v>
      </c>
      <c r="I468" s="18"/>
      <c r="J468" s="18">
        <v>526946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23783406</v>
      </c>
      <c r="G470" s="53">
        <f>SUM(G468:G469)</f>
        <v>581514</v>
      </c>
      <c r="H470" s="53">
        <f>SUM(H468:H469)</f>
        <v>1409433</v>
      </c>
      <c r="I470" s="53">
        <f>SUM(I468:I469)</f>
        <v>0</v>
      </c>
      <c r="J470" s="53">
        <f>SUM(J468:J469)</f>
        <v>526946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23676932</v>
      </c>
      <c r="G472" s="18">
        <v>598937</v>
      </c>
      <c r="H472" s="18">
        <v>1409433</v>
      </c>
      <c r="I472" s="18"/>
      <c r="J472" s="18">
        <v>405857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23676932</v>
      </c>
      <c r="G474" s="53">
        <f>SUM(G472:G473)</f>
        <v>598937</v>
      </c>
      <c r="H474" s="53">
        <f>SUM(H472:H473)</f>
        <v>1409433</v>
      </c>
      <c r="I474" s="53">
        <f>SUM(I472:I473)</f>
        <v>0</v>
      </c>
      <c r="J474" s="53">
        <f>SUM(J472:J473)</f>
        <v>405857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1383951</v>
      </c>
      <c r="G476" s="53">
        <f>(G465+G470)- G474</f>
        <v>172900</v>
      </c>
      <c r="H476" s="53">
        <f>(H465+H470)- H474</f>
        <v>0</v>
      </c>
      <c r="I476" s="53">
        <f>(I465+I470)- I474</f>
        <v>0</v>
      </c>
      <c r="J476" s="53">
        <f>(J465+J470)- J474</f>
        <v>1070396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10</v>
      </c>
      <c r="G490" s="154">
        <v>15</v>
      </c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862500</v>
      </c>
      <c r="G493" s="18">
        <v>3396240</v>
      </c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3.19</v>
      </c>
      <c r="G494" s="18">
        <v>1.4</v>
      </c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4080000</v>
      </c>
      <c r="G495" s="18">
        <v>1835081</v>
      </c>
      <c r="H495" s="18"/>
      <c r="I495" s="18"/>
      <c r="J495" s="18"/>
      <c r="K495" s="53">
        <f>SUM(F495:J495)</f>
        <v>5915081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845000</v>
      </c>
      <c r="G497" s="18">
        <v>225690</v>
      </c>
      <c r="H497" s="18"/>
      <c r="I497" s="18"/>
      <c r="J497" s="18"/>
      <c r="K497" s="53">
        <f t="shared" si="35"/>
        <v>1070690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3235000</v>
      </c>
      <c r="G498" s="204">
        <v>1609391</v>
      </c>
      <c r="H498" s="204"/>
      <c r="I498" s="204"/>
      <c r="J498" s="204"/>
      <c r="K498" s="205">
        <f t="shared" si="35"/>
        <v>4844391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254112.5</v>
      </c>
      <c r="G499" s="18">
        <v>90546</v>
      </c>
      <c r="H499" s="18"/>
      <c r="I499" s="18"/>
      <c r="J499" s="18"/>
      <c r="K499" s="53">
        <f t="shared" si="35"/>
        <v>344658.5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3489112.5</v>
      </c>
      <c r="G500" s="42">
        <f>SUM(G498:G499)</f>
        <v>1699937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5189049.5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830000</v>
      </c>
      <c r="G501" s="204">
        <v>226720</v>
      </c>
      <c r="H501" s="204"/>
      <c r="I501" s="204"/>
      <c r="J501" s="204"/>
      <c r="K501" s="205">
        <f t="shared" si="35"/>
        <v>1056720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104525</v>
      </c>
      <c r="G502" s="18">
        <v>22531</v>
      </c>
      <c r="H502" s="18"/>
      <c r="I502" s="18"/>
      <c r="J502" s="18"/>
      <c r="K502" s="53">
        <f t="shared" si="35"/>
        <v>127056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934525</v>
      </c>
      <c r="G503" s="42">
        <f>SUM(G501:G502)</f>
        <v>249251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1183776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615975</v>
      </c>
      <c r="G521" s="18">
        <v>220531</v>
      </c>
      <c r="H521" s="18">
        <v>628475</v>
      </c>
      <c r="I521" s="18">
        <v>5188</v>
      </c>
      <c r="J521" s="18"/>
      <c r="K521" s="18">
        <v>13861</v>
      </c>
      <c r="L521" s="88">
        <f>SUM(F521:K521)</f>
        <v>1484030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390679</v>
      </c>
      <c r="G522" s="18">
        <v>139871</v>
      </c>
      <c r="H522" s="18">
        <v>398607</v>
      </c>
      <c r="I522" s="18">
        <v>3291</v>
      </c>
      <c r="J522" s="18"/>
      <c r="K522" s="18">
        <v>8791</v>
      </c>
      <c r="L522" s="88">
        <f>SUM(F522:K522)</f>
        <v>941239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463682</v>
      </c>
      <c r="G523" s="18">
        <v>166007</v>
      </c>
      <c r="H523" s="18">
        <v>473091</v>
      </c>
      <c r="I523" s="18">
        <v>3906</v>
      </c>
      <c r="J523" s="18"/>
      <c r="K523" s="18">
        <v>10434</v>
      </c>
      <c r="L523" s="88">
        <f>SUM(F523:K523)</f>
        <v>1117120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1470336</v>
      </c>
      <c r="G524" s="108">
        <f t="shared" ref="G524:L524" si="36">SUM(G521:G523)</f>
        <v>526409</v>
      </c>
      <c r="H524" s="108">
        <f t="shared" si="36"/>
        <v>1500173</v>
      </c>
      <c r="I524" s="108">
        <f t="shared" si="36"/>
        <v>12385</v>
      </c>
      <c r="J524" s="108">
        <f t="shared" si="36"/>
        <v>0</v>
      </c>
      <c r="K524" s="108">
        <f t="shared" si="36"/>
        <v>33086</v>
      </c>
      <c r="L524" s="89">
        <f t="shared" si="36"/>
        <v>3542389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136403</v>
      </c>
      <c r="G526" s="18">
        <v>54666</v>
      </c>
      <c r="H526" s="18">
        <v>21180</v>
      </c>
      <c r="I526" s="18">
        <v>3311</v>
      </c>
      <c r="J526" s="18">
        <v>990</v>
      </c>
      <c r="K526" s="18"/>
      <c r="L526" s="88">
        <f>SUM(F526:K526)</f>
        <v>216550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86513</v>
      </c>
      <c r="G527" s="18">
        <v>34672</v>
      </c>
      <c r="H527" s="18">
        <v>13433</v>
      </c>
      <c r="I527" s="18">
        <v>2100</v>
      </c>
      <c r="J527" s="18">
        <v>628</v>
      </c>
      <c r="K527" s="18"/>
      <c r="L527" s="88">
        <f>SUM(F527:K527)</f>
        <v>137346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102679</v>
      </c>
      <c r="G528" s="18">
        <v>41150</v>
      </c>
      <c r="H528" s="18">
        <v>15943</v>
      </c>
      <c r="I528" s="18">
        <v>2492</v>
      </c>
      <c r="J528" s="18">
        <v>746</v>
      </c>
      <c r="K528" s="18"/>
      <c r="L528" s="88">
        <f>SUM(F528:K528)</f>
        <v>163010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325595</v>
      </c>
      <c r="G529" s="89">
        <f t="shared" ref="G529:L529" si="37">SUM(G526:G528)</f>
        <v>130488</v>
      </c>
      <c r="H529" s="89">
        <f t="shared" si="37"/>
        <v>50556</v>
      </c>
      <c r="I529" s="89">
        <f t="shared" si="37"/>
        <v>7903</v>
      </c>
      <c r="J529" s="89">
        <f t="shared" si="37"/>
        <v>2364</v>
      </c>
      <c r="K529" s="89">
        <f t="shared" si="37"/>
        <v>0</v>
      </c>
      <c r="L529" s="89">
        <f t="shared" si="37"/>
        <v>516906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106186</v>
      </c>
      <c r="G531" s="18">
        <v>42243</v>
      </c>
      <c r="H531" s="18"/>
      <c r="I531" s="18"/>
      <c r="J531" s="18"/>
      <c r="K531" s="18"/>
      <c r="L531" s="88">
        <f>SUM(F531:K531)</f>
        <v>148429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67348</v>
      </c>
      <c r="G532" s="18">
        <v>26792</v>
      </c>
      <c r="H532" s="18"/>
      <c r="I532" s="18"/>
      <c r="J532" s="18"/>
      <c r="K532" s="18"/>
      <c r="L532" s="88">
        <f>SUM(F532:K532)</f>
        <v>94140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79932</v>
      </c>
      <c r="G533" s="18">
        <v>31799</v>
      </c>
      <c r="H533" s="18"/>
      <c r="I533" s="18"/>
      <c r="J533" s="18"/>
      <c r="K533" s="18"/>
      <c r="L533" s="88">
        <f>SUM(F533:K533)</f>
        <v>111731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253466</v>
      </c>
      <c r="G534" s="89">
        <f t="shared" ref="G534:L534" si="38">SUM(G531:G533)</f>
        <v>100834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354300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71365</v>
      </c>
      <c r="I541" s="18"/>
      <c r="J541" s="18"/>
      <c r="K541" s="18"/>
      <c r="L541" s="88">
        <f>SUM(F541:K541)</f>
        <v>71365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45263</v>
      </c>
      <c r="I542" s="18"/>
      <c r="J542" s="18"/>
      <c r="K542" s="18"/>
      <c r="L542" s="88">
        <f>SUM(F542:K542)</f>
        <v>45263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53721</v>
      </c>
      <c r="I543" s="18"/>
      <c r="J543" s="18"/>
      <c r="K543" s="18"/>
      <c r="L543" s="88">
        <f>SUM(F543:K543)</f>
        <v>53721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170349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170349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2049397</v>
      </c>
      <c r="G545" s="89">
        <f t="shared" ref="G545:L545" si="41">G524+G529+G534+G539+G544</f>
        <v>757731</v>
      </c>
      <c r="H545" s="89">
        <f t="shared" si="41"/>
        <v>1721078</v>
      </c>
      <c r="I545" s="89">
        <f t="shared" si="41"/>
        <v>20288</v>
      </c>
      <c r="J545" s="89">
        <f t="shared" si="41"/>
        <v>2364</v>
      </c>
      <c r="K545" s="89">
        <f t="shared" si="41"/>
        <v>33086</v>
      </c>
      <c r="L545" s="89">
        <f t="shared" si="41"/>
        <v>4583944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1484030</v>
      </c>
      <c r="G549" s="87">
        <f>L526</f>
        <v>216550</v>
      </c>
      <c r="H549" s="87">
        <f>L531</f>
        <v>148429</v>
      </c>
      <c r="I549" s="87">
        <f>L536</f>
        <v>0</v>
      </c>
      <c r="J549" s="87">
        <f>L541</f>
        <v>71365</v>
      </c>
      <c r="K549" s="87">
        <f>SUM(F549:J549)</f>
        <v>1920374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941239</v>
      </c>
      <c r="G550" s="87">
        <f>L527</f>
        <v>137346</v>
      </c>
      <c r="H550" s="87">
        <f>L532</f>
        <v>94140</v>
      </c>
      <c r="I550" s="87">
        <f>L537</f>
        <v>0</v>
      </c>
      <c r="J550" s="87">
        <f>L542</f>
        <v>45263</v>
      </c>
      <c r="K550" s="87">
        <f>SUM(F550:J550)</f>
        <v>1217988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1117120</v>
      </c>
      <c r="G551" s="87">
        <f>L528</f>
        <v>163010</v>
      </c>
      <c r="H551" s="87">
        <f>L533</f>
        <v>111731</v>
      </c>
      <c r="I551" s="87">
        <f>L538</f>
        <v>0</v>
      </c>
      <c r="J551" s="87">
        <f>L543</f>
        <v>53721</v>
      </c>
      <c r="K551" s="87">
        <f>SUM(F551:J551)</f>
        <v>1445582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3542389</v>
      </c>
      <c r="G552" s="89">
        <f t="shared" si="42"/>
        <v>516906</v>
      </c>
      <c r="H552" s="89">
        <f t="shared" si="42"/>
        <v>354300</v>
      </c>
      <c r="I552" s="89">
        <f t="shared" si="42"/>
        <v>0</v>
      </c>
      <c r="J552" s="89">
        <f t="shared" si="42"/>
        <v>170349</v>
      </c>
      <c r="K552" s="89">
        <f t="shared" si="42"/>
        <v>4583944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137208</v>
      </c>
      <c r="G557" s="18">
        <v>59943</v>
      </c>
      <c r="H557" s="18">
        <v>8376</v>
      </c>
      <c r="I557" s="18">
        <v>6938</v>
      </c>
      <c r="J557" s="18"/>
      <c r="K557" s="18"/>
      <c r="L557" s="88">
        <f>SUM(F557:K557)</f>
        <v>212465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v>87024</v>
      </c>
      <c r="G558" s="18">
        <v>38019</v>
      </c>
      <c r="H558" s="18">
        <v>5312</v>
      </c>
      <c r="I558" s="18">
        <v>4401</v>
      </c>
      <c r="J558" s="18"/>
      <c r="K558" s="18"/>
      <c r="L558" s="88">
        <f>SUM(F558:K558)</f>
        <v>134756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224232</v>
      </c>
      <c r="G560" s="108">
        <f t="shared" si="43"/>
        <v>97962</v>
      </c>
      <c r="H560" s="108">
        <f t="shared" si="43"/>
        <v>13688</v>
      </c>
      <c r="I560" s="108">
        <f t="shared" si="43"/>
        <v>11339</v>
      </c>
      <c r="J560" s="108">
        <f t="shared" si="43"/>
        <v>0</v>
      </c>
      <c r="K560" s="108">
        <f t="shared" si="43"/>
        <v>0</v>
      </c>
      <c r="L560" s="89">
        <f t="shared" si="43"/>
        <v>347221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24227</v>
      </c>
      <c r="G562" s="18">
        <v>8759</v>
      </c>
      <c r="H562" s="18"/>
      <c r="I562" s="18">
        <v>71</v>
      </c>
      <c r="J562" s="18"/>
      <c r="K562" s="18"/>
      <c r="L562" s="88">
        <f>SUM(F562:K562)</f>
        <v>33057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15366</v>
      </c>
      <c r="G563" s="18">
        <v>5555</v>
      </c>
      <c r="H563" s="18"/>
      <c r="I563" s="18">
        <v>45</v>
      </c>
      <c r="J563" s="18"/>
      <c r="K563" s="18"/>
      <c r="L563" s="88">
        <f>SUM(F563:K563)</f>
        <v>20966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18237</v>
      </c>
      <c r="G564" s="18">
        <v>6593</v>
      </c>
      <c r="H564" s="18"/>
      <c r="I564" s="18">
        <v>53</v>
      </c>
      <c r="J564" s="18"/>
      <c r="K564" s="18"/>
      <c r="L564" s="88">
        <f>SUM(F564:K564)</f>
        <v>24883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57830</v>
      </c>
      <c r="G565" s="89">
        <f t="shared" si="44"/>
        <v>20907</v>
      </c>
      <c r="H565" s="89">
        <f t="shared" si="44"/>
        <v>0</v>
      </c>
      <c r="I565" s="89">
        <f t="shared" si="44"/>
        <v>169</v>
      </c>
      <c r="J565" s="89">
        <f t="shared" si="44"/>
        <v>0</v>
      </c>
      <c r="K565" s="89">
        <f t="shared" si="44"/>
        <v>0</v>
      </c>
      <c r="L565" s="89">
        <f t="shared" si="44"/>
        <v>78906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282062</v>
      </c>
      <c r="G571" s="89">
        <f t="shared" ref="G571:L571" si="46">G560+G565+G570</f>
        <v>118869</v>
      </c>
      <c r="H571" s="89">
        <f t="shared" si="46"/>
        <v>13688</v>
      </c>
      <c r="I571" s="89">
        <f t="shared" si="46"/>
        <v>11508</v>
      </c>
      <c r="J571" s="89">
        <f t="shared" si="46"/>
        <v>0</v>
      </c>
      <c r="K571" s="89">
        <f t="shared" si="46"/>
        <v>0</v>
      </c>
      <c r="L571" s="89">
        <f t="shared" si="46"/>
        <v>426127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9310</v>
      </c>
      <c r="I575" s="87">
        <f>SUM(F575:H575)</f>
        <v>9310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>SUM(F578:H578)</f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30650</v>
      </c>
      <c r="G579" s="18">
        <v>19440</v>
      </c>
      <c r="H579" s="18">
        <v>23072</v>
      </c>
      <c r="I579" s="87">
        <f t="shared" si="47"/>
        <v>73162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228167</v>
      </c>
      <c r="G582" s="18">
        <v>144713</v>
      </c>
      <c r="H582" s="18">
        <v>171755</v>
      </c>
      <c r="I582" s="87">
        <f>SUM(F582:H582)</f>
        <v>544635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180574</v>
      </c>
      <c r="I584" s="87">
        <f t="shared" si="47"/>
        <v>180574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260295</v>
      </c>
      <c r="I591" s="18">
        <v>165091</v>
      </c>
      <c r="J591" s="18">
        <f>195940-5572</f>
        <v>190368</v>
      </c>
      <c r="K591" s="104">
        <f t="shared" ref="K591:K597" si="48">SUM(H591:J591)</f>
        <v>615754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71365</v>
      </c>
      <c r="I592" s="18">
        <v>45263</v>
      </c>
      <c r="J592" s="18">
        <v>53721</v>
      </c>
      <c r="K592" s="104">
        <f t="shared" si="48"/>
        <v>170349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7910</v>
      </c>
      <c r="K593" s="104">
        <f t="shared" si="48"/>
        <v>7910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11602</v>
      </c>
      <c r="J594" s="18">
        <v>39714</v>
      </c>
      <c r="K594" s="104">
        <f t="shared" si="48"/>
        <v>51316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f>4886+3264</f>
        <v>8150</v>
      </c>
      <c r="I595" s="18">
        <f>4623+2070</f>
        <v>6693</v>
      </c>
      <c r="J595" s="18">
        <f>6369+119</f>
        <v>6488</v>
      </c>
      <c r="K595" s="104">
        <f t="shared" si="48"/>
        <v>21331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339810</v>
      </c>
      <c r="I598" s="108">
        <f>SUM(I591:I597)</f>
        <v>228649</v>
      </c>
      <c r="J598" s="108">
        <f>SUM(J591:J597)</f>
        <v>298201</v>
      </c>
      <c r="K598" s="108">
        <f>SUM(K591:K597)</f>
        <v>866660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203322</v>
      </c>
      <c r="I604" s="18">
        <v>128956</v>
      </c>
      <c r="J604" s="18">
        <v>153053</v>
      </c>
      <c r="K604" s="104">
        <f>SUM(H604:J604)</f>
        <v>485331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203322</v>
      </c>
      <c r="I605" s="108">
        <f>SUM(I602:I604)</f>
        <v>128956</v>
      </c>
      <c r="J605" s="108">
        <f>SUM(J602:J604)</f>
        <v>153053</v>
      </c>
      <c r="K605" s="108">
        <f>SUM(K602:K604)</f>
        <v>485331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9726</v>
      </c>
      <c r="G611" s="18">
        <v>7993</v>
      </c>
      <c r="H611" s="18"/>
      <c r="I611" s="18">
        <v>870</v>
      </c>
      <c r="J611" s="18"/>
      <c r="K611" s="18"/>
      <c r="L611" s="88">
        <f>SUM(F611:K611)</f>
        <v>18589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6169</v>
      </c>
      <c r="G612" s="18">
        <v>4414</v>
      </c>
      <c r="H612" s="18"/>
      <c r="I612" s="18">
        <v>552</v>
      </c>
      <c r="J612" s="18"/>
      <c r="K612" s="18"/>
      <c r="L612" s="88">
        <f>SUM(F612:K612)</f>
        <v>11135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7321</v>
      </c>
      <c r="G613" s="18">
        <v>7636</v>
      </c>
      <c r="H613" s="18"/>
      <c r="I613" s="18">
        <v>655</v>
      </c>
      <c r="J613" s="18"/>
      <c r="K613" s="18"/>
      <c r="L613" s="88">
        <f>SUM(F613:K613)</f>
        <v>15612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23216</v>
      </c>
      <c r="G614" s="108">
        <f t="shared" si="49"/>
        <v>20043</v>
      </c>
      <c r="H614" s="108">
        <f t="shared" si="49"/>
        <v>0</v>
      </c>
      <c r="I614" s="108">
        <f t="shared" si="49"/>
        <v>2077</v>
      </c>
      <c r="J614" s="108">
        <f t="shared" si="49"/>
        <v>0</v>
      </c>
      <c r="K614" s="108">
        <f t="shared" si="49"/>
        <v>0</v>
      </c>
      <c r="L614" s="89">
        <f t="shared" si="49"/>
        <v>45336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2038166</v>
      </c>
      <c r="H617" s="109">
        <f>SUM(F52)</f>
        <v>2038166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140657</v>
      </c>
      <c r="H618" s="109">
        <f>SUM(G52)</f>
        <v>140657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284462</v>
      </c>
      <c r="H619" s="109">
        <f>SUM(H52)</f>
        <v>284462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1303880</v>
      </c>
      <c r="H621" s="109">
        <f>SUM(J52)</f>
        <v>1303880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1383951</v>
      </c>
      <c r="H622" s="109">
        <f>F476</f>
        <v>1383951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172900</v>
      </c>
      <c r="H623" s="109">
        <f>G476</f>
        <v>172900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1070396</v>
      </c>
      <c r="H626" s="109">
        <f>J476</f>
        <v>1070396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23783406</v>
      </c>
      <c r="H627" s="104">
        <f>SUM(F468)</f>
        <v>23783406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581514</v>
      </c>
      <c r="H628" s="104">
        <f>SUM(G468)</f>
        <v>581514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1409433</v>
      </c>
      <c r="H629" s="104">
        <f>SUM(H468)</f>
        <v>1409433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526946</v>
      </c>
      <c r="H631" s="104">
        <f>SUM(J468)</f>
        <v>526946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23676932</v>
      </c>
      <c r="H632" s="104">
        <f>SUM(F472)</f>
        <v>23676932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1409433</v>
      </c>
      <c r="H633" s="104">
        <f>SUM(H472)</f>
        <v>1409433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240846</v>
      </c>
      <c r="H634" s="104">
        <f>I369</f>
        <v>240846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598937</v>
      </c>
      <c r="H635" s="104">
        <f>SUM(G472)</f>
        <v>598937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526946</v>
      </c>
      <c r="H637" s="164">
        <f>SUM(J468)</f>
        <v>526946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405857</v>
      </c>
      <c r="H638" s="164">
        <f>SUM(J472)</f>
        <v>405857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1303880</v>
      </c>
      <c r="H640" s="104">
        <f>SUM(G461)</f>
        <v>1303880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1303880</v>
      </c>
      <c r="H642" s="104">
        <f>SUM(I461)</f>
        <v>1303880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11572</v>
      </c>
      <c r="H644" s="104">
        <f>H408</f>
        <v>11572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500000</v>
      </c>
      <c r="H645" s="104">
        <f>G408</f>
        <v>500000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526946</v>
      </c>
      <c r="H646" s="104">
        <f>L408</f>
        <v>526946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866660</v>
      </c>
      <c r="H647" s="104">
        <f>L208+L226+L244</f>
        <v>866660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485331</v>
      </c>
      <c r="H648" s="104">
        <f>(J257+J338)-(J255+J336)</f>
        <v>485331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339810</v>
      </c>
      <c r="H649" s="104">
        <f>H598</f>
        <v>339810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228649</v>
      </c>
      <c r="H650" s="104">
        <f>I598</f>
        <v>228649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298201</v>
      </c>
      <c r="H651" s="104">
        <f>J598</f>
        <v>298201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500000</v>
      </c>
      <c r="H655" s="104">
        <f>K266+K347</f>
        <v>500000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10186072</v>
      </c>
      <c r="G660" s="19">
        <f>(L229+L309+L359)</f>
        <v>5933489</v>
      </c>
      <c r="H660" s="19">
        <f>(L247+L328+L360)</f>
        <v>7773710</v>
      </c>
      <c r="I660" s="19">
        <f>SUM(F660:H660)</f>
        <v>23893271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133376.75675571887</v>
      </c>
      <c r="G661" s="19">
        <f>(L359/IF(SUM(L358:L360)=0,1,SUM(L358:L360))*(SUM(G97:G110)))</f>
        <v>74041.292548298065</v>
      </c>
      <c r="H661" s="19">
        <f>(L360/IF(SUM(L358:L360)=0,1,SUM(L358:L360))*(SUM(G97:G110)))</f>
        <v>96290.950695983047</v>
      </c>
      <c r="I661" s="19">
        <f>SUM(F661:H661)</f>
        <v>303709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340332</v>
      </c>
      <c r="G662" s="19">
        <f>(L226+L306)-(J226+J306)</f>
        <v>228964</v>
      </c>
      <c r="H662" s="19">
        <f>(L244+L325)-(J244+J325)</f>
        <v>298592</v>
      </c>
      <c r="I662" s="19">
        <f>SUM(F662:H662)</f>
        <v>867888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480728</v>
      </c>
      <c r="G663" s="199">
        <f>SUM(G575:G587)+SUM(I602:I604)+L612</f>
        <v>304244</v>
      </c>
      <c r="H663" s="199">
        <f>SUM(H575:H587)+SUM(J602:J604)+L613</f>
        <v>553376</v>
      </c>
      <c r="I663" s="19">
        <f>SUM(F663:H663)</f>
        <v>1338348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9231635.243244281</v>
      </c>
      <c r="G664" s="19">
        <f>G660-SUM(G661:G663)</f>
        <v>5326239.7074517021</v>
      </c>
      <c r="H664" s="19">
        <f>H660-SUM(H661:H663)</f>
        <v>6825451.0493040169</v>
      </c>
      <c r="I664" s="19">
        <f>I660-SUM(I661:I663)</f>
        <v>21383326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574.97</v>
      </c>
      <c r="G665" s="248">
        <v>364.69</v>
      </c>
      <c r="H665" s="248">
        <v>432.82</v>
      </c>
      <c r="I665" s="19">
        <f>SUM(F665:H665)</f>
        <v>1372.48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16055.86</v>
      </c>
      <c r="G667" s="19">
        <f>ROUND(G664/G665,2)</f>
        <v>14604.84</v>
      </c>
      <c r="H667" s="19">
        <f>ROUND(H664/H665,2)</f>
        <v>15769.72</v>
      </c>
      <c r="I667" s="19">
        <f>ROUND(I664/I665,2)</f>
        <v>15580.06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-10.28</v>
      </c>
      <c r="I670" s="19">
        <f>SUM(F670:H670)</f>
        <v>-10.28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16055.86</v>
      </c>
      <c r="G672" s="19">
        <f>ROUND((G664+G669)/(G665+G670),2)</f>
        <v>14604.84</v>
      </c>
      <c r="H672" s="19">
        <f>ROUND((H664+H669)/(H665+H670),2)</f>
        <v>16153.38</v>
      </c>
      <c r="I672" s="19">
        <f>ROUND((I664+I669)/(I665+I670),2)</f>
        <v>15697.64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Winnisquam Regional</v>
      </c>
      <c r="C1" s="238" t="s">
        <v>833</v>
      </c>
    </row>
    <row r="2" spans="1:3" x14ac:dyDescent="0.2">
      <c r="A2" s="233"/>
      <c r="B2" s="232"/>
    </row>
    <row r="3" spans="1:3" x14ac:dyDescent="0.2">
      <c r="A3" s="279" t="s">
        <v>778</v>
      </c>
      <c r="B3" s="279"/>
      <c r="C3" s="279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777</v>
      </c>
      <c r="C6" s="278"/>
    </row>
    <row r="7" spans="1:3" x14ac:dyDescent="0.2">
      <c r="A7" s="239" t="s">
        <v>780</v>
      </c>
      <c r="B7" s="276" t="s">
        <v>776</v>
      </c>
      <c r="C7" s="277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5458280</v>
      </c>
      <c r="C9" s="229">
        <f>'DOE25'!G197+'DOE25'!G215+'DOE25'!G233+'DOE25'!G276+'DOE25'!G295+'DOE25'!G314</f>
        <v>2396712</v>
      </c>
    </row>
    <row r="10" spans="1:3" x14ac:dyDescent="0.2">
      <c r="A10" t="s">
        <v>773</v>
      </c>
      <c r="B10" s="240">
        <v>5196703</v>
      </c>
      <c r="C10" s="240">
        <v>2361679</v>
      </c>
    </row>
    <row r="11" spans="1:3" x14ac:dyDescent="0.2">
      <c r="A11" t="s">
        <v>774</v>
      </c>
      <c r="B11" s="240">
        <v>26947</v>
      </c>
      <c r="C11" s="240">
        <v>17062</v>
      </c>
    </row>
    <row r="12" spans="1:3" x14ac:dyDescent="0.2">
      <c r="A12" t="s">
        <v>775</v>
      </c>
      <c r="B12" s="240">
        <v>234630</v>
      </c>
      <c r="C12" s="240">
        <v>17971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5458280</v>
      </c>
      <c r="C13" s="231">
        <f>SUM(C10:C12)</f>
        <v>2396712</v>
      </c>
    </row>
    <row r="14" spans="1:3" x14ac:dyDescent="0.2">
      <c r="B14" s="230"/>
      <c r="C14" s="230"/>
    </row>
    <row r="15" spans="1:3" x14ac:dyDescent="0.2">
      <c r="B15" s="278" t="s">
        <v>777</v>
      </c>
      <c r="C15" s="278"/>
    </row>
    <row r="16" spans="1:3" x14ac:dyDescent="0.2">
      <c r="A16" s="239" t="s">
        <v>781</v>
      </c>
      <c r="B16" s="276" t="s">
        <v>701</v>
      </c>
      <c r="C16" s="277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1851585</v>
      </c>
      <c r="C18" s="229">
        <f>'DOE25'!G198+'DOE25'!G216+'DOE25'!G234+'DOE25'!G277+'DOE25'!G296+'DOE25'!G315</f>
        <v>711002</v>
      </c>
    </row>
    <row r="19" spans="1:3" x14ac:dyDescent="0.2">
      <c r="A19" t="s">
        <v>773</v>
      </c>
      <c r="B19" s="240">
        <v>1050435</v>
      </c>
      <c r="C19" s="240">
        <v>616172</v>
      </c>
    </row>
    <row r="20" spans="1:3" x14ac:dyDescent="0.2">
      <c r="A20" t="s">
        <v>774</v>
      </c>
      <c r="B20" s="240">
        <v>684669</v>
      </c>
      <c r="C20" s="240">
        <v>85919</v>
      </c>
    </row>
    <row r="21" spans="1:3" x14ac:dyDescent="0.2">
      <c r="A21" t="s">
        <v>775</v>
      </c>
      <c r="B21" s="240">
        <v>116481</v>
      </c>
      <c r="C21" s="240">
        <v>8911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1851585</v>
      </c>
      <c r="C22" s="231">
        <f>SUM(C19:C21)</f>
        <v>711002</v>
      </c>
    </row>
    <row r="23" spans="1:3" x14ac:dyDescent="0.2">
      <c r="B23" s="230"/>
      <c r="C23" s="230"/>
    </row>
    <row r="24" spans="1:3" x14ac:dyDescent="0.2">
      <c r="B24" s="278" t="s">
        <v>777</v>
      </c>
      <c r="C24" s="278"/>
    </row>
    <row r="25" spans="1:3" x14ac:dyDescent="0.2">
      <c r="A25" s="239" t="s">
        <v>782</v>
      </c>
      <c r="B25" s="276" t="s">
        <v>702</v>
      </c>
      <c r="C25" s="277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248165</v>
      </c>
      <c r="C27" s="234">
        <f>'DOE25'!G199+'DOE25'!G217+'DOE25'!G235+'DOE25'!G278+'DOE25'!G297+'DOE25'!G316</f>
        <v>83119</v>
      </c>
    </row>
    <row r="28" spans="1:3" x14ac:dyDescent="0.2">
      <c r="A28" t="s">
        <v>773</v>
      </c>
      <c r="B28" s="240">
        <v>246545</v>
      </c>
      <c r="C28" s="240">
        <v>82995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>
        <v>1620</v>
      </c>
      <c r="C30" s="240">
        <v>124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248165</v>
      </c>
      <c r="C31" s="231">
        <f>SUM(C28:C30)</f>
        <v>83119</v>
      </c>
    </row>
    <row r="33" spans="1:3" x14ac:dyDescent="0.2">
      <c r="B33" s="278" t="s">
        <v>777</v>
      </c>
      <c r="C33" s="278"/>
    </row>
    <row r="34" spans="1:3" x14ac:dyDescent="0.2">
      <c r="A34" s="239" t="s">
        <v>783</v>
      </c>
      <c r="B34" s="276" t="s">
        <v>703</v>
      </c>
      <c r="C34" s="277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266097</v>
      </c>
      <c r="C36" s="235">
        <f>'DOE25'!G200+'DOE25'!G218+'DOE25'!G236+'DOE25'!G279+'DOE25'!G298+'DOE25'!G317</f>
        <v>58882</v>
      </c>
    </row>
    <row r="37" spans="1:3" x14ac:dyDescent="0.2">
      <c r="A37" t="s">
        <v>773</v>
      </c>
      <c r="B37" s="240">
        <v>104497</v>
      </c>
      <c r="C37" s="240">
        <v>35241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161600</v>
      </c>
      <c r="C39" s="240">
        <v>23641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266097</v>
      </c>
      <c r="C40" s="231">
        <f>SUM(C37:C39)</f>
        <v>58882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784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711</v>
      </c>
      <c r="B2" s="265" t="str">
        <f>'DOE25'!A2</f>
        <v>Winnisquam Regional</v>
      </c>
      <c r="C2" s="181"/>
      <c r="D2" s="181" t="s">
        <v>786</v>
      </c>
      <c r="E2" s="181" t="s">
        <v>788</v>
      </c>
      <c r="F2" s="280" t="s">
        <v>815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12602120</v>
      </c>
      <c r="D5" s="20">
        <f>SUM('DOE25'!L197:L200)+SUM('DOE25'!L215:L218)+SUM('DOE25'!L233:L236)-F5-G5</f>
        <v>12465000</v>
      </c>
      <c r="E5" s="243"/>
      <c r="F5" s="255">
        <f>SUM('DOE25'!J197:J200)+SUM('DOE25'!J215:J218)+SUM('DOE25'!J233:J236)</f>
        <v>81110</v>
      </c>
      <c r="G5" s="53">
        <f>SUM('DOE25'!K197:K200)+SUM('DOE25'!K215:K218)+SUM('DOE25'!K233:K236)</f>
        <v>56010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1567385</v>
      </c>
      <c r="D6" s="20">
        <f>'DOE25'!L202+'DOE25'!L220+'DOE25'!L238-F6-G6</f>
        <v>1561885</v>
      </c>
      <c r="E6" s="243"/>
      <c r="F6" s="255">
        <f>'DOE25'!J202+'DOE25'!J220+'DOE25'!J238</f>
        <v>4847</v>
      </c>
      <c r="G6" s="53">
        <f>'DOE25'!K202+'DOE25'!K220+'DOE25'!K238</f>
        <v>653</v>
      </c>
      <c r="H6" s="259"/>
    </row>
    <row r="7" spans="1:9" x14ac:dyDescent="0.2">
      <c r="A7" s="32">
        <v>2200</v>
      </c>
      <c r="B7" t="s">
        <v>828</v>
      </c>
      <c r="C7" s="245">
        <f t="shared" si="0"/>
        <v>842789</v>
      </c>
      <c r="D7" s="20">
        <f>'DOE25'!L203+'DOE25'!L221+'DOE25'!L239-F7-G7</f>
        <v>841595</v>
      </c>
      <c r="E7" s="243"/>
      <c r="F7" s="255">
        <f>'DOE25'!J203+'DOE25'!J221+'DOE25'!J239</f>
        <v>531</v>
      </c>
      <c r="G7" s="53">
        <f>'DOE25'!K203+'DOE25'!K221+'DOE25'!K239</f>
        <v>663</v>
      </c>
      <c r="H7" s="259"/>
    </row>
    <row r="8" spans="1:9" x14ac:dyDescent="0.2">
      <c r="A8" s="32">
        <v>2300</v>
      </c>
      <c r="B8" t="s">
        <v>796</v>
      </c>
      <c r="C8" s="245">
        <f t="shared" si="0"/>
        <v>1264774</v>
      </c>
      <c r="D8" s="243"/>
      <c r="E8" s="20">
        <f>'DOE25'!L204+'DOE25'!L222+'DOE25'!L240-F8-G8-D9-D11</f>
        <v>963201</v>
      </c>
      <c r="F8" s="255">
        <f>'DOE25'!J204+'DOE25'!J222+'DOE25'!J240</f>
        <v>285206</v>
      </c>
      <c r="G8" s="53">
        <f>'DOE25'!K204+'DOE25'!K222+'DOE25'!K240</f>
        <v>16367</v>
      </c>
      <c r="H8" s="259"/>
    </row>
    <row r="9" spans="1:9" x14ac:dyDescent="0.2">
      <c r="A9" s="32">
        <v>2310</v>
      </c>
      <c r="B9" t="s">
        <v>812</v>
      </c>
      <c r="C9" s="245">
        <f t="shared" si="0"/>
        <v>209346</v>
      </c>
      <c r="D9" s="244">
        <v>209346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19200</v>
      </c>
      <c r="D10" s="243"/>
      <c r="E10" s="244">
        <v>19200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521144</v>
      </c>
      <c r="D11" s="244">
        <v>521144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1471201</v>
      </c>
      <c r="D12" s="20">
        <f>'DOE25'!L205+'DOE25'!L223+'DOE25'!L241-F12-G12</f>
        <v>1460474</v>
      </c>
      <c r="E12" s="243"/>
      <c r="F12" s="255">
        <f>'DOE25'!J205+'DOE25'!J223+'DOE25'!J241</f>
        <v>348</v>
      </c>
      <c r="G12" s="53">
        <f>'DOE25'!K205+'DOE25'!K223+'DOE25'!K241</f>
        <v>10379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388373</v>
      </c>
      <c r="D13" s="243"/>
      <c r="E13" s="20">
        <f>'DOE25'!L206+'DOE25'!L224+'DOE25'!L242-F13-G13</f>
        <v>388373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2129282</v>
      </c>
      <c r="D14" s="20">
        <f>'DOE25'!L207+'DOE25'!L225+'DOE25'!L243-F14-G14</f>
        <v>2080916</v>
      </c>
      <c r="E14" s="243"/>
      <c r="F14" s="255">
        <f>'DOE25'!J207+'DOE25'!J225+'DOE25'!J243</f>
        <v>46845</v>
      </c>
      <c r="G14" s="53">
        <f>'DOE25'!K207+'DOE25'!K225+'DOE25'!K243</f>
        <v>1521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866660</v>
      </c>
      <c r="D15" s="20">
        <f>'DOE25'!L208+'DOE25'!L226+'DOE25'!L244-F15-G15</f>
        <v>866660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87827</v>
      </c>
      <c r="D16" s="243"/>
      <c r="E16" s="20">
        <f>'DOE25'!L209+'DOE25'!L227+'DOE25'!L245-F16-G16</f>
        <v>87827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1226031</v>
      </c>
      <c r="D25" s="243"/>
      <c r="E25" s="243"/>
      <c r="F25" s="258"/>
      <c r="G25" s="256"/>
      <c r="H25" s="257">
        <f>'DOE25'!L260+'DOE25'!L261+'DOE25'!L341+'DOE25'!L342</f>
        <v>1226031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373310</v>
      </c>
      <c r="D29" s="20">
        <f>'DOE25'!L358+'DOE25'!L359+'DOE25'!L360-'DOE25'!I367-F29-G29</f>
        <v>354484</v>
      </c>
      <c r="E29" s="243"/>
      <c r="F29" s="255">
        <f>'DOE25'!J358+'DOE25'!J359+'DOE25'!J360</f>
        <v>13565</v>
      </c>
      <c r="G29" s="53">
        <f>'DOE25'!K358+'DOE25'!K359+'DOE25'!K360</f>
        <v>5261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1343433</v>
      </c>
      <c r="D31" s="20">
        <f>'DOE25'!L290+'DOE25'!L309+'DOE25'!L328+'DOE25'!L333+'DOE25'!L334+'DOE25'!L335-F31-G31</f>
        <v>1261650</v>
      </c>
      <c r="E31" s="243"/>
      <c r="F31" s="255">
        <f>'DOE25'!J290+'DOE25'!J309+'DOE25'!J328+'DOE25'!J333+'DOE25'!J334+'DOE25'!J335</f>
        <v>66444</v>
      </c>
      <c r="G31" s="53">
        <f>'DOE25'!K290+'DOE25'!K309+'DOE25'!K328+'DOE25'!K333+'DOE25'!K334+'DOE25'!K335</f>
        <v>15339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21623154</v>
      </c>
      <c r="E33" s="246">
        <f>SUM(E5:E31)</f>
        <v>1458601</v>
      </c>
      <c r="F33" s="246">
        <f>SUM(F5:F31)</f>
        <v>498896</v>
      </c>
      <c r="G33" s="246">
        <f>SUM(G5:G31)</f>
        <v>106193</v>
      </c>
      <c r="H33" s="246">
        <f>SUM(H5:H31)</f>
        <v>1226031</v>
      </c>
    </row>
    <row r="35" spans="2:8" ht="12" thickBot="1" x14ac:dyDescent="0.25">
      <c r="B35" s="253" t="s">
        <v>841</v>
      </c>
      <c r="D35" s="254">
        <f>E33</f>
        <v>1458601</v>
      </c>
      <c r="E35" s="249"/>
    </row>
    <row r="36" spans="2:8" ht="12" thickTop="1" x14ac:dyDescent="0.2">
      <c r="B36" t="s">
        <v>809</v>
      </c>
      <c r="D36" s="20">
        <f>D33</f>
        <v>21623154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L23" sqref="L2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Winnisquam Regional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1354212</v>
      </c>
      <c r="D8" s="95">
        <f>'DOE25'!G9</f>
        <v>113771</v>
      </c>
      <c r="E8" s="95">
        <f>'DOE25'!H9</f>
        <v>0</v>
      </c>
      <c r="F8" s="95">
        <f>'DOE25'!I9</f>
        <v>0</v>
      </c>
      <c r="G8" s="95">
        <f>'DOE25'!J9</f>
        <v>1303880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447644</v>
      </c>
      <c r="D11" s="95">
        <f>'DOE25'!G12</f>
        <v>0</v>
      </c>
      <c r="E11" s="95">
        <f>'DOE25'!H12</f>
        <v>12509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5165</v>
      </c>
      <c r="D12" s="95">
        <f>'DOE25'!G13</f>
        <v>22078</v>
      </c>
      <c r="E12" s="95">
        <f>'DOE25'!H13</f>
        <v>271953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216425</v>
      </c>
      <c r="D13" s="95">
        <f>'DOE25'!G14</f>
        <v>4808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14720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2038166</v>
      </c>
      <c r="D18" s="41">
        <f>SUM(D8:D17)</f>
        <v>140657</v>
      </c>
      <c r="E18" s="41">
        <f>SUM(E8:E17)</f>
        <v>284462</v>
      </c>
      <c r="F18" s="41">
        <f>SUM(F8:F17)</f>
        <v>0</v>
      </c>
      <c r="G18" s="41">
        <f>SUM(G8:G17)</f>
        <v>1303880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-43704</v>
      </c>
      <c r="E21" s="95">
        <f>'DOE25'!H22</f>
        <v>271953</v>
      </c>
      <c r="F21" s="95">
        <f>'DOE25'!I22</f>
        <v>0</v>
      </c>
      <c r="G21" s="95">
        <f>'DOE25'!J22</f>
        <v>233484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7108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50516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596591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11461</v>
      </c>
      <c r="E29" s="95">
        <f>'DOE25'!H30</f>
        <v>12509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654215</v>
      </c>
      <c r="D31" s="41">
        <f>SUM(D21:D30)</f>
        <v>-32243</v>
      </c>
      <c r="E31" s="41">
        <f>SUM(E21:E30)</f>
        <v>284462</v>
      </c>
      <c r="F31" s="41">
        <f>SUM(F21:F30)</f>
        <v>0</v>
      </c>
      <c r="G31" s="41">
        <f>SUM(G21:G30)</f>
        <v>233484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14720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172900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1070396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363809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505422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1383951</v>
      </c>
      <c r="D50" s="41">
        <f>SUM(D34:D49)</f>
        <v>172900</v>
      </c>
      <c r="E50" s="41">
        <f>SUM(E34:E49)</f>
        <v>0</v>
      </c>
      <c r="F50" s="41">
        <f>SUM(F34:F49)</f>
        <v>0</v>
      </c>
      <c r="G50" s="41">
        <f>SUM(G34:G49)</f>
        <v>1070396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2038166</v>
      </c>
      <c r="D51" s="41">
        <f>D50+D31</f>
        <v>140657</v>
      </c>
      <c r="E51" s="41">
        <f>E50+E31</f>
        <v>284462</v>
      </c>
      <c r="F51" s="41">
        <f>F50+F31</f>
        <v>0</v>
      </c>
      <c r="G51" s="41">
        <f>G50+G31</f>
        <v>1303880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13380072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94706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32214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11572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303159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292632</v>
      </c>
      <c r="D61" s="95">
        <f>SUM('DOE25'!G98:G110)</f>
        <v>550</v>
      </c>
      <c r="E61" s="95">
        <f>SUM('DOE25'!H98:H110)</f>
        <v>25605</v>
      </c>
      <c r="F61" s="95">
        <f>SUM('DOE25'!I98:I110)</f>
        <v>0</v>
      </c>
      <c r="G61" s="95">
        <f>SUM('DOE25'!J98:J110)</f>
        <v>15374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419552</v>
      </c>
      <c r="D62" s="130">
        <f>SUM(D57:D61)</f>
        <v>303709</v>
      </c>
      <c r="E62" s="130">
        <f>SUM(E57:E61)</f>
        <v>25605</v>
      </c>
      <c r="F62" s="130">
        <f>SUM(F57:F61)</f>
        <v>0</v>
      </c>
      <c r="G62" s="130">
        <f>SUM(G57:G61)</f>
        <v>26946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13799624</v>
      </c>
      <c r="D63" s="22">
        <f>D56+D62</f>
        <v>303709</v>
      </c>
      <c r="E63" s="22">
        <f>E56+E62</f>
        <v>25605</v>
      </c>
      <c r="F63" s="22">
        <f>F56+F62</f>
        <v>0</v>
      </c>
      <c r="G63" s="22">
        <f>G56+G62</f>
        <v>26946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6312462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2689335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12805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9014602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606078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46418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59214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9183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711710</v>
      </c>
      <c r="D78" s="130">
        <f>SUM(D72:D77)</f>
        <v>9183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9726312</v>
      </c>
      <c r="D81" s="130">
        <f>SUM(D79:D80)+D78+D70</f>
        <v>9183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244997</v>
      </c>
      <c r="D88" s="95">
        <f>SUM('DOE25'!G153:G161)</f>
        <v>268622</v>
      </c>
      <c r="E88" s="95">
        <f>SUM('DOE25'!H153:H161)</f>
        <v>1383828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244997</v>
      </c>
      <c r="D91" s="131">
        <f>SUM(D85:D90)</f>
        <v>268622</v>
      </c>
      <c r="E91" s="131">
        <f>SUM(E85:E90)</f>
        <v>1383828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500000</v>
      </c>
    </row>
    <row r="97" spans="1:7" x14ac:dyDescent="0.2">
      <c r="A97" t="s">
        <v>752</v>
      </c>
      <c r="B97" s="32" t="s">
        <v>188</v>
      </c>
      <c r="C97" s="95">
        <f>SUM('DOE25'!F180:F181)</f>
        <v>12473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12473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500000</v>
      </c>
    </row>
    <row r="104" spans="1:7" ht="12.75" thickTop="1" thickBot="1" x14ac:dyDescent="0.25">
      <c r="A104" s="33" t="s">
        <v>759</v>
      </c>
      <c r="C104" s="86">
        <f>C63+C81+C91+C103</f>
        <v>23783406</v>
      </c>
      <c r="D104" s="86">
        <f>D63+D81+D91+D103</f>
        <v>581514</v>
      </c>
      <c r="E104" s="86">
        <f>E63+E81+E91+E103</f>
        <v>1409433</v>
      </c>
      <c r="F104" s="86">
        <f>F63+F81+F91+F103</f>
        <v>0</v>
      </c>
      <c r="G104" s="86">
        <f>G63+G81+G103</f>
        <v>526946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7809428</v>
      </c>
      <c r="D109" s="24" t="s">
        <v>286</v>
      </c>
      <c r="E109" s="95">
        <f>('DOE25'!L276)+('DOE25'!L295)+('DOE25'!L314)</f>
        <v>364180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3815662</v>
      </c>
      <c r="D110" s="24" t="s">
        <v>286</v>
      </c>
      <c r="E110" s="95">
        <f>('DOE25'!L277)+('DOE25'!L296)+('DOE25'!L315)</f>
        <v>298989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505829</v>
      </c>
      <c r="D111" s="24" t="s">
        <v>286</v>
      </c>
      <c r="E111" s="95">
        <f>('DOE25'!L278)+('DOE25'!L297)+('DOE25'!L316)</f>
        <v>82920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471201</v>
      </c>
      <c r="D112" s="24" t="s">
        <v>286</v>
      </c>
      <c r="E112" s="95">
        <f>+('DOE25'!L279)+('DOE25'!L298)+('DOE25'!L317)</f>
        <v>34856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66000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12602120</v>
      </c>
      <c r="D115" s="86">
        <f>SUM(D109:D114)</f>
        <v>0</v>
      </c>
      <c r="E115" s="86">
        <f>SUM(E109:E114)</f>
        <v>846945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1567385</v>
      </c>
      <c r="D118" s="24" t="s">
        <v>286</v>
      </c>
      <c r="E118" s="95">
        <f>+('DOE25'!L281)+('DOE25'!L300)+('DOE25'!L319)</f>
        <v>362593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842789</v>
      </c>
      <c r="D119" s="24" t="s">
        <v>286</v>
      </c>
      <c r="E119" s="95">
        <f>+('DOE25'!L282)+('DOE25'!L301)+('DOE25'!L320)</f>
        <v>116575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1995264</v>
      </c>
      <c r="D120" s="24" t="s">
        <v>286</v>
      </c>
      <c r="E120" s="95">
        <f>+('DOE25'!L283)+('DOE25'!L302)+('DOE25'!L321)</f>
        <v>45661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1471201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388373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2129282</v>
      </c>
      <c r="D123" s="24" t="s">
        <v>286</v>
      </c>
      <c r="E123" s="95">
        <f>+('DOE25'!L286)+('DOE25'!L305)+('DOE25'!L324)</f>
        <v>25604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866660</v>
      </c>
      <c r="D124" s="24" t="s">
        <v>286</v>
      </c>
      <c r="E124" s="95">
        <f>+('DOE25'!L287)+('DOE25'!L306)+('DOE25'!L325)</f>
        <v>2728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87827</v>
      </c>
      <c r="D125" s="24" t="s">
        <v>286</v>
      </c>
      <c r="E125" s="95">
        <f>+('DOE25'!L288)+('DOE25'!L307)+('DOE25'!L326)</f>
        <v>9327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598937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9348781</v>
      </c>
      <c r="D128" s="86">
        <f>SUM(D118:D127)</f>
        <v>598937</v>
      </c>
      <c r="E128" s="86">
        <f>SUM(E118:E127)</f>
        <v>562488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1070690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155341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459019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67927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-26946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1726031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23676932</v>
      </c>
      <c r="D145" s="86">
        <f>(D115+D128+D144)</f>
        <v>598937</v>
      </c>
      <c r="E145" s="86">
        <f>(E115+E128+E144)</f>
        <v>1409433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3/11</v>
      </c>
      <c r="C152" s="152" t="str">
        <f>'DOE25'!G491</f>
        <v>11/09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8/21</v>
      </c>
      <c r="C153" s="152" t="str">
        <f>'DOE25'!G492</f>
        <v>12/25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862500</v>
      </c>
      <c r="C154" s="137">
        <f>'DOE25'!G493</f>
        <v>3396240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3.19</v>
      </c>
      <c r="C155" s="137">
        <f>'DOE25'!G494</f>
        <v>1.4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4080000</v>
      </c>
      <c r="C156" s="137">
        <f>'DOE25'!G495</f>
        <v>1835081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5915081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845000</v>
      </c>
      <c r="C158" s="137">
        <f>'DOE25'!G497</f>
        <v>225690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1070690</v>
      </c>
    </row>
    <row r="159" spans="1:9" x14ac:dyDescent="0.2">
      <c r="A159" s="22" t="s">
        <v>35</v>
      </c>
      <c r="B159" s="137">
        <f>'DOE25'!F498</f>
        <v>3235000</v>
      </c>
      <c r="C159" s="137">
        <f>'DOE25'!G498</f>
        <v>1609391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4844391</v>
      </c>
    </row>
    <row r="160" spans="1:9" x14ac:dyDescent="0.2">
      <c r="A160" s="22" t="s">
        <v>36</v>
      </c>
      <c r="B160" s="137">
        <f>'DOE25'!F499</f>
        <v>254112.5</v>
      </c>
      <c r="C160" s="137">
        <f>'DOE25'!G499</f>
        <v>90546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344658.5</v>
      </c>
    </row>
    <row r="161" spans="1:7" x14ac:dyDescent="0.2">
      <c r="A161" s="22" t="s">
        <v>37</v>
      </c>
      <c r="B161" s="137">
        <f>'DOE25'!F500</f>
        <v>3489112.5</v>
      </c>
      <c r="C161" s="137">
        <f>'DOE25'!G500</f>
        <v>1699937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5189049.5</v>
      </c>
    </row>
    <row r="162" spans="1:7" x14ac:dyDescent="0.2">
      <c r="A162" s="22" t="s">
        <v>38</v>
      </c>
      <c r="B162" s="137">
        <f>'DOE25'!F501</f>
        <v>830000</v>
      </c>
      <c r="C162" s="137">
        <f>'DOE25'!G501</f>
        <v>226720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1056720</v>
      </c>
    </row>
    <row r="163" spans="1:7" x14ac:dyDescent="0.2">
      <c r="A163" s="22" t="s">
        <v>39</v>
      </c>
      <c r="B163" s="137">
        <f>'DOE25'!F502</f>
        <v>104525</v>
      </c>
      <c r="C163" s="137">
        <f>'DOE25'!G502</f>
        <v>22531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127056</v>
      </c>
    </row>
    <row r="164" spans="1:7" x14ac:dyDescent="0.2">
      <c r="A164" s="22" t="s">
        <v>246</v>
      </c>
      <c r="B164" s="137">
        <f>'DOE25'!F503</f>
        <v>934525</v>
      </c>
      <c r="C164" s="137">
        <f>'DOE25'!G503</f>
        <v>249251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1183776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3" workbookViewId="0">
      <selection activeCell="C10" sqref="C1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734</v>
      </c>
      <c r="B1" s="284"/>
      <c r="C1" s="284"/>
      <c r="D1" s="284"/>
    </row>
    <row r="2" spans="1:4" x14ac:dyDescent="0.2">
      <c r="A2" s="187" t="s">
        <v>711</v>
      </c>
      <c r="B2" s="186" t="str">
        <f>'DOE25'!A2</f>
        <v>Winnisquam Regional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16056</v>
      </c>
    </row>
    <row r="5" spans="1:4" x14ac:dyDescent="0.2">
      <c r="B5" t="s">
        <v>698</v>
      </c>
      <c r="C5" s="179">
        <f>IF('DOE25'!G665+'DOE25'!G670=0,0,ROUND('DOE25'!G672,0))</f>
        <v>14605</v>
      </c>
    </row>
    <row r="6" spans="1:4" x14ac:dyDescent="0.2">
      <c r="B6" t="s">
        <v>62</v>
      </c>
      <c r="C6" s="179">
        <f>IF('DOE25'!H665+'DOE25'!H670=0,0,ROUND('DOE25'!H672,0))</f>
        <v>16153</v>
      </c>
    </row>
    <row r="7" spans="1:4" x14ac:dyDescent="0.2">
      <c r="B7" t="s">
        <v>699</v>
      </c>
      <c r="C7" s="179">
        <f>IF('DOE25'!I665+'DOE25'!I670=0,0,ROUND('DOE25'!I672,0))</f>
        <v>15698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8173608</v>
      </c>
      <c r="D10" s="182">
        <f>ROUND((C10/$C$28)*100,1)</f>
        <v>34.299999999999997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4114651</v>
      </c>
      <c r="D11" s="182">
        <f>ROUND((C11/$C$28)*100,1)</f>
        <v>17.3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588749</v>
      </c>
      <c r="D12" s="182">
        <f>ROUND((C12/$C$28)*100,1)</f>
        <v>2.5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506057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1929978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959364</v>
      </c>
      <c r="D16" s="182">
        <f t="shared" si="0"/>
        <v>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2138079</v>
      </c>
      <c r="D17" s="182">
        <f t="shared" si="0"/>
        <v>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1471201</v>
      </c>
      <c r="D18" s="182">
        <f t="shared" si="0"/>
        <v>6.2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388373</v>
      </c>
      <c r="D19" s="182">
        <f t="shared" si="0"/>
        <v>1.6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2154886</v>
      </c>
      <c r="D20" s="182">
        <f t="shared" si="0"/>
        <v>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869388</v>
      </c>
      <c r="D21" s="182">
        <f t="shared" si="0"/>
        <v>3.7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66000</v>
      </c>
      <c r="D23" s="182">
        <f t="shared" si="0"/>
        <v>0.3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155341</v>
      </c>
      <c r="D25" s="182">
        <f t="shared" si="0"/>
        <v>0.7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295228</v>
      </c>
      <c r="D27" s="182">
        <f t="shared" si="0"/>
        <v>1.2</v>
      </c>
    </row>
    <row r="28" spans="1:4" x14ac:dyDescent="0.2">
      <c r="B28" s="187" t="s">
        <v>717</v>
      </c>
      <c r="C28" s="180">
        <f>SUM(C10:C27)</f>
        <v>23810903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23810903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1070690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13380072</v>
      </c>
      <c r="D35" s="182">
        <f t="shared" ref="D35:D40" si="1">ROUND((C35/$C$41)*100,1)</f>
        <v>52.5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472103</v>
      </c>
      <c r="D36" s="182">
        <f t="shared" si="1"/>
        <v>1.9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9001797</v>
      </c>
      <c r="D37" s="182">
        <f t="shared" si="1"/>
        <v>35.299999999999997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733698</v>
      </c>
      <c r="D38" s="182">
        <f t="shared" si="1"/>
        <v>2.9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1897447</v>
      </c>
      <c r="D39" s="182">
        <f t="shared" si="1"/>
        <v>7.4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25485117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13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764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761</v>
      </c>
      <c r="B2" s="302"/>
      <c r="C2" s="302"/>
      <c r="D2" s="302"/>
      <c r="E2" s="302"/>
      <c r="F2" s="299" t="str">
        <f>'DOE25'!A2</f>
        <v>Winnisquam Regional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7" t="s">
        <v>765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842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24" workbookViewId="0">
      <selection activeCell="D30" sqref="D30"/>
    </sheetView>
  </sheetViews>
  <sheetFormatPr defaultRowHeight="11.25" x14ac:dyDescent="0.2"/>
  <cols>
    <col min="1" max="1" width="15.1640625" style="275" bestFit="1" customWidth="1"/>
  </cols>
  <sheetData>
    <row r="1" spans="1:1" x14ac:dyDescent="0.2">
      <c r="A1" s="275">
        <v>21273.98</v>
      </c>
    </row>
    <row r="2" spans="1:1" x14ac:dyDescent="0.2">
      <c r="A2" s="275">
        <v>2609</v>
      </c>
    </row>
    <row r="3" spans="1:1" x14ac:dyDescent="0.2">
      <c r="A3" s="275">
        <v>5536.43</v>
      </c>
    </row>
    <row r="4" spans="1:1" x14ac:dyDescent="0.2">
      <c r="A4" s="275">
        <v>-34.28</v>
      </c>
    </row>
    <row r="5" spans="1:1" x14ac:dyDescent="0.2">
      <c r="A5" s="275">
        <v>5996.39</v>
      </c>
    </row>
    <row r="6" spans="1:1" x14ac:dyDescent="0.2">
      <c r="A6" s="275">
        <v>12367.93</v>
      </c>
    </row>
    <row r="7" spans="1:1" x14ac:dyDescent="0.2">
      <c r="A7" s="275">
        <v>113827.8</v>
      </c>
    </row>
    <row r="8" spans="1:1" x14ac:dyDescent="0.2">
      <c r="A8" s="275">
        <v>440791.99</v>
      </c>
    </row>
    <row r="9" spans="1:1" x14ac:dyDescent="0.2">
      <c r="A9" s="275">
        <v>45689.67</v>
      </c>
    </row>
    <row r="10" spans="1:1" x14ac:dyDescent="0.2">
      <c r="A10" s="275">
        <v>-2448.92</v>
      </c>
    </row>
    <row r="11" spans="1:1" x14ac:dyDescent="0.2">
      <c r="A11" s="275">
        <v>-5635</v>
      </c>
    </row>
    <row r="12" spans="1:1" x14ac:dyDescent="0.2">
      <c r="A12" s="275">
        <f>SUM(A1:A11)</f>
        <v>639974.99</v>
      </c>
    </row>
    <row r="16" spans="1:1" x14ac:dyDescent="0.2">
      <c r="A16" s="275">
        <v>6251848</v>
      </c>
    </row>
    <row r="17" spans="1:4" x14ac:dyDescent="0.2">
      <c r="A17" s="275">
        <v>4443034</v>
      </c>
    </row>
    <row r="18" spans="1:4" x14ac:dyDescent="0.2">
      <c r="A18" s="275">
        <v>5285134</v>
      </c>
    </row>
    <row r="19" spans="1:4" x14ac:dyDescent="0.2">
      <c r="A19" s="275">
        <f>SUM(A16:A18)</f>
        <v>15980016</v>
      </c>
    </row>
    <row r="21" spans="1:4" x14ac:dyDescent="0.2">
      <c r="A21" s="275">
        <f>1740423.74-150-200-250-600</f>
        <v>1739223.74</v>
      </c>
    </row>
    <row r="23" spans="1:4" x14ac:dyDescent="0.2">
      <c r="A23" s="275">
        <v>150</v>
      </c>
    </row>
    <row r="24" spans="1:4" x14ac:dyDescent="0.2">
      <c r="A24" s="275">
        <v>200</v>
      </c>
    </row>
    <row r="25" spans="1:4" x14ac:dyDescent="0.2">
      <c r="A25" s="275">
        <v>600</v>
      </c>
      <c r="D25">
        <v>1095157</v>
      </c>
    </row>
    <row r="26" spans="1:4" x14ac:dyDescent="0.2">
      <c r="A26" s="275">
        <v>929.55</v>
      </c>
      <c r="D26">
        <v>256070</v>
      </c>
    </row>
    <row r="27" spans="1:4" x14ac:dyDescent="0.2">
      <c r="A27" s="275">
        <f>SUM(A23:A26)</f>
        <v>1879.55</v>
      </c>
      <c r="D27">
        <v>855</v>
      </c>
    </row>
    <row r="28" spans="1:4" x14ac:dyDescent="0.2">
      <c r="D28">
        <f>SUM(D25:D27)</f>
        <v>1352082</v>
      </c>
    </row>
    <row r="29" spans="1:4" x14ac:dyDescent="0.2">
      <c r="A29" s="275">
        <v>2517023</v>
      </c>
    </row>
    <row r="30" spans="1:4" x14ac:dyDescent="0.2">
      <c r="A30" s="275">
        <v>-1004403</v>
      </c>
      <c r="D30">
        <v>52</v>
      </c>
    </row>
    <row r="31" spans="1:4" x14ac:dyDescent="0.2">
      <c r="A31" s="275">
        <f>SUM(A29:A30)</f>
        <v>1512620</v>
      </c>
    </row>
    <row r="35" spans="1:3" x14ac:dyDescent="0.2">
      <c r="A35" s="275">
        <v>1749255.71</v>
      </c>
    </row>
    <row r="36" spans="1:3" x14ac:dyDescent="0.2">
      <c r="A36" s="275">
        <v>-600771</v>
      </c>
    </row>
    <row r="37" spans="1:3" x14ac:dyDescent="0.2">
      <c r="A37" s="275">
        <f>SUM(A35:A36)</f>
        <v>1148484.71</v>
      </c>
    </row>
    <row r="39" spans="1:3" x14ac:dyDescent="0.2">
      <c r="A39" s="275">
        <v>450000</v>
      </c>
    </row>
    <row r="40" spans="1:3" x14ac:dyDescent="0.2">
      <c r="A40" s="275">
        <v>927068.55</v>
      </c>
      <c r="B40">
        <v>927068.55</v>
      </c>
      <c r="C40">
        <v>31432.53</v>
      </c>
    </row>
    <row r="41" spans="1:3" x14ac:dyDescent="0.2">
      <c r="A41" s="275">
        <f>A40-A39</f>
        <v>477068.55000000005</v>
      </c>
      <c r="C41">
        <v>781.05</v>
      </c>
    </row>
    <row r="42" spans="1:3" x14ac:dyDescent="0.2">
      <c r="C42">
        <f>SUM(C40:C41)</f>
        <v>32213.579999999998</v>
      </c>
    </row>
    <row r="43" spans="1:3" x14ac:dyDescent="0.2">
      <c r="A43" s="275">
        <v>500000</v>
      </c>
    </row>
    <row r="44" spans="1:3" x14ac:dyDescent="0.2">
      <c r="A44" s="275">
        <v>-176706</v>
      </c>
    </row>
    <row r="45" spans="1:3" x14ac:dyDescent="0.2">
      <c r="A45" s="275">
        <f>C43</f>
        <v>0</v>
      </c>
    </row>
    <row r="47" spans="1:3" x14ac:dyDescent="0.2">
      <c r="A47" s="275">
        <v>4124773</v>
      </c>
    </row>
    <row r="48" spans="1:3" x14ac:dyDescent="0.2">
      <c r="A48" s="275">
        <v>569350</v>
      </c>
    </row>
    <row r="49" spans="1:1" x14ac:dyDescent="0.2">
      <c r="A49" s="275">
        <v>1618340</v>
      </c>
    </row>
    <row r="50" spans="1:1" x14ac:dyDescent="0.2">
      <c r="A50" s="275">
        <f>SUM(A47:A49)</f>
        <v>6312463</v>
      </c>
    </row>
    <row r="52" spans="1:1" x14ac:dyDescent="0.2">
      <c r="A52" s="275">
        <v>633985</v>
      </c>
    </row>
    <row r="53" spans="1:1" x14ac:dyDescent="0.2">
      <c r="A53" s="275">
        <v>943623</v>
      </c>
    </row>
    <row r="54" spans="1:1" x14ac:dyDescent="0.2">
      <c r="A54" s="275">
        <v>1111727</v>
      </c>
    </row>
    <row r="55" spans="1:1" x14ac:dyDescent="0.2">
      <c r="A55" s="275">
        <f>SUM(A52:A54)</f>
        <v>2689335</v>
      </c>
    </row>
    <row r="57" spans="1:1" x14ac:dyDescent="0.2">
      <c r="A57" s="275">
        <v>113370</v>
      </c>
    </row>
    <row r="58" spans="1:1" x14ac:dyDescent="0.2">
      <c r="A58" s="275">
        <v>400</v>
      </c>
    </row>
    <row r="59" spans="1:1" x14ac:dyDescent="0.2">
      <c r="A59" s="275">
        <f>SUM(A57:A58)</f>
        <v>113770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2018-10-08T13:42:50Z</cp:lastPrinted>
  <dcterms:created xsi:type="dcterms:W3CDTF">1997-12-04T19:04:30Z</dcterms:created>
  <dcterms:modified xsi:type="dcterms:W3CDTF">2018-12-03T19:59:58Z</dcterms:modified>
</cp:coreProperties>
</file>