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F68" i="1"/>
  <c r="F13" i="1"/>
  <c r="H223" i="1" l="1"/>
  <c r="F24" i="1"/>
  <c r="B10" i="12" l="1"/>
  <c r="B37" i="12" l="1"/>
  <c r="F28" i="1"/>
  <c r="H222" i="1"/>
  <c r="H204" i="1" l="1"/>
  <c r="H459" i="1"/>
  <c r="G459" i="1"/>
  <c r="H396" i="1"/>
  <c r="H397" i="1"/>
  <c r="I403" i="1"/>
  <c r="G442" i="1"/>
  <c r="F502" i="1"/>
  <c r="F499" i="1"/>
  <c r="G502" i="1"/>
  <c r="G499" i="1"/>
  <c r="G495" i="1"/>
  <c r="G498" i="1" s="1"/>
  <c r="F498" i="1"/>
  <c r="F611" i="1" l="1"/>
  <c r="H604" i="1"/>
  <c r="I604" i="1"/>
  <c r="I197" i="1" l="1"/>
  <c r="G197" i="1"/>
  <c r="H451" i="1" l="1"/>
  <c r="H439" i="1"/>
  <c r="G48"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36" i="14" l="1"/>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C125" i="2" s="1"/>
  <c r="G5" i="13"/>
  <c r="H5" i="13"/>
  <c r="L197" i="1"/>
  <c r="L198" i="1"/>
  <c r="C11" i="10" s="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G649" i="1" s="1"/>
  <c r="L226" i="1"/>
  <c r="L244" i="1"/>
  <c r="G17" i="13"/>
  <c r="H17" i="13"/>
  <c r="L251" i="1"/>
  <c r="G18" i="13"/>
  <c r="H18" i="13"/>
  <c r="L252" i="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C132" i="2" s="1"/>
  <c r="L341" i="1"/>
  <c r="L342" i="1"/>
  <c r="L255" i="1"/>
  <c r="L336" i="1"/>
  <c r="E130" i="2" s="1"/>
  <c r="C11" i="13"/>
  <c r="C10" i="13"/>
  <c r="C9" i="13"/>
  <c r="L361" i="1"/>
  <c r="B4" i="12"/>
  <c r="B36" i="12"/>
  <c r="C36" i="12"/>
  <c r="B40" i="12"/>
  <c r="B27" i="12"/>
  <c r="C27" i="12"/>
  <c r="B31" i="12"/>
  <c r="C31" i="12"/>
  <c r="B9" i="12"/>
  <c r="B13" i="12"/>
  <c r="C9" i="12"/>
  <c r="B18" i="12"/>
  <c r="B22" i="12"/>
  <c r="C18" i="12"/>
  <c r="B1" i="12"/>
  <c r="L387" i="1"/>
  <c r="L388" i="1"/>
  <c r="L389" i="1"/>
  <c r="L390" i="1"/>
  <c r="L391" i="1"/>
  <c r="L392" i="1"/>
  <c r="L395" i="1"/>
  <c r="L396" i="1"/>
  <c r="L397" i="1"/>
  <c r="L398" i="1"/>
  <c r="L399" i="1"/>
  <c r="L400" i="1"/>
  <c r="L403" i="1"/>
  <c r="L404" i="1"/>
  <c r="L405" i="1"/>
  <c r="L406" i="1"/>
  <c r="L266" i="1"/>
  <c r="J60" i="1"/>
  <c r="G56" i="2" s="1"/>
  <c r="G59" i="2"/>
  <c r="G62" i="2" s="1"/>
  <c r="G61" i="2"/>
  <c r="F2" i="11"/>
  <c r="L613" i="1"/>
  <c r="H663" i="1" s="1"/>
  <c r="L612" i="1"/>
  <c r="G663" i="1" s="1"/>
  <c r="L611" i="1"/>
  <c r="F663" i="1" s="1"/>
  <c r="C40" i="10"/>
  <c r="F60" i="1"/>
  <c r="G60" i="1"/>
  <c r="D56" i="2" s="1"/>
  <c r="H60" i="1"/>
  <c r="I60" i="1"/>
  <c r="F56" i="2" s="1"/>
  <c r="F79" i="1"/>
  <c r="C57" i="2" s="1"/>
  <c r="F94" i="1"/>
  <c r="F111" i="1"/>
  <c r="G111" i="1"/>
  <c r="H79" i="1"/>
  <c r="E57" i="2" s="1"/>
  <c r="H94" i="1"/>
  <c r="E58" i="2" s="1"/>
  <c r="H111" i="1"/>
  <c r="I111" i="1"/>
  <c r="I112" i="1" s="1"/>
  <c r="J111" i="1"/>
  <c r="J112" i="1" s="1"/>
  <c r="F121" i="1"/>
  <c r="F136" i="1"/>
  <c r="G121" i="1"/>
  <c r="G136" i="1"/>
  <c r="H121" i="1"/>
  <c r="H136" i="1"/>
  <c r="I121" i="1"/>
  <c r="I136" i="1"/>
  <c r="J121" i="1"/>
  <c r="J140" i="1" s="1"/>
  <c r="J136" i="1"/>
  <c r="F147" i="1"/>
  <c r="F162" i="1"/>
  <c r="G147" i="1"/>
  <c r="D85" i="2" s="1"/>
  <c r="G162" i="1"/>
  <c r="H147" i="1"/>
  <c r="E85" i="2" s="1"/>
  <c r="H162" i="1"/>
  <c r="H169" i="1" s="1"/>
  <c r="I147" i="1"/>
  <c r="I169" i="1" s="1"/>
  <c r="I162" i="1"/>
  <c r="L250" i="1"/>
  <c r="C113" i="2" s="1"/>
  <c r="L332" i="1"/>
  <c r="L254" i="1"/>
  <c r="L268" i="1"/>
  <c r="C142" i="2" s="1"/>
  <c r="L269" i="1"/>
  <c r="L349" i="1"/>
  <c r="L350" i="1"/>
  <c r="E143" i="2" s="1"/>
  <c r="I665" i="1"/>
  <c r="I670" i="1"/>
  <c r="G662" i="1"/>
  <c r="H662" i="1"/>
  <c r="I669" i="1"/>
  <c r="C4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E56" i="2"/>
  <c r="C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C79" i="2"/>
  <c r="D79" i="2"/>
  <c r="E79" i="2"/>
  <c r="C80" i="2"/>
  <c r="E80"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3" i="2"/>
  <c r="D115" i="2"/>
  <c r="F115" i="2"/>
  <c r="G115" i="2"/>
  <c r="C119" i="2"/>
  <c r="E119" i="2"/>
  <c r="E123" i="2"/>
  <c r="E124" i="2"/>
  <c r="F128" i="2"/>
  <c r="G128" i="2"/>
  <c r="D134" i="2"/>
  <c r="D144" i="2" s="1"/>
  <c r="E134" i="2"/>
  <c r="F134" i="2"/>
  <c r="K419" i="1"/>
  <c r="K427" i="1"/>
  <c r="K433" i="1"/>
  <c r="L263" i="1"/>
  <c r="C135" i="2" s="1"/>
  <c r="E135" i="2"/>
  <c r="L264" i="1"/>
  <c r="C136" i="2" s="1"/>
  <c r="L265" i="1"/>
  <c r="C137" i="2" s="1"/>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G624" i="1" s="1"/>
  <c r="I51" i="1"/>
  <c r="F177" i="1"/>
  <c r="I177" i="1"/>
  <c r="F183" i="1"/>
  <c r="G183" i="1"/>
  <c r="G192" i="1" s="1"/>
  <c r="H183" i="1"/>
  <c r="I183" i="1"/>
  <c r="J183" i="1"/>
  <c r="J192" i="1" s="1"/>
  <c r="F188" i="1"/>
  <c r="F192" i="1" s="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H634" i="1" s="1"/>
  <c r="L381" i="1"/>
  <c r="F382" i="1"/>
  <c r="G382" i="1"/>
  <c r="H382" i="1"/>
  <c r="I382" i="1"/>
  <c r="J382" i="1"/>
  <c r="K382" i="1"/>
  <c r="F393" i="1"/>
  <c r="G393" i="1"/>
  <c r="H393" i="1"/>
  <c r="I393" i="1"/>
  <c r="F401" i="1"/>
  <c r="G401" i="1"/>
  <c r="H401" i="1"/>
  <c r="I401" i="1"/>
  <c r="F407" i="1"/>
  <c r="G407" i="1"/>
  <c r="H407" i="1"/>
  <c r="I407" i="1"/>
  <c r="F408" i="1"/>
  <c r="H643" i="1" s="1"/>
  <c r="J643" i="1" s="1"/>
  <c r="G408" i="1"/>
  <c r="H645" i="1" s="1"/>
  <c r="H408" i="1"/>
  <c r="H644"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F452" i="1"/>
  <c r="G452" i="1"/>
  <c r="H452" i="1"/>
  <c r="F460" i="1"/>
  <c r="G460" i="1"/>
  <c r="H460"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I571" i="1" s="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22" i="1"/>
  <c r="G623" i="1"/>
  <c r="G643" i="1"/>
  <c r="G644" i="1"/>
  <c r="H647" i="1"/>
  <c r="G650" i="1"/>
  <c r="G651" i="1"/>
  <c r="G652" i="1"/>
  <c r="H652" i="1"/>
  <c r="G653" i="1"/>
  <c r="H653" i="1"/>
  <c r="G654" i="1"/>
  <c r="H654" i="1"/>
  <c r="H655" i="1"/>
  <c r="H112" i="1"/>
  <c r="H140" i="1"/>
  <c r="H192" i="1"/>
  <c r="E122" i="2" l="1"/>
  <c r="L247" i="1"/>
  <c r="C111" i="2"/>
  <c r="C19" i="10"/>
  <c r="F571" i="1"/>
  <c r="C124" i="2"/>
  <c r="C12" i="10"/>
  <c r="J651" i="1"/>
  <c r="H571" i="1"/>
  <c r="L570" i="1"/>
  <c r="L565" i="1"/>
  <c r="L571" i="1" s="1"/>
  <c r="H461" i="1"/>
  <c r="H641" i="1" s="1"/>
  <c r="J641" i="1" s="1"/>
  <c r="F85" i="2"/>
  <c r="G112" i="1"/>
  <c r="J571" i="1"/>
  <c r="I408" i="1"/>
  <c r="K550" i="1"/>
  <c r="C21" i="12"/>
  <c r="C19" i="12"/>
  <c r="C22" i="12" s="1"/>
  <c r="A22" i="12" s="1"/>
  <c r="C20" i="12"/>
  <c r="C39" i="12"/>
  <c r="C38" i="12"/>
  <c r="C37" i="12"/>
  <c r="C40" i="12" s="1"/>
  <c r="A40" i="12" s="1"/>
  <c r="G461" i="1"/>
  <c r="H640" i="1" s="1"/>
  <c r="F461" i="1"/>
  <c r="H639" i="1" s="1"/>
  <c r="J639" i="1" s="1"/>
  <c r="K551" i="1"/>
  <c r="L351" i="1"/>
  <c r="F662" i="1"/>
  <c r="C11" i="12"/>
  <c r="C12" i="12"/>
  <c r="C10" i="12"/>
  <c r="C13" i="12" s="1"/>
  <c r="A13" i="12" s="1"/>
  <c r="D91" i="2"/>
  <c r="E78" i="2"/>
  <c r="C70" i="2"/>
  <c r="L433" i="1"/>
  <c r="G164" i="2"/>
  <c r="G161" i="2"/>
  <c r="G156" i="2"/>
  <c r="G157" i="2"/>
  <c r="K598" i="1"/>
  <c r="G647" i="1" s="1"/>
  <c r="J649" i="1"/>
  <c r="E120" i="2"/>
  <c r="E118" i="2"/>
  <c r="L309" i="1"/>
  <c r="E25" i="14" s="1"/>
  <c r="G338" i="1"/>
  <c r="G352" i="1" s="1"/>
  <c r="E109" i="2"/>
  <c r="F338" i="1"/>
  <c r="F352" i="1" s="1"/>
  <c r="C15" i="10"/>
  <c r="G552" i="1"/>
  <c r="K545" i="1"/>
  <c r="H552" i="1"/>
  <c r="G545" i="1"/>
  <c r="J552" i="1"/>
  <c r="I662" i="1"/>
  <c r="C121" i="2"/>
  <c r="F257" i="1"/>
  <c r="F271" i="1" s="1"/>
  <c r="I257" i="1"/>
  <c r="I271" i="1" s="1"/>
  <c r="C21" i="10"/>
  <c r="C123" i="2"/>
  <c r="C122" i="2"/>
  <c r="C17" i="10"/>
  <c r="C25" i="10"/>
  <c r="I25" i="13"/>
  <c r="C25" i="13" s="1"/>
  <c r="J257" i="1"/>
  <c r="J271" i="1" s="1"/>
  <c r="L256" i="1"/>
  <c r="E62" i="2"/>
  <c r="E63" i="2" s="1"/>
  <c r="F112" i="1"/>
  <c r="I52" i="1"/>
  <c r="H620" i="1" s="1"/>
  <c r="E31" i="2"/>
  <c r="H52" i="1"/>
  <c r="H619" i="1" s="1"/>
  <c r="J619" i="1" s="1"/>
  <c r="J617" i="1"/>
  <c r="J647" i="1"/>
  <c r="L534" i="1"/>
  <c r="I452" i="1"/>
  <c r="E103" i="2"/>
  <c r="L270" i="1"/>
  <c r="I552" i="1"/>
  <c r="F552" i="1"/>
  <c r="F130" i="2"/>
  <c r="F144" i="2" s="1"/>
  <c r="F145" i="2" s="1"/>
  <c r="F169" i="1"/>
  <c r="L401" i="1"/>
  <c r="C139" i="2" s="1"/>
  <c r="L393" i="1"/>
  <c r="C138" i="2" s="1"/>
  <c r="A31" i="12"/>
  <c r="C29" i="10"/>
  <c r="L328" i="1"/>
  <c r="G36" i="14" s="1"/>
  <c r="H36" i="14" s="1"/>
  <c r="I36" i="14" s="1"/>
  <c r="E125" i="2"/>
  <c r="E121" i="2"/>
  <c r="C13" i="10"/>
  <c r="G661" i="1"/>
  <c r="D19" i="13"/>
  <c r="C19" i="13" s="1"/>
  <c r="D14" i="13"/>
  <c r="C14" i="13" s="1"/>
  <c r="C18" i="10"/>
  <c r="L211" i="1"/>
  <c r="D5" i="14" s="1"/>
  <c r="F5" i="14" s="1"/>
  <c r="F4" i="14" s="1"/>
  <c r="C120" i="2"/>
  <c r="J655" i="1"/>
  <c r="H257" i="1"/>
  <c r="H271" i="1" s="1"/>
  <c r="J640" i="1"/>
  <c r="H545" i="1"/>
  <c r="I460" i="1"/>
  <c r="L427" i="1"/>
  <c r="L419" i="1"/>
  <c r="G645" i="1"/>
  <c r="J645" i="1" s="1"/>
  <c r="L614" i="1"/>
  <c r="K500" i="1"/>
  <c r="J634" i="1"/>
  <c r="C118" i="2"/>
  <c r="C56" i="2"/>
  <c r="D50" i="2"/>
  <c r="D31" i="2"/>
  <c r="F18" i="2"/>
  <c r="C18" i="2"/>
  <c r="D18" i="2"/>
  <c r="I545" i="1"/>
  <c r="I446" i="1"/>
  <c r="G642" i="1" s="1"/>
  <c r="K257" i="1"/>
  <c r="K271" i="1" s="1"/>
  <c r="K571" i="1"/>
  <c r="L560" i="1"/>
  <c r="J545" i="1"/>
  <c r="C78" i="2"/>
  <c r="C81" i="2" s="1"/>
  <c r="D81" i="2"/>
  <c r="D62" i="2"/>
  <c r="D63" i="2" s="1"/>
  <c r="J644" i="1"/>
  <c r="C35" i="10"/>
  <c r="C36" i="10" s="1"/>
  <c r="G625" i="1"/>
  <c r="L529" i="1"/>
  <c r="C130" i="2"/>
  <c r="C114" i="2"/>
  <c r="C110" i="2"/>
  <c r="G81" i="2"/>
  <c r="C62" i="2"/>
  <c r="C32" i="10"/>
  <c r="F661" i="1"/>
  <c r="L362" i="1"/>
  <c r="D18" i="13"/>
  <c r="C18" i="13" s="1"/>
  <c r="D15" i="13"/>
  <c r="C15" i="13" s="1"/>
  <c r="D6" i="13"/>
  <c r="C6" i="13" s="1"/>
  <c r="E13" i="13"/>
  <c r="C13" i="13" s="1"/>
  <c r="K549" i="1"/>
  <c r="K552" i="1" s="1"/>
  <c r="L382" i="1"/>
  <c r="G257" i="1"/>
  <c r="G271" i="1" s="1"/>
  <c r="C85" i="2"/>
  <c r="C91" i="2" s="1"/>
  <c r="H661" i="1"/>
  <c r="C20" i="10"/>
  <c r="D29" i="13"/>
  <c r="C29" i="13" s="1"/>
  <c r="D12" i="13"/>
  <c r="C12" i="13" s="1"/>
  <c r="D5" i="13"/>
  <c r="C5" i="13" s="1"/>
  <c r="E8" i="13"/>
  <c r="C8" i="13" s="1"/>
  <c r="H338" i="1"/>
  <c r="H352" i="1" s="1"/>
  <c r="G22" i="13"/>
  <c r="C22" i="13" s="1"/>
  <c r="L539" i="1"/>
  <c r="K503" i="1"/>
  <c r="K338" i="1"/>
  <c r="K352" i="1" s="1"/>
  <c r="E81" i="2"/>
  <c r="L290" i="1"/>
  <c r="E5" i="14" s="1"/>
  <c r="C26" i="10"/>
  <c r="L544" i="1"/>
  <c r="L524" i="1"/>
  <c r="J338" i="1"/>
  <c r="J352" i="1" s="1"/>
  <c r="D127" i="2"/>
  <c r="D128" i="2" s="1"/>
  <c r="D145" i="2" s="1"/>
  <c r="E112" i="2"/>
  <c r="C16" i="10"/>
  <c r="D17" i="13"/>
  <c r="C17" i="13" s="1"/>
  <c r="D7" i="13"/>
  <c r="C7" i="13" s="1"/>
  <c r="E16" i="13"/>
  <c r="C16" i="13" s="1"/>
  <c r="H660" i="1"/>
  <c r="C10" i="10"/>
  <c r="C109" i="2"/>
  <c r="L229" i="1"/>
  <c r="D25" i="14" s="1"/>
  <c r="F25" i="14" s="1"/>
  <c r="F24" i="14" s="1"/>
  <c r="L337" i="1"/>
  <c r="F62" i="2"/>
  <c r="F63"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C141" i="2" s="1"/>
  <c r="I192" i="1"/>
  <c r="E91" i="2"/>
  <c r="J654" i="1"/>
  <c r="J653" i="1"/>
  <c r="G21" i="2"/>
  <c r="G31" i="2" s="1"/>
  <c r="J32" i="1"/>
  <c r="L434" i="1"/>
  <c r="J434" i="1"/>
  <c r="F434" i="1"/>
  <c r="K434" i="1"/>
  <c r="G134" i="2" s="1"/>
  <c r="G144" i="2" s="1"/>
  <c r="G145" i="2" s="1"/>
  <c r="G31" i="13"/>
  <c r="J193" i="1"/>
  <c r="H193" i="1"/>
  <c r="G169" i="1"/>
  <c r="G140" i="1"/>
  <c r="F140" i="1"/>
  <c r="G63" i="2"/>
  <c r="J618" i="1"/>
  <c r="G42" i="2"/>
  <c r="G50" i="2" s="1"/>
  <c r="J51" i="1"/>
  <c r="G16" i="2"/>
  <c r="G18" i="2" s="1"/>
  <c r="J19" i="1"/>
  <c r="G621" i="1" s="1"/>
  <c r="F545" i="1"/>
  <c r="H434" i="1"/>
  <c r="J620" i="1"/>
  <c r="D103" i="2"/>
  <c r="I140" i="1"/>
  <c r="J652" i="1"/>
  <c r="G571" i="1"/>
  <c r="I434" i="1"/>
  <c r="G434" i="1"/>
  <c r="I663" i="1"/>
  <c r="C27" i="10"/>
  <c r="G636" i="1" l="1"/>
  <c r="I472" i="1"/>
  <c r="I33" i="13"/>
  <c r="C63" i="2"/>
  <c r="C104" i="2" s="1"/>
  <c r="G629" i="1"/>
  <c r="H468" i="1"/>
  <c r="G635" i="1"/>
  <c r="G472" i="1"/>
  <c r="D51" i="2"/>
  <c r="G646" i="1"/>
  <c r="J468" i="1"/>
  <c r="L408" i="1"/>
  <c r="E51" i="2"/>
  <c r="E104" i="2"/>
  <c r="G638" i="1"/>
  <c r="J472" i="1"/>
  <c r="G24" i="14"/>
  <c r="E115" i="2"/>
  <c r="E128" i="2"/>
  <c r="C128" i="2"/>
  <c r="F660" i="1"/>
  <c r="F664" i="1" s="1"/>
  <c r="F672" i="1" s="1"/>
  <c r="C4" i="10" s="1"/>
  <c r="D104" i="2"/>
  <c r="C39" i="10"/>
  <c r="F193" i="1"/>
  <c r="G51" i="2"/>
  <c r="F51" i="2"/>
  <c r="I461" i="1"/>
  <c r="H642" i="1" s="1"/>
  <c r="J642" i="1" s="1"/>
  <c r="I193" i="1"/>
  <c r="F104" i="2"/>
  <c r="D31" i="13"/>
  <c r="C31" i="13" s="1"/>
  <c r="H648" i="1"/>
  <c r="J648" i="1" s="1"/>
  <c r="G104" i="2"/>
  <c r="G33" i="13"/>
  <c r="C144" i="2"/>
  <c r="G660" i="1"/>
  <c r="G664" i="1" s="1"/>
  <c r="G667" i="1" s="1"/>
  <c r="E33" i="13"/>
  <c r="D35" i="13" s="1"/>
  <c r="G4" i="14"/>
  <c r="H4" i="14" s="1"/>
  <c r="I4" i="14" s="1"/>
  <c r="L257" i="1"/>
  <c r="L271" i="1" s="1"/>
  <c r="L338" i="1"/>
  <c r="L352" i="1" s="1"/>
  <c r="C115" i="2"/>
  <c r="H664" i="1"/>
  <c r="L545" i="1"/>
  <c r="I661" i="1"/>
  <c r="C28" i="10"/>
  <c r="D23" i="10" s="1"/>
  <c r="H24" i="14"/>
  <c r="I24" i="14" s="1"/>
  <c r="C51" i="2"/>
  <c r="G631" i="1"/>
  <c r="G193" i="1"/>
  <c r="G626" i="1"/>
  <c r="J52" i="1"/>
  <c r="H621" i="1" s="1"/>
  <c r="J621" i="1" s="1"/>
  <c r="C38" i="10"/>
  <c r="J470" i="1" l="1"/>
  <c r="H631" i="1"/>
  <c r="H637" i="1"/>
  <c r="J635" i="1"/>
  <c r="H635" i="1"/>
  <c r="G474" i="1"/>
  <c r="G628" i="1"/>
  <c r="G468" i="1"/>
  <c r="G630" i="1"/>
  <c r="I468" i="1"/>
  <c r="H629" i="1"/>
  <c r="J629" i="1" s="1"/>
  <c r="H470" i="1"/>
  <c r="I474" i="1"/>
  <c r="H636" i="1"/>
  <c r="J631" i="1"/>
  <c r="G633" i="1"/>
  <c r="H472" i="1"/>
  <c r="J636" i="1"/>
  <c r="G627" i="1"/>
  <c r="F468" i="1"/>
  <c r="G632" i="1"/>
  <c r="F472" i="1"/>
  <c r="G637" i="1"/>
  <c r="J637" i="1" s="1"/>
  <c r="H646" i="1"/>
  <c r="J646" i="1" s="1"/>
  <c r="J474" i="1"/>
  <c r="J476" i="1" s="1"/>
  <c r="H626" i="1" s="1"/>
  <c r="J626" i="1" s="1"/>
  <c r="H638" i="1"/>
  <c r="J638" i="1" s="1"/>
  <c r="E145" i="2"/>
  <c r="D25" i="10"/>
  <c r="F667" i="1"/>
  <c r="C145" i="2"/>
  <c r="I660" i="1"/>
  <c r="I664" i="1" s="1"/>
  <c r="G672" i="1"/>
  <c r="C5" i="10" s="1"/>
  <c r="H667" i="1"/>
  <c r="H672" i="1"/>
  <c r="C6" i="10" s="1"/>
  <c r="D22" i="10"/>
  <c r="D18" i="10"/>
  <c r="D27" i="10"/>
  <c r="D15" i="10"/>
  <c r="D21" i="10"/>
  <c r="D24" i="10"/>
  <c r="D20" i="10"/>
  <c r="D11" i="10"/>
  <c r="D12" i="10"/>
  <c r="D13" i="10"/>
  <c r="D17" i="10"/>
  <c r="D19" i="10"/>
  <c r="D10" i="10"/>
  <c r="D26" i="10"/>
  <c r="C30" i="10"/>
  <c r="D16" i="10"/>
  <c r="D33" i="13"/>
  <c r="D36" i="13" s="1"/>
  <c r="C41" i="10"/>
  <c r="D38" i="10" s="1"/>
  <c r="I470" i="1" l="1"/>
  <c r="I476" i="1" s="1"/>
  <c r="H625" i="1" s="1"/>
  <c r="J625" i="1" s="1"/>
  <c r="H630" i="1"/>
  <c r="J630" i="1" s="1"/>
  <c r="G470" i="1"/>
  <c r="G476" i="1" s="1"/>
  <c r="H623" i="1" s="1"/>
  <c r="J623" i="1" s="1"/>
  <c r="H628" i="1"/>
  <c r="J628" i="1" s="1"/>
  <c r="H633" i="1"/>
  <c r="J633" i="1" s="1"/>
  <c r="H474" i="1"/>
  <c r="H476" i="1" s="1"/>
  <c r="H624" i="1" s="1"/>
  <c r="J624" i="1" s="1"/>
  <c r="H627" i="1"/>
  <c r="F470" i="1"/>
  <c r="J627" i="1"/>
  <c r="F474" i="1"/>
  <c r="H632" i="1"/>
  <c r="J632" i="1" s="1"/>
  <c r="I672" i="1"/>
  <c r="C7" i="10" s="1"/>
  <c r="I667" i="1"/>
  <c r="D28" i="10"/>
  <c r="D37" i="10"/>
  <c r="D36" i="10"/>
  <c r="D35" i="10"/>
  <c r="D40" i="10"/>
  <c r="D39" i="10"/>
  <c r="F476" i="1" l="1"/>
  <c r="H622" i="1" s="1"/>
  <c r="J622" i="1"/>
  <c r="H656"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<sst xmlns="http://schemas.openxmlformats.org/spreadsheetml/2006/main" count="5512" uniqueCount="1616">
  <si>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</si>
  <si>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</si>
  <si>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</si>
  <si>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</si>
  <si>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</si>
  <si>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</si>
  <si>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</si>
  <si>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</si>
  <si>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</si>
  <si>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</si>
  <si>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</si>
  <si>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</si>
  <si>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</si>
  <si>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</si>
  <si>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</si>
  <si>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</si>
  <si>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</si>
  <si>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</si>
  <si>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</si>
  <si>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</si>
  <si>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</si>
  <si>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</si>
  <si>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</si>
  <si>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</si>
  <si>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</si>
  <si>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</si>
  <si>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</si>
  <si>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</si>
  <si>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</si>
  <si>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</si>
  <si>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</si>
  <si>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</si>
  <si>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</si>
  <si>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</si>
  <si>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</si>
  <si>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</si>
  <si>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</si>
  <si>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</si>
  <si>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</si>
  <si>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</si>
  <si>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</si>
  <si>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</si>
  <si>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</si>
  <si>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</si>
  <si>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</si>
  <si>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</si>
  <si>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</si>
  <si>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</si>
  <si>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</si>
  <si>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</si>
  <si>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</si>
  <si>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</si>
  <si>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</si>
  <si>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</si>
  <si>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</si>
  <si>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</si>
  <si>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</si>
  <si>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</si>
  <si>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</si>
  <si>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</si>
  <si>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</si>
  <si>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</si>
  <si>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</si>
  <si>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</si>
  <si>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</si>
  <si>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</si>
  <si>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</si>
  <si>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</si>
  <si>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</si>
  <si>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</si>
  <si>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</si>
  <si>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</si>
  <si>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</si>
  <si>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</si>
  <si>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</si>
  <si>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</si>
  <si>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</si>
  <si>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</si>
  <si>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</si>
  <si>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</si>
  <si>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</si>
  <si>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</si>
  <si>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</si>
  <si>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</si>
  <si>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</si>
  <si>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</si>
  <si>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</si>
  <si>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</si>
  <si>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</si>
  <si>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</si>
  <si>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</si>
  <si>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</si>
  <si>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</si>
  <si>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</si>
  <si>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</si>
  <si>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</si>
  <si>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</si>
  <si>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</si>
  <si>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</si>
  <si>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</si>
  <si>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</si>
  <si>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</si>
  <si>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</si>
  <si>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</si>
  <si>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</si>
  <si>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</si>
  <si>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</si>
  <si>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</si>
  <si>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</si>
  <si>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</si>
  <si>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</si>
  <si>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</si>
  <si>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</si>
  <si>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</si>
  <si>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</si>
  <si>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</si>
  <si>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</si>
  <si>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</si>
  <si>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</si>
  <si>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</si>
  <si>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</si>
  <si>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</si>
  <si>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</si>
  <si>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</si>
  <si>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</si>
  <si>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</si>
  <si>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</si>
  <si>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</si>
  <si>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</si>
  <si>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</si>
  <si>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</si>
  <si>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</si>
  <si>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</si>
  <si>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</si>
  <si>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</si>
  <si>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</si>
  <si>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</si>
  <si>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</si>
  <si>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</si>
  <si>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</si>
  <si>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</si>
  <si>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</si>
  <si>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</si>
  <si>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</si>
  <si>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</si>
  <si>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</si>
  <si>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</si>
  <si>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</si>
  <si>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</si>
  <si>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</si>
  <si>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</si>
  <si>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</si>
  <si>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</si>
  <si>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</si>
  <si>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</si>
  <si>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</si>
  <si>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</si>
  <si>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</si>
  <si>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</si>
  <si>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</si>
  <si>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</si>
  <si>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</si>
  <si>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</si>
  <si>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</si>
  <si>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</si>
  <si>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</si>
  <si>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</si>
  <si>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</si>
  <si>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</si>
  <si>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</si>
  <si>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</si>
  <si>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</si>
  <si>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</si>
  <si>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</si>
  <si>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</si>
  <si>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</si>
  <si>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</si>
  <si>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</si>
  <si>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</si>
  <si>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</si>
  <si>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</si>
  <si>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</si>
  <si>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</si>
  <si>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</si>
  <si>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</si>
  <si>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</si>
  <si>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</si>
  <si>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</si>
  <si>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</si>
  <si>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</si>
  <si>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</si>
  <si>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</si>
  <si>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</si>
  <si>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</si>
  <si>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</si>
  <si>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</si>
  <si>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</si>
  <si>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</si>
  <si>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</si>
  <si>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</si>
  <si>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</si>
  <si>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</si>
  <si>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</si>
  <si>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</si>
  <si>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</si>
  <si>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</si>
  <si>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</si>
  <si>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</si>
  <si>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</si>
  <si>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</si>
  <si>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</si>
  <si>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</si>
  <si>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</si>
  <si>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</si>
  <si>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</si>
  <si>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</si>
  <si>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</si>
  <si>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</si>
  <si>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</si>
  <si>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</si>
  <si>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</si>
  <si>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</si>
  <si>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</si>
  <si>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</si>
  <si>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</si>
  <si>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</si>
  <si>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</si>
  <si>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</si>
  <si>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</si>
  <si>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</si>
  <si>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</si>
  <si>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</si>
  <si>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</si>
  <si>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</si>
  <si>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</si>
  <si>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</si>
  <si>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</si>
  <si>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</si>
  <si>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</si>
  <si>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</si>
  <si>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</si>
  <si>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</si>
  <si>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</si>
  <si>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</si>
  <si>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</si>
  <si>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</si>
  <si>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</si>
  <si>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</si>
  <si>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</si>
  <si>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</si>
  <si>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</si>
  <si>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</si>
  <si>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</si>
  <si>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</si>
  <si>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</si>
  <si>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</si>
  <si>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</si>
  <si>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</si>
  <si>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</si>
  <si>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</si>
  <si>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</si>
  <si>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</si>
  <si>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</si>
  <si>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</si>
  <si>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</si>
  <si>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</si>
  <si>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</si>
  <si>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</si>
  <si>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</si>
  <si>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</si>
  <si>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</si>
  <si>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</si>
  <si>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</si>
  <si>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</si>
  <si>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</si>
  <si>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</si>
  <si>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</si>
  <si>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</si>
  <si>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</si>
  <si>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</si>
  <si>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</si>
  <si>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</si>
  <si>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</si>
  <si>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</si>
  <si>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</si>
  <si>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</si>
  <si>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</si>
  <si>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</si>
  <si>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</si>
  <si>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</si>
  <si>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</si>
  <si>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</si>
  <si>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</si>
  <si>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</si>
  <si>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</si>
  <si>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</si>
  <si>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</si>
  <si>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</si>
  <si>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</si>
  <si>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</si>
  <si>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</si>
  <si>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</si>
  <si>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</si>
  <si>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</si>
  <si>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</si>
  <si>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</si>
  <si>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</si>
  <si>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</si>
  <si>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</si>
  <si>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</si>
  <si>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</si>
  <si>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</si>
  <si>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</si>
  <si>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</si>
  <si>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</si>
  <si>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</si>
  <si>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</si>
  <si>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</si>
  <si>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</si>
  <si>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</si>
  <si>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</si>
  <si>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</si>
  <si>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</si>
  <si>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</si>
  <si>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</si>
  <si>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</si>
  <si>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</si>
  <si>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</si>
  <si>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</si>
  <si>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</si>
  <si>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</si>
  <si>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</si>
  <si>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</si>
  <si>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</si>
  <si>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</si>
  <si>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</si>
  <si>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</si>
  <si>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</si>
  <si>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</si>
  <si>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</si>
  <si>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</si>
  <si>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</si>
  <si>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</si>
  <si>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</si>
  <si>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</si>
  <si>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</si>
  <si>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</si>
  <si>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</si>
  <si>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</si>
  <si>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</si>
  <si>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</si>
  <si>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</si>
  <si>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</si>
  <si>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</si>
  <si>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</si>
  <si>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</si>
  <si>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</si>
  <si>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</si>
  <si>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</si>
  <si>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</si>
  <si>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</si>
  <si>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</si>
  <si>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</si>
  <si>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</si>
  <si>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</si>
  <si>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</si>
  <si>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</si>
  <si>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</si>
  <si>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</si>
  <si>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</si>
  <si>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</si>
  <si>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</si>
  <si>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</si>
  <si>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</si>
  <si>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</si>
  <si>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</si>
  <si>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</si>
  <si>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</si>
  <si>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</si>
  <si>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</si>
  <si>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</si>
  <si>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</si>
  <si>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</si>
  <si>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</si>
  <si>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</si>
  <si>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</si>
  <si>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</si>
  <si>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</si>
  <si>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</si>
  <si>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</si>
  <si>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</si>
  <si>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</si>
  <si>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</si>
  <si>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</si>
  <si>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</si>
  <si>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</si>
  <si>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</si>
  <si>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</si>
  <si>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</si>
  <si>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</si>
  <si>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</si>
  <si>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</si>
  <si>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</si>
  <si>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</si>
  <si>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</si>
  <si>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</si>
  <si>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</si>
  <si>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</si>
  <si>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</si>
  <si>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</si>
  <si>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</si>
  <si>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</si>
  <si>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</si>
  <si>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</si>
  <si>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</si>
  <si>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</si>
  <si>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</si>
  <si>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</si>
  <si>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</si>
  <si>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</si>
  <si>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</si>
  <si>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</si>
  <si>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</si>
  <si>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</si>
  <si>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</si>
  <si>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</si>
  <si>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</si>
  <si>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</si>
  <si>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</si>
  <si>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</si>
  <si>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</si>
  <si>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</si>
  <si>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</si>
  <si>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</si>
  <si>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</si>
  <si>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</si>
  <si>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</si>
  <si>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</si>
  <si>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</si>
  <si>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</si>
  <si>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</si>
  <si>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</si>
  <si>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</si>
  <si>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</si>
  <si>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</si>
  <si>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</si>
  <si>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</si>
  <si>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</si>
  <si>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</si>
  <si>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</si>
  <si>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</si>
  <si>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</si>
  <si>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</si>
  <si>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</si>
  <si>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</si>
  <si>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</si>
  <si>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</si>
  <si>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</si>
  <si>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</si>
  <si>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</si>
  <si>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</si>
  <si>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</si>
  <si>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</si>
  <si>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</si>
  <si>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</si>
  <si>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</si>
  <si>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</si>
  <si>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</si>
  <si>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</si>
  <si>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</si>
  <si>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</si>
  <si>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</si>
  <si>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</si>
  <si>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</si>
  <si>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</si>
  <si>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</si>
  <si>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</si>
  <si>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</si>
  <si>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</si>
  <si>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</si>
  <si>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</si>
  <si>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</si>
  <si>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</si>
  <si>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</si>
  <si>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</si>
  <si>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</si>
  <si>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</si>
  <si>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</si>
  <si>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</si>
  <si>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</si>
  <si>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</si>
  <si>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</si>
  <si>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</si>
  <si>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</si>
  <si>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</si>
  <si>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</si>
  <si>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</si>
  <si>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</si>
  <si>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</si>
  <si>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</si>
  <si>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</si>
  <si>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</si>
  <si>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</si>
  <si>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</si>
  <si>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</si>
  <si>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</si>
  <si>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</si>
  <si>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</si>
  <si>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</si>
  <si>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</si>
  <si>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</si>
  <si>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</si>
  <si>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</si>
  <si>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</si>
  <si>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</si>
  <si>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</si>
  <si>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</si>
  <si>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</si>
  <si>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</si>
  <si>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</si>
  <si>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</si>
  <si>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</si>
  <si>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</si>
  <si>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</si>
  <si>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</si>
  <si>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</si>
  <si>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</si>
  <si>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</si>
  <si>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</si>
  <si>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</si>
  <si>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</si>
  <si>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</si>
  <si>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</si>
  <si>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</si>
  <si>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</si>
  <si>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</si>
  <si>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</si>
  <si>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</si>
  <si>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</si>
  <si>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</si>
  <si>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</si>
  <si>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</si>
  <si>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</si>
  <si>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</si>
  <si>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</si>
  <si>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</si>
  <si>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</si>
  <si>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</si>
  <si>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</si>
  <si>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</si>
  <si>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</si>
  <si>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</si>
  <si>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</si>
  <si>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</si>
  <si>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</si>
  <si>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</si>
  <si>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</si>
  <si>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</si>
  <si>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</si>
  <si>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</si>
  <si>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</si>
  <si>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</si>
  <si>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</si>
  <si>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</si>
  <si>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</si>
  <si>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</si>
  <si>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</si>
  <si>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</si>
  <si>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</si>
  <si>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</si>
  <si>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</si>
  <si>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</si>
  <si>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</si>
  <si>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</si>
  <si>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</si>
  <si>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</si>
  <si>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</si>
  <si>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</si>
  <si>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</si>
  <si>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</si>
  <si>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</si>
  <si>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</si>
  <si>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</si>
  <si>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</si>
  <si>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</si>
  <si>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</si>
  <si>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</si>
  <si>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</si>
  <si>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</si>
  <si>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</si>
  <si>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</si>
  <si>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</si>
  <si>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</si>
  <si>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</si>
  <si>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</si>
  <si>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</si>
  <si>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</si>
  <si>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</si>
  <si>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</si>
  <si>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</si>
  <si>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</si>
  <si>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</si>
  <si>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</si>
  <si>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</si>
  <si>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</si>
  <si>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</si>
  <si>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</si>
  <si>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</si>
  <si>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</si>
  <si>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</si>
  <si>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</si>
  <si>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</si>
  <si>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</si>
  <si>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</si>
  <si>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</si>
  <si>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</si>
  <si>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</si>
  <si>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</si>
  <si>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</si>
  <si>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</si>
  <si>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</si>
  <si>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</si>
  <si>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</si>
  <si>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</si>
  <si>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</si>
  <si>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</si>
  <si>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</si>
  <si>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</si>
  <si>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</si>
  <si>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</si>
  <si>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</si>
  <si>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</si>
  <si>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</si>
  <si>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</si>
  <si>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</si>
  <si>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</si>
  <si>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</si>
  <si>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</si>
  <si>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</si>
  <si>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</si>
  <si>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</si>
  <si>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</si>
  <si>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</si>
  <si>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</si>
  <si>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</si>
  <si>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</si>
  <si>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</si>
  <si>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</si>
  <si>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</si>
  <si>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</si>
  <si>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</si>
  <si>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</si>
  <si>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</si>
  <si>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</si>
  <si>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</si>
  <si>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</si>
  <si>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</si>
  <si>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</si>
  <si>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</si>
  <si>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</si>
  <si>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</si>
  <si>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</si>
  <si>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</si>
  <si>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</si>
  <si>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</si>
  <si>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</si>
  <si>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</si>
  <si>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</si>
  <si>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</si>
  <si>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</si>
  <si>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</si>
  <si>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</si>
  <si>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</si>
  <si>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</si>
  <si>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</si>
  <si>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</si>
  <si>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</si>
  <si>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</si>
  <si>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</si>
  <si>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</si>
  <si>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</si>
  <si>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</si>
  <si>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</si>
  <si>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</si>
  <si>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</si>
  <si>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</si>
  <si>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</si>
  <si>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</si>
  <si>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</si>
  <si>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</si>
  <si>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</si>
  <si>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</si>
  <si>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</si>
  <si>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</si>
  <si>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</si>
  <si>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</si>
  <si>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</si>
  <si>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</si>
  <si>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</si>
  <si>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</si>
  <si>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</si>
  <si>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</si>
  <si>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</si>
  <si>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</si>
  <si>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</si>
  <si>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</si>
  <si>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</si>
  <si>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</si>
  <si>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</si>
  <si>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</si>
  <si>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</si>
  <si>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</si>
  <si>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</si>
  <si>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</si>
  <si>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</si>
  <si>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</si>
  <si>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</si>
  <si>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</si>
  <si>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</si>
  <si>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</si>
  <si>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</si>
  <si>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</si>
  <si>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</si>
  <si>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</si>
  <si>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</si>
  <si>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</si>
  <si>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</si>
  <si>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</si>
  <si>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</si>
  <si>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</si>
  <si>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</si>
  <si>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</si>
  <si>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</si>
  <si>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</si>
  <si>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</si>
  <si>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</si>
  <si>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</si>
  <si>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</si>
  <si>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</si>
  <si>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</si>
  <si>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</si>
  <si>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</si>
  <si>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</si>
  <si>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</si>
  <si>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</si>
  <si>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</si>
  <si>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</si>
  <si>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</si>
  <si>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</si>
  <si>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</si>
  <si>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</si>
  <si>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</si>
  <si>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</si>
  <si>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</si>
  <si>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</si>
  <si>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</si>
  <si>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</si>
  <si>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</si>
  <si>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</si>
  <si>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</si>
  <si>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</si>
  <si>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</si>
  <si>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</si>
  <si>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</si>
  <si>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</si>
  <si>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</si>
  <si>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</si>
  <si>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</si>
  <si>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</si>
  <si>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</si>
  <si>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</si>
  <si>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</si>
  <si>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</si>
  <si>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</si>
  <si>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</si>
  <si>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</si>
  <si>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</si>
  <si>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</si>
  <si>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</si>
  <si>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</si>
  <si>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</si>
  <si>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</si>
  <si>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</si>
  <si>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</si>
  <si>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</si>
  <si>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</si>
  <si>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</si>
  <si>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</si>
  <si>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</si>
  <si>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</si>
  <si>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</si>
  <si>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</si>
  <si>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</si>
  <si>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</si>
  <si>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</si>
  <si>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</si>
  <si>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</si>
  <si>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</si>
  <si>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</si>
  <si>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</si>
  <si>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</si>
  <si>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</si>
  <si>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</si>
  <si>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</si>
  <si>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</si>
  <si>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</si>
  <si>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</si>
  <si>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</si>
  <si>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</si>
  <si>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</si>
  <si>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</si>
  <si>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</si>
  <si>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</si>
  <si>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</si>
  <si>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</si>
  <si>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</si>
  <si>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</si>
  <si>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</si>
  <si>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</si>
  <si>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</si>
  <si>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</si>
  <si>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</si>
  <si>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</si>
  <si>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</si>
  <si>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</si>
  <si>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</si>
  <si>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</si>
  <si>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</si>
  <si>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</si>
  <si>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</si>
  <si>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</si>
  <si>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</si>
  <si>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</si>
  <si>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</si>
  <si>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</si>
  <si>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</si>
  <si>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</si>
  <si>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</si>
  <si>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</si>
  <si>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</si>
  <si>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</si>
  <si>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</si>
  <si>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</si>
  <si>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</si>
  <si>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</si>
  <si>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</si>
  <si>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</si>
  <si>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</si>
  <si>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</si>
  <si>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</si>
  <si>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</si>
  <si>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</si>
  <si>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</si>
  <si>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</si>
  <si>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</si>
  <si>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</si>
  <si>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</si>
  <si>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</si>
  <si>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</si>
  <si>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</si>
  <si>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</si>
  <si>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</si>
  <si>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</si>
  <si>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</si>
  <si>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</si>
  <si>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</si>
  <si>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</si>
  <si>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</si>
  <si>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</si>
  <si>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</si>
  <si>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</si>
  <si>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</si>
  <si>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</si>
  <si>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</si>
  <si>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</si>
  <si>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</si>
  <si>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</si>
  <si>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</si>
  <si>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</si>
  <si>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</si>
  <si>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</si>
  <si>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</si>
  <si>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</si>
  <si>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</si>
  <si>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</si>
  <si>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</si>
  <si>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</si>
  <si>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</si>
  <si>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</si>
  <si>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</si>
  <si>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</si>
  <si>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</si>
  <si>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</si>
  <si>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</si>
  <si>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</si>
  <si>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</si>
  <si>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</si>
  <si>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</si>
  <si>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</si>
  <si>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</si>
  <si>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</si>
  <si>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</si>
  <si>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</si>
  <si>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</si>
  <si>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</si>
  <si>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</si>
  <si>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</si>
  <si>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</si>
  <si>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</si>
  <si>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</si>
  <si>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</si>
  <si>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</si>
  <si>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</si>
  <si>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</si>
  <si>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</si>
  <si>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</si>
  <si>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</si>
  <si>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</si>
  <si>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</si>
  <si>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</si>
  <si>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</si>
  <si>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</si>
  <si>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</si>
  <si>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</si>
  <si>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</si>
  <si>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</si>
  <si>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</si>
  <si>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</si>
  <si>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</si>
  <si>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</si>
  <si>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</si>
  <si>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</si>
  <si>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</si>
  <si>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</si>
  <si>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</si>
  <si>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</si>
  <si>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</si>
  <si>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</si>
  <si>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</si>
  <si>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</si>
  <si>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</si>
  <si>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</si>
  <si>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</si>
  <si>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</si>
  <si>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</si>
  <si>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</si>
  <si>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</si>
  <si>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</si>
  <si>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</si>
  <si>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</si>
  <si>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</si>
  <si>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</si>
  <si>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</si>
  <si>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</si>
  <si>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</si>
  <si>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</si>
  <si>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</si>
  <si>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</si>
  <si>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</si>
  <si>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</si>
  <si>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</si>
  <si>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</si>
  <si>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</si>
  <si>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</si>
  <si>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</si>
  <si>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</si>
  <si>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</si>
  <si>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</si>
  <si>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</si>
  <si>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</si>
  <si>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</si>
  <si>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</si>
  <si>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</si>
  <si>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</si>
  <si>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</si>
  <si>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</si>
  <si>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</si>
  <si>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</si>
  <si>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</si>
  <si>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</si>
  <si>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</si>
  <si>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</si>
  <si>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</si>
  <si>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</si>
  <si>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</si>
  <si>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</si>
  <si>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</si>
  <si>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</si>
  <si>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</si>
  <si>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</si>
  <si>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</si>
  <si>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</si>
  <si>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</si>
  <si>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</si>
  <si>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</si>
  <si>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</si>
  <si>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</si>
  <si>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</si>
  <si>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</si>
  <si>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</si>
  <si>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</si>
  <si>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</si>
  <si>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</si>
  <si>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</si>
  <si>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</si>
  <si>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</si>
  <si>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</si>
  <si>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</si>
  <si>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</si>
  <si>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</si>
  <si>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</si>
  <si>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</si>
  <si>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</si>
  <si>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</si>
  <si>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</si>
  <si>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</si>
  <si>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</si>
  <si>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</si>
  <si>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</si>
  <si>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</si>
  <si>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</si>
  <si>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</si>
  <si>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</si>
  <si>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</si>
  <si>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</si>
  <si>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</si>
  <si>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</si>
  <si>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</si>
  <si>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</si>
  <si>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</si>
  <si>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</si>
  <si>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</si>
  <si>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</si>
  <si>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</si>
  <si>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</si>
  <si>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</si>
  <si>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</si>
  <si>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</si>
  <si>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</si>
  <si>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</si>
  <si>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</si>
  <si>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</si>
  <si>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</si>
  <si>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</si>
  <si>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</si>
  <si>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</si>
  <si>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</si>
  <si>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</si>
  <si>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</si>
  <si>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</si>
  <si>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</si>
  <si>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</si>
  <si>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</si>
  <si>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</si>
  <si>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</si>
  <si>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</si>
  <si>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</si>
  <si>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</si>
  <si>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</si>
  <si>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</si>
  <si>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</si>
  <si>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</si>
  <si>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</si>
  <si>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</si>
  <si>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</si>
  <si>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</si>
  <si>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</si>
  <si>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</si>
  <si>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</si>
  <si>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</si>
  <si>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</si>
  <si>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</si>
  <si>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</si>
  <si>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</si>
  <si>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</si>
  <si>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</si>
  <si>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</si>
  <si>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</si>
  <si>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</si>
  <si>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</si>
  <si>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</si>
  <si>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</si>
  <si>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</si>
  <si>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</si>
  <si>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</si>
  <si>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</si>
  <si>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</si>
  <si>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</si>
  <si>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</si>
  <si>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</si>
  <si>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</si>
  <si>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</si>
  <si>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</si>
  <si>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</si>
  <si>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</si>
  <si>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</si>
  <si>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</si>
  <si>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</si>
  <si>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</si>
  <si>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</si>
  <si>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</si>
  <si>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</si>
  <si>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</si>
  <si>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</si>
  <si>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</si>
  <si>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</si>
  <si>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</si>
  <si>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</si>
  <si>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</si>
  <si>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</si>
  <si>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</si>
  <si>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</si>
  <si>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</si>
  <si>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</si>
  <si>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</si>
  <si>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</si>
  <si>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</si>
  <si>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</si>
  <si>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</si>
  <si>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</si>
  <si>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</si>
  <si>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</si>
  <si>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</si>
  <si>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</si>
  <si>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</si>
  <si>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</si>
  <si>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</si>
  <si>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</si>
  <si>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</si>
  <si>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</si>
  <si>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</si>
  <si>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</si>
  <si>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</si>
  <si>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</si>
  <si>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</si>
  <si>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</si>
  <si>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</si>
  <si>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</si>
  <si>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</si>
  <si>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</si>
  <si>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</si>
  <si>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</si>
  <si>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</si>
  <si>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</si>
  <si>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</si>
  <si>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</si>
  <si>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</si>
  <si>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</si>
  <si>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</si>
  <si>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</si>
  <si>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</si>
  <si>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</si>
  <si>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</si>
  <si>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</si>
  <si>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</si>
  <si>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</si>
  <si>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</si>
  <si>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</si>
  <si>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</si>
  <si>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</si>
  <si>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</si>
  <si>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</si>
  <si>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</si>
  <si>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</si>
  <si>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</si>
  <si>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</si>
  <si>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</si>
  <si>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</si>
  <si>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</si>
  <si>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</si>
  <si>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</si>
  <si>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</si>
  <si>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</si>
  <si>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</si>
  <si>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</si>
  <si>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</si>
  <si>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</si>
  <si>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</si>
  <si>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</si>
  <si>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</si>
  <si>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</si>
  <si>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</si>
  <si>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</si>
  <si>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</si>
  <si>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</si>
  <si>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</si>
  <si>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</si>
  <si>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</si>
  <si>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</si>
  <si>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</si>
  <si>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</si>
  <si>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</si>
  <si>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</si>
  <si>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</si>
  <si>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</si>
  <si>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</si>
  <si>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</si>
  <si>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</si>
  <si>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</si>
  <si>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</si>
  <si>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</si>
  <si>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</si>
  <si>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</si>
  <si>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</si>
  <si>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</si>
  <si>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</si>
  <si>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</si>
  <si>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</si>
  <si>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</si>
  <si>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</si>
  <si>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</si>
  <si>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</si>
  <si>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</si>
  <si>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</si>
  <si>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</si>
  <si>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</si>
  <si>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</si>
  <si>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</si>
  <si>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</si>
  <si>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</si>
  <si>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</si>
  <si>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</si>
  <si>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</si>
  <si>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</si>
  <si>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</si>
  <si>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</si>
  <si>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</si>
  <si>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</si>
  <si>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</si>
  <si>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</si>
  <si>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</si>
  <si>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</si>
  <si>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</si>
  <si>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</si>
  <si>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</si>
  <si>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</si>
  <si>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</si>
  <si>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</si>
  <si>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</si>
  <si>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</si>
  <si>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</si>
  <si>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</si>
  <si>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</si>
  <si>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</si>
  <si>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</si>
  <si>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</si>
  <si>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</si>
  <si>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</si>
  <si>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</si>
  <si>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</si>
  <si>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</si>
  <si>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</si>
  <si>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</si>
  <si>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</si>
  <si>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</si>
  <si>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</si>
  <si>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</si>
  <si>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</si>
  <si>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</si>
  <si>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</si>
  <si>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</si>
  <si>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</si>
  <si>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</si>
  <si>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</si>
  <si>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</si>
  <si>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</si>
  <si>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</si>
  <si>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</si>
  <si>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</si>
  <si>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</si>
  <si>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</si>
  <si>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</si>
  <si>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</si>
  <si>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</si>
  <si>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</si>
  <si>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</si>
  <si>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</si>
  <si>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</si>
  <si>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</si>
  <si>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</si>
  <si>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</si>
  <si>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</si>
  <si>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</si>
  <si>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</si>
  <si>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</si>
  <si>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</si>
  <si>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</si>
  <si>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</si>
  <si>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</si>
  <si>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</si>
  <si>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</si>
  <si>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</si>
  <si>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</si>
  <si>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</si>
  <si>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</si>
  <si>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</si>
  <si>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</si>
  <si>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</si>
  <si>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</si>
  <si>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</si>
  <si>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</si>
  <si>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</si>
  <si>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</si>
  <si>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</si>
  <si>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</si>
  <si>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</si>
  <si>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</si>
  <si>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</si>
  <si>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</si>
  <si>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</si>
  <si>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</si>
  <si>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</si>
  <si>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</si>
  <si>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</si>
  <si>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</si>
  <si>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</si>
  <si>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</si>
  <si>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</si>
  <si>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</si>
  <si>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</si>
  <si>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</si>
  <si>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</si>
  <si>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</si>
  <si>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</si>
  <si>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</si>
  <si>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</si>
  <si>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</si>
  <si>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</si>
  <si>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</si>
  <si>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</si>
  <si>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</si>
  <si>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</si>
  <si>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</si>
  <si>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</si>
  <si>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</si>
  <si>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</si>
  <si>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</si>
  <si>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</si>
  <si>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</si>
  <si>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</si>
  <si>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</si>
  <si>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</si>
  <si>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</si>
  <si>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</si>
  <si>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</si>
  <si>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</si>
  <si>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</si>
  <si>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</si>
  <si>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</si>
  <si>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</si>
  <si>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</si>
  <si>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</si>
  <si>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</si>
  <si>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</si>
  <si>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</si>
  <si>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</si>
  <si>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</si>
  <si>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</si>
  <si>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</si>
  <si>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</si>
  <si>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</si>
  <si>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</si>
  <si>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</si>
  <si>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</si>
  <si>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</si>
  <si>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</si>
  <si>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</si>
  <si>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</si>
  <si>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</si>
  <si>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</si>
  <si>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</si>
  <si>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</si>
  <si>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</si>
  <si>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</si>
  <si>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</si>
  <si>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</si>
  <si>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</si>
  <si>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</si>
  <si>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</si>
  <si>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</si>
  <si>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</si>
  <si>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</si>
  <si>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</si>
  <si>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</si>
  <si>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</si>
  <si>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</si>
  <si>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</si>
  <si>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</si>
  <si>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</si>
  <si>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</si>
  <si>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</si>
  <si>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</si>
  <si>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</si>
  <si>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</si>
  <si>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</si>
  <si>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</si>
  <si>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</si>
  <si>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</si>
  <si>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</si>
  <si>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</si>
  <si>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</si>
  <si>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</si>
  <si>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</si>
  <si>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</si>
  <si>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</si>
  <si>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</si>
  <si>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</si>
  <si>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</si>
  <si>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</si>
  <si>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</si>
  <si>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</si>
  <si>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</si>
  <si>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</si>
  <si>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</si>
  <si>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</si>
  <si>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</si>
  <si>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</si>
  <si>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</si>
  <si>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</si>
  <si>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</si>
  <si>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</si>
  <si>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</si>
  <si>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</si>
  <si>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</si>
  <si>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</si>
  <si>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</si>
  <si>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</si>
  <si>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</si>
  <si>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</si>
  <si>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</si>
  <si>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</si>
  <si>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</si>
  <si>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</si>
  <si>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</si>
  <si>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</si>
  <si>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</si>
  <si>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</si>
  <si>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</si>
  <si>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</si>
  <si>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</si>
  <si>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</si>
  <si>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</si>
  <si>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</si>
  <si>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</si>
  <si>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</si>
  <si>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</si>
  <si>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</si>
  <si>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</si>
  <si>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</si>
  <si>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</si>
  <si>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</si>
  <si>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</si>
  <si>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</si>
  <si>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</si>
  <si>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</si>
  <si>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</si>
  <si>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</si>
  <si>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</si>
  <si>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</si>
  <si>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</si>
  <si>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</si>
  <si>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</si>
  <si>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</si>
  <si>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</si>
  <si>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</si>
  <si>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</si>
  <si>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</si>
  <si>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</si>
  <si>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</si>
  <si>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</si>
  <si>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</si>
  <si>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</si>
  <si>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</si>
  <si>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</si>
  <si>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</si>
  <si>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</si>
  <si>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</si>
  <si>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</si>
  <si>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</si>
  <si>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</si>
  <si>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</si>
  <si>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</si>
  <si>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</si>
  <si>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</si>
  <si>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</si>
  <si>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</si>
  <si>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</si>
  <si>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</si>
  <si>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</si>
  <si>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</si>
  <si>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</si>
  <si>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</si>
  <si>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</si>
  <si>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</si>
  <si>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</si>
  <si>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</si>
  <si>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</si>
  <si>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</si>
  <si>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</si>
  <si>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</si>
  <si>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</si>
  <si>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</si>
  <si>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</si>
  <si>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</si>
  <si>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</si>
  <si>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</si>
  <si>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</si>
  <si>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</si>
  <si>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</si>
  <si>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</si>
  <si>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</si>
  <si>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</si>
  <si>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</si>
  <si>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</si>
  <si>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</si>
  <si>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</si>
  <si>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</si>
  <si>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</si>
  <si>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</si>
  <si>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</si>
  <si>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</si>
  <si>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</si>
  <si>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</si>
  <si>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</si>
  <si>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</si>
  <si>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</si>
  <si>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</si>
  <si>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</si>
  <si>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</si>
  <si>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</si>
  <si>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</si>
  <si>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</si>
  <si>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</si>
  <si>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</si>
  <si>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</si>
  <si>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</si>
  <si>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</si>
  <si>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</si>
  <si>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</si>
  <si>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</si>
  <si>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</si>
  <si>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</si>
  <si>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</si>
  <si>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</si>
  <si>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</si>
  <si>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</si>
  <si>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</si>
  <si>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</si>
  <si>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</si>
  <si>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</si>
  <si>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</si>
  <si>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</si>
  <si>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</si>
  <si>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</si>
  <si>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</si>
  <si>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</si>
  <si>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</si>
  <si>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</si>
  <si>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</si>
  <si>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</si>
  <si>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</si>
  <si>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</si>
  <si>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</si>
  <si>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</si>
  <si>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</si>
  <si>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</si>
  <si>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</si>
  <si>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</si>
  <si>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</si>
  <si>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</si>
  <si>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</si>
  <si>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</si>
  <si>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</si>
  <si>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</si>
  <si>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</si>
  <si>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</si>
  <si>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</si>
  <si>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</si>
  <si>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</si>
  <si>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</si>
  <si>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</si>
  <si>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</si>
  <si>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</si>
  <si>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</si>
  <si>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</si>
  <si>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</si>
  <si>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</si>
  <si>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</si>
  <si>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</si>
  <si>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</si>
  <si>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</si>
  <si>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</si>
  <si>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</si>
  <si>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</si>
  <si>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</si>
  <si>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</si>
  <si>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</si>
  <si>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</si>
  <si>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</si>
  <si>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</si>
  <si>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</si>
  <si>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</si>
  <si>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</si>
  <si>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</si>
  <si>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</si>
  <si>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</si>
  <si>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</si>
  <si>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</si>
  <si>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</si>
  <si>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Amherst School District</t>
  </si>
  <si>
    <t>12/11</t>
  </si>
  <si>
    <t>7/21</t>
  </si>
  <si>
    <t>8/28</t>
  </si>
  <si>
    <t>07/08</t>
  </si>
  <si>
    <t>Agency Funds</t>
  </si>
  <si>
    <t>FY18 Audit Adj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</si>
</sst>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G665" sqref="G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17</v>
      </c>
      <c r="C2" s="21">
        <v>17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340987.1</v>
      </c>
      <c r="G9" s="18">
        <v>0</v>
      </c>
      <c r="H9" s="18">
        <v>0</v>
      </c>
      <c r="I9" s="18">
        <v>0</v>
      </c>
      <c r="J9" s="67">
        <f>SUM(I439)</f>
        <v>83371.390000000014</v>
      </c>
      <c r="K9" s="24" t="s">
        <v>288</v>
      </c>
      <c r="L9" s="24" t="s">
        <v>288</v>
      </c>
      <c r="M9" s="8"/>
      <c r="N9" s="266"/>
    </row>
    <row r="10" spans="1:14" s="3" customFormat="1" ht="12.2" customHeight="1" x14ac:dyDescent="0.15">
      <c r="A10" s="1" t="s">
        <v>562</v>
      </c>
      <c r="B10" s="2" t="s">
        <v>289</v>
      </c>
      <c r="C10" s="6">
        <v>2</v>
      </c>
      <c r="D10" s="2" t="s">
        <v>428</v>
      </c>
      <c r="E10" s="6">
        <v>110</v>
      </c>
      <c r="F10" s="18">
        <v>641598.31000000006</v>
      </c>
      <c r="G10" s="18">
        <v>0</v>
      </c>
      <c r="H10" s="18">
        <v>0</v>
      </c>
      <c r="I10" s="18">
        <v>0</v>
      </c>
      <c r="J10" s="67">
        <f>SUM(I440)</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48306.89</v>
      </c>
      <c r="G12" s="18">
        <v>29569.42</v>
      </c>
      <c r="H12" s="18">
        <v>0</v>
      </c>
      <c r="I12" s="18">
        <v>0</v>
      </c>
      <c r="J12" s="67">
        <f>SUM(I441)</f>
        <v>372.88</v>
      </c>
      <c r="K12" s="24" t="s">
        <v>288</v>
      </c>
      <c r="L12" s="24" t="s">
        <v>288</v>
      </c>
      <c r="M12" s="8"/>
      <c r="N12" s="266"/>
    </row>
    <row r="13" spans="1:14" s="3" customFormat="1" ht="12.2" customHeight="1" x14ac:dyDescent="0.15">
      <c r="A13" s="1" t="s">
        <v>604</v>
      </c>
      <c r="B13" s="2" t="s">
        <v>289</v>
      </c>
      <c r="C13" s="6">
        <v>5</v>
      </c>
      <c r="D13" s="2" t="s">
        <v>428</v>
      </c>
      <c r="E13" s="6">
        <v>140</v>
      </c>
      <c r="F13" s="18">
        <f>185528.48+17373.79</f>
        <v>202902.27000000002</v>
      </c>
      <c r="G13" s="18">
        <v>13746.38</v>
      </c>
      <c r="H13" s="18">
        <v>89761.4</v>
      </c>
      <c r="I13" s="18">
        <v>0</v>
      </c>
      <c r="J13" s="67">
        <f>SUM(I442)</f>
        <v>279139.23</v>
      </c>
      <c r="K13" s="24" t="s">
        <v>288</v>
      </c>
      <c r="L13" s="24" t="s">
        <v>288</v>
      </c>
      <c r="M13" s="8"/>
      <c r="N13" s="266"/>
    </row>
    <row r="14" spans="1:14" s="3" customFormat="1" ht="12.2" customHeight="1" x14ac:dyDescent="0.15">
      <c r="A14" s="1" t="s">
        <v>565</v>
      </c>
      <c r="B14" s="2" t="s">
        <v>289</v>
      </c>
      <c r="C14" s="6">
        <v>6</v>
      </c>
      <c r="D14" s="2" t="s">
        <v>428</v>
      </c>
      <c r="E14" s="6">
        <v>150</v>
      </c>
      <c r="F14" s="18">
        <v>2602.1</v>
      </c>
      <c r="G14" s="18">
        <v>7.2</v>
      </c>
      <c r="H14" s="18">
        <v>0</v>
      </c>
      <c r="I14" s="18">
        <v>0</v>
      </c>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v>0</v>
      </c>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1236396.6700000002</v>
      </c>
      <c r="G19" s="41">
        <f>SUM(G9:G18)</f>
        <v>43322.999999999993</v>
      </c>
      <c r="H19" s="41">
        <f>SUM(H9:H18)</f>
        <v>89761.4</v>
      </c>
      <c r="I19" s="41">
        <f>SUM(I9:I18)</f>
        <v>0</v>
      </c>
      <c r="J19" s="41">
        <f>SUM(J9:J18)</f>
        <v>362883.5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78249.19</v>
      </c>
      <c r="I22" s="18">
        <v>0</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6611.09</v>
      </c>
      <c r="G23" s="18">
        <v>9761.68</v>
      </c>
      <c r="H23" s="18">
        <v>0</v>
      </c>
      <c r="I23" s="18">
        <v>0</v>
      </c>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125783.39+357.02+202.24-405.37</f>
        <v>125937.28000000001</v>
      </c>
      <c r="G24" s="18">
        <v>1085.79</v>
      </c>
      <c r="H24" s="18">
        <v>0</v>
      </c>
      <c r="I24" s="18">
        <v>0</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f>68756.94</f>
        <v>68756.94</v>
      </c>
      <c r="G28" s="18">
        <v>0</v>
      </c>
      <c r="H28" s="18">
        <v>0</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49765.93</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2939.74</v>
      </c>
      <c r="G30" s="18">
        <v>22076.880000000001</v>
      </c>
      <c r="H30" s="18">
        <v>11512.21</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SUM(I451)</f>
        <v>83371.390000000014</v>
      </c>
      <c r="K31" s="24" t="s">
        <v>288</v>
      </c>
      <c r="L31" s="24" t="s">
        <v>288</v>
      </c>
      <c r="M31" s="8"/>
      <c r="N31" s="266"/>
    </row>
    <row r="32" spans="1:14" s="3" customFormat="1" ht="12.2" customHeight="1" thickTop="1" x14ac:dyDescent="0.15">
      <c r="A32" s="38" t="s">
        <v>406</v>
      </c>
      <c r="B32" s="39" t="s">
        <v>289</v>
      </c>
      <c r="C32" s="40">
        <v>22</v>
      </c>
      <c r="D32" s="39" t="s">
        <v>429</v>
      </c>
      <c r="E32" s="39"/>
      <c r="F32" s="41">
        <f>SUM(F22:F31)</f>
        <v>254010.98</v>
      </c>
      <c r="G32" s="41">
        <f>SUM(G22:G31)</f>
        <v>32924.350000000006</v>
      </c>
      <c r="H32" s="41">
        <f>SUM(H22:H31)</f>
        <v>89761.4</v>
      </c>
      <c r="I32" s="41">
        <f>SUM(I22:I31)</f>
        <v>0</v>
      </c>
      <c r="J32" s="41">
        <f>SUM(J22:J31)</f>
        <v>83371.390000000014</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134994</v>
      </c>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f>53221.49-42822.84</f>
        <v>10398.650000000001</v>
      </c>
      <c r="H48" s="18">
        <v>0</v>
      </c>
      <c r="I48" s="18">
        <v>0</v>
      </c>
      <c r="J48" s="13">
        <f>SUM(I459)</f>
        <v>279512.11</v>
      </c>
      <c r="K48" s="24" t="s">
        <v>288</v>
      </c>
      <c r="L48" s="24" t="s">
        <v>288</v>
      </c>
      <c r="M48" s="8"/>
      <c r="N48" s="266"/>
    </row>
    <row r="49" spans="1:14" s="3" customFormat="1" ht="12.2" customHeight="1" x14ac:dyDescent="0.15">
      <c r="A49" s="1" t="s">
        <v>859</v>
      </c>
      <c r="B49" s="2" t="s">
        <v>289</v>
      </c>
      <c r="C49" s="6">
        <v>34</v>
      </c>
      <c r="D49" s="2"/>
      <c r="E49" s="6">
        <v>753</v>
      </c>
      <c r="F49" s="18">
        <v>25830.01</v>
      </c>
      <c r="G49" s="18">
        <v>0</v>
      </c>
      <c r="H49" s="18">
        <v>0</v>
      </c>
      <c r="I49" s="18">
        <v>0</v>
      </c>
      <c r="J49" s="13">
        <f>I454</f>
        <v>0</v>
      </c>
      <c r="K49" s="24"/>
      <c r="L49" s="24"/>
      <c r="M49" s="8"/>
      <c r="N49" s="266"/>
    </row>
    <row r="50" spans="1:14" s="3" customFormat="1" ht="12.2" customHeight="1" thickBot="1" x14ac:dyDescent="0.2">
      <c r="A50" s="29" t="s">
        <v>840</v>
      </c>
      <c r="B50" s="2" t="s">
        <v>289</v>
      </c>
      <c r="C50" s="71">
        <v>35</v>
      </c>
      <c r="D50" s="2" t="s">
        <v>653</v>
      </c>
      <c r="E50" s="6">
        <v>770</v>
      </c>
      <c r="F50" s="18">
        <f>-210824.01+965165.79-(357.02+202.24)+405.37+17373.79</f>
        <v>771561.68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982385.69000000006</v>
      </c>
      <c r="G51" s="41">
        <f>SUM(G35:G50)</f>
        <v>10398.650000000001</v>
      </c>
      <c r="H51" s="41">
        <f>SUM(H35:H50)</f>
        <v>0</v>
      </c>
      <c r="I51" s="41">
        <f>SUM(I35:I50)</f>
        <v>0</v>
      </c>
      <c r="J51" s="41">
        <f>SUM(J35:J50)</f>
        <v>279512.11</v>
      </c>
      <c r="K51" s="45" t="s">
        <v>288</v>
      </c>
      <c r="L51" s="45" t="s">
        <v>288</v>
      </c>
      <c r="N51" s="264"/>
    </row>
    <row r="52" spans="1:14" s="3" customFormat="1" ht="12.2" customHeight="1" thickTop="1" x14ac:dyDescent="0.15">
      <c r="A52" s="38" t="s">
        <v>455</v>
      </c>
      <c r="B52" s="39" t="s">
        <v>289</v>
      </c>
      <c r="C52" s="6">
        <v>37</v>
      </c>
      <c r="D52" s="39" t="s">
        <v>653</v>
      </c>
      <c r="E52" s="39"/>
      <c r="F52" s="41">
        <f>F51+F32</f>
        <v>1236396.6700000002</v>
      </c>
      <c r="G52" s="41">
        <f>G51+G32</f>
        <v>43323.000000000007</v>
      </c>
      <c r="H52" s="41">
        <f>H51+H32</f>
        <v>89761.4</v>
      </c>
      <c r="I52" s="41">
        <f>I51+I32</f>
        <v>0</v>
      </c>
      <c r="J52" s="41">
        <f>J51+J32</f>
        <v>362883.5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20091994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20091994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60286.02</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1140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926142.6+17373.79</f>
        <v>943516.39</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1004942.41</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24260.89</v>
      </c>
      <c r="G96" s="18"/>
      <c r="H96" s="18"/>
      <c r="I96" s="18">
        <v>0</v>
      </c>
      <c r="J96" s="18">
        <v>5752.64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382360.83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31229</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4375</v>
      </c>
      <c r="G101" s="18">
        <v>0</v>
      </c>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4659.1000000000004</v>
      </c>
      <c r="G102" s="18"/>
      <c r="H102" s="18">
        <v>15478.42</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209792.23</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13675.9</v>
      </c>
      <c r="G109" s="18">
        <v>94.75</v>
      </c>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1180</v>
      </c>
      <c r="G110" s="18">
        <v>69.25</v>
      </c>
      <c r="H110" s="18"/>
      <c r="I110" s="18"/>
      <c r="J110" s="18">
        <v>1030.9100000000001</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289172.12000000005</v>
      </c>
      <c r="G111" s="41">
        <f>SUM(G96:G110)</f>
        <v>382524.83</v>
      </c>
      <c r="H111" s="41">
        <f>SUM(H96:H110)</f>
        <v>15478.42</v>
      </c>
      <c r="I111" s="41">
        <f>SUM(I96:I110)</f>
        <v>0</v>
      </c>
      <c r="J111" s="41">
        <f>SUM(J96:J110)</f>
        <v>6783.55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21386108.530000001</v>
      </c>
      <c r="G112" s="41">
        <f>G60+G111</f>
        <v>382524.83</v>
      </c>
      <c r="H112" s="41">
        <f>H60+H79+H94+H111</f>
        <v>15478.42</v>
      </c>
      <c r="I112" s="41">
        <f>I60+I111</f>
        <v>0</v>
      </c>
      <c r="J112" s="41">
        <f>J60+J111</f>
        <v>6783.55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2293331.3199999998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2433532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4728819.41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140915.70000000001</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120799.36</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263076.38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4678.87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524791.43999999994</v>
      </c>
      <c r="G136" s="41">
        <f>SUM(G123:G135)</f>
        <v>4678.87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5253610.8499999996</v>
      </c>
      <c r="G140" s="41">
        <f>G121+SUM(G136:G137)</f>
        <v>4678.87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9700.0499999999993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30212.39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75195.509999999995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319405.21000000002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157772.42000000001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0</v>
      </c>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157772.42000000001</v>
      </c>
      <c r="G162" s="41">
        <f>SUM(G150:G161)</f>
        <v>75195.509999999995</v>
      </c>
      <c r="H162" s="41">
        <f>SUM(H150:H161)</f>
        <v>359317.65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157772.42000000001</v>
      </c>
      <c r="G169" s="41">
        <f>G147+G162+SUM(G163:G168)</f>
        <v>75195.509999999995</v>
      </c>
      <c r="H169" s="41">
        <f>H147+H162+SUM(H163:H168)</f>
        <v>359317.65</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0</v>
      </c>
      <c r="H179" s="18"/>
      <c r="I179" s="18">
        <v>0</v>
      </c>
      <c r="J179" s="18">
        <v>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26797491.800000004</v>
      </c>
      <c r="G193" s="47">
        <f>G112+G140+G169+G192</f>
        <v>462399.21</v>
      </c>
      <c r="H193" s="47">
        <f>H112+H140+H169+H192</f>
        <v>374796.07</v>
      </c>
      <c r="I193" s="47">
        <f>I112+I140+I169+I192</f>
        <v>0</v>
      </c>
      <c r="J193" s="47">
        <f>J112+J140+J192</f>
        <v>56783.55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3538896.97</v>
      </c>
      <c r="G197" s="18">
        <f>1851539.36+5.5</f>
        <v>1851544.86</v>
      </c>
      <c r="H197" s="18">
        <v>31302.11</v>
      </c>
      <c r="I197" s="18">
        <f>145291.72+897</f>
        <v>146188.72</v>
      </c>
      <c r="J197" s="18">
        <v>27579.22</v>
      </c>
      <c r="K197" s="18">
        <v>0</v>
      </c>
      <c r="L197" s="19">
        <f>SUM(F197:K197)</f>
        <v>5595511.8799999999</v>
      </c>
      <c r="M197" s="8"/>
      <c r="N197" s="266"/>
    </row>
    <row r="198" spans="1:14" s="3" customFormat="1" ht="12.2" customHeight="1" x14ac:dyDescent="0.15">
      <c r="A198" s="1" t="s">
        <v>439</v>
      </c>
      <c r="B198" s="2" t="s">
        <v>341</v>
      </c>
      <c r="C198" s="2" t="s">
        <v>291</v>
      </c>
      <c r="D198" s="2" t="s">
        <v>431</v>
      </c>
      <c r="E198" s="6">
        <v>1200</v>
      </c>
      <c r="F198" s="18">
        <v>1120409.98</v>
      </c>
      <c r="G198" s="18">
        <v>736182.33</v>
      </c>
      <c r="H198" s="18">
        <v>17836.87</v>
      </c>
      <c r="I198" s="18">
        <v>10739.85</v>
      </c>
      <c r="J198" s="18">
        <v>6775.43</v>
      </c>
      <c r="K198" s="18">
        <v>0</v>
      </c>
      <c r="L198" s="19">
        <f>SUM(F198:K198)</f>
        <v>1891944.4600000002</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15381</v>
      </c>
      <c r="G200" s="18">
        <v>3844.87</v>
      </c>
      <c r="H200" s="18">
        <v>0</v>
      </c>
      <c r="I200" s="18">
        <v>278.45999999999998</v>
      </c>
      <c r="J200" s="18">
        <v>0</v>
      </c>
      <c r="K200" s="18">
        <v>287.5</v>
      </c>
      <c r="L200" s="19">
        <f>SUM(F200:K200)</f>
        <v>19791.829999999998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958966.08</v>
      </c>
      <c r="G202" s="18">
        <v>498058.28</v>
      </c>
      <c r="H202" s="18">
        <v>374984.63</v>
      </c>
      <c r="I202" s="18">
        <v>5431.35</v>
      </c>
      <c r="J202" s="18">
        <v>0</v>
      </c>
      <c r="K202" s="18">
        <v>0</v>
      </c>
      <c r="L202" s="19">
        <f t="shared" ref="L202:L208" si="0">SUM(F202:K202)</f>
        <v>1837440.3399999999</v>
      </c>
      <c r="M202" s="8"/>
      <c r="N202" s="266"/>
    </row>
    <row r="203" spans="1:14" s="3" customFormat="1" ht="12.2" customHeight="1" x14ac:dyDescent="0.15">
      <c r="A203" s="1" t="s">
        <v>443</v>
      </c>
      <c r="B203" s="2" t="s">
        <v>341</v>
      </c>
      <c r="C203" s="2" t="s">
        <v>295</v>
      </c>
      <c r="D203" s="2" t="s">
        <v>431</v>
      </c>
      <c r="E203" s="6">
        <v>2200</v>
      </c>
      <c r="F203" s="18">
        <v>107718</v>
      </c>
      <c r="G203" s="18">
        <v>107908.02</v>
      </c>
      <c r="H203" s="18">
        <v>10500</v>
      </c>
      <c r="I203" s="18">
        <v>12149.56</v>
      </c>
      <c r="J203" s="18">
        <v>0</v>
      </c>
      <c r="K203" s="18">
        <v>0</v>
      </c>
      <c r="L203" s="19">
        <f t="shared" si="0"/>
        <v>238275.58000000002</v>
      </c>
      <c r="M203" s="8"/>
      <c r="N203" s="266"/>
    </row>
    <row r="204" spans="1:14" s="3" customFormat="1" ht="12.2" customHeight="1" x14ac:dyDescent="0.15">
      <c r="A204" s="1" t="s">
        <v>444</v>
      </c>
      <c r="B204" s="2" t="s">
        <v>341</v>
      </c>
      <c r="C204" s="2" t="s">
        <v>296</v>
      </c>
      <c r="D204" s="2" t="s">
        <v>431</v>
      </c>
      <c r="E204" s="6">
        <v>2300</v>
      </c>
      <c r="F204" s="18">
        <v>6048.65</v>
      </c>
      <c r="G204" s="18">
        <v>462.74</v>
      </c>
      <c r="H204" s="18">
        <f>597464.68+140.14+78.6</f>
        <v>597683.42000000004</v>
      </c>
      <c r="I204" s="18">
        <v>15.21</v>
      </c>
      <c r="J204" s="18">
        <v>0</v>
      </c>
      <c r="K204" s="18">
        <v>2841.87</v>
      </c>
      <c r="L204" s="19">
        <f t="shared" si="0"/>
        <v>607051.89</v>
      </c>
      <c r="M204" s="8"/>
      <c r="N204" s="266"/>
    </row>
    <row r="205" spans="1:14" s="3" customFormat="1" ht="12.2" customHeight="1" x14ac:dyDescent="0.15">
      <c r="A205" s="1" t="s">
        <v>445</v>
      </c>
      <c r="B205" s="2" t="s">
        <v>341</v>
      </c>
      <c r="C205" s="2" t="s">
        <v>297</v>
      </c>
      <c r="D205" s="2" t="s">
        <v>431</v>
      </c>
      <c r="E205" s="6">
        <v>2400</v>
      </c>
      <c r="F205" s="18">
        <v>486420.34</v>
      </c>
      <c r="G205" s="18">
        <v>231883.73</v>
      </c>
      <c r="H205" s="18">
        <v>29681.360000000001</v>
      </c>
      <c r="I205" s="18">
        <v>15892.2</v>
      </c>
      <c r="J205" s="18">
        <v>5018.3999999999996</v>
      </c>
      <c r="K205" s="18">
        <v>1624</v>
      </c>
      <c r="L205" s="19">
        <f t="shared" si="0"/>
        <v>770520.03</v>
      </c>
      <c r="M205" s="8"/>
      <c r="N205" s="266"/>
    </row>
    <row r="206" spans="1:14" s="3" customFormat="1" ht="12.2" customHeight="1" x14ac:dyDescent="0.15">
      <c r="A206" s="1" t="s">
        <v>446</v>
      </c>
      <c r="B206" s="2" t="s">
        <v>341</v>
      </c>
      <c r="C206" s="2" t="s">
        <v>298</v>
      </c>
      <c r="D206" s="2" t="s">
        <v>431</v>
      </c>
      <c r="E206" s="6">
        <v>2500</v>
      </c>
      <c r="F206" s="18">
        <v>0</v>
      </c>
      <c r="G206" s="18">
        <v>0</v>
      </c>
      <c r="H206" s="18">
        <v>330</v>
      </c>
      <c r="I206" s="18">
        <v>0</v>
      </c>
      <c r="J206" s="18">
        <v>0</v>
      </c>
      <c r="K206" s="18">
        <v>0</v>
      </c>
      <c r="L206" s="19">
        <f t="shared" si="0"/>
        <v>330</v>
      </c>
      <c r="M206" s="8"/>
      <c r="N206" s="266"/>
    </row>
    <row r="207" spans="1:14" s="3" customFormat="1" ht="12.2" customHeight="1" x14ac:dyDescent="0.15">
      <c r="A207" s="1" t="s">
        <v>447</v>
      </c>
      <c r="B207" s="2" t="s">
        <v>341</v>
      </c>
      <c r="C207" s="2" t="s">
        <v>299</v>
      </c>
      <c r="D207" s="2" t="s">
        <v>431</v>
      </c>
      <c r="E207" s="6">
        <v>2600</v>
      </c>
      <c r="F207" s="18">
        <v>324363.98</v>
      </c>
      <c r="G207" s="18">
        <v>167522.78</v>
      </c>
      <c r="H207" s="18">
        <v>129313.3</v>
      </c>
      <c r="I207" s="18">
        <v>210439</v>
      </c>
      <c r="J207" s="18">
        <v>4595.45</v>
      </c>
      <c r="K207" s="18">
        <v>96.5</v>
      </c>
      <c r="L207" s="19">
        <f t="shared" si="0"/>
        <v>836331.01</v>
      </c>
      <c r="M207" s="8"/>
      <c r="N207" s="266"/>
    </row>
    <row r="208" spans="1:14" s="3" customFormat="1" ht="12.2" customHeight="1" x14ac:dyDescent="0.15">
      <c r="A208" s="1" t="s">
        <v>448</v>
      </c>
      <c r="B208" s="2" t="s">
        <v>341</v>
      </c>
      <c r="C208" s="2" t="s">
        <v>300</v>
      </c>
      <c r="D208" s="2" t="s">
        <v>431</v>
      </c>
      <c r="E208" s="6">
        <v>2700</v>
      </c>
      <c r="F208" s="18">
        <v>0</v>
      </c>
      <c r="G208" s="18">
        <v>0</v>
      </c>
      <c r="H208" s="18">
        <v>503199.07</v>
      </c>
      <c r="I208" s="18">
        <v>0</v>
      </c>
      <c r="J208" s="18">
        <v>0</v>
      </c>
      <c r="K208" s="18">
        <v>0</v>
      </c>
      <c r="L208" s="19">
        <f t="shared" si="0"/>
        <v>503199.07</v>
      </c>
      <c r="M208" s="8"/>
      <c r="N208" s="266"/>
    </row>
    <row r="209" spans="1:14" s="3" customFormat="1" ht="12.2" customHeight="1" x14ac:dyDescent="0.15">
      <c r="A209" s="1" t="s">
        <v>449</v>
      </c>
      <c r="B209" s="2" t="s">
        <v>341</v>
      </c>
      <c r="C209" s="2" t="s">
        <v>343</v>
      </c>
      <c r="D209" s="2" t="s">
        <v>431</v>
      </c>
      <c r="E209" s="6">
        <v>2800</v>
      </c>
      <c r="F209" s="18">
        <v>53582.04</v>
      </c>
      <c r="G209" s="18">
        <v>24381.86</v>
      </c>
      <c r="H209" s="18">
        <v>12254.89</v>
      </c>
      <c r="I209" s="18">
        <v>14991.68</v>
      </c>
      <c r="J209" s="18">
        <v>10148.969999999999</v>
      </c>
      <c r="K209" s="18">
        <v>0</v>
      </c>
      <c r="L209" s="19">
        <f>SUM(F209:K209)</f>
        <v>115359.44</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6611787.04</v>
      </c>
      <c r="G211" s="41">
        <f t="shared" si="1"/>
        <v>3621789.4699999997</v>
      </c>
      <c r="H211" s="41">
        <f t="shared" si="1"/>
        <v>1707085.6500000001</v>
      </c>
      <c r="I211" s="41">
        <f t="shared" si="1"/>
        <v>416126.02999999997</v>
      </c>
      <c r="J211" s="41">
        <f t="shared" si="1"/>
        <v>54117.47</v>
      </c>
      <c r="K211" s="41">
        <f t="shared" si="1"/>
        <v>4849.87</v>
      </c>
      <c r="L211" s="41">
        <f t="shared" si="1"/>
        <v>12415755.529999999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3348329.7</v>
      </c>
      <c r="G215" s="18">
        <v>1810509.5</v>
      </c>
      <c r="H215" s="18">
        <v>15885.05</v>
      </c>
      <c r="I215" s="18">
        <v>107207.53</v>
      </c>
      <c r="J215" s="18">
        <v>113835.53</v>
      </c>
      <c r="K215" s="18">
        <v>147</v>
      </c>
      <c r="L215" s="19">
        <f>SUM(F215:K215)</f>
        <v>5395914.3100000005</v>
      </c>
      <c r="M215" s="8"/>
      <c r="N215" s="266"/>
    </row>
    <row r="216" spans="1:14" s="3" customFormat="1" ht="12.2" customHeight="1" x14ac:dyDescent="0.15">
      <c r="A216" s="1" t="s">
        <v>439</v>
      </c>
      <c r="B216" s="2" t="s">
        <v>346</v>
      </c>
      <c r="C216" s="2" t="s">
        <v>291</v>
      </c>
      <c r="D216" s="2" t="s">
        <v>431</v>
      </c>
      <c r="E216" s="6">
        <v>1200</v>
      </c>
      <c r="F216" s="18">
        <v>1413119.06</v>
      </c>
      <c r="G216" s="18">
        <v>836384.87</v>
      </c>
      <c r="H216" s="18">
        <v>443903.09</v>
      </c>
      <c r="I216" s="18">
        <v>6038.91</v>
      </c>
      <c r="J216" s="18">
        <v>6474.86</v>
      </c>
      <c r="K216" s="18">
        <v>0</v>
      </c>
      <c r="L216" s="19">
        <f>SUM(F216:K216)</f>
        <v>2705920.79</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111781.18</v>
      </c>
      <c r="G218" s="18">
        <v>20141.77</v>
      </c>
      <c r="H218" s="18">
        <v>12026.18</v>
      </c>
      <c r="I218" s="18">
        <v>7399.63</v>
      </c>
      <c r="J218" s="18">
        <v>0</v>
      </c>
      <c r="K218" s="18">
        <v>1645</v>
      </c>
      <c r="L218" s="19">
        <f>SUM(F218:K218)</f>
        <v>152993.75999999998</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724954.99</v>
      </c>
      <c r="G220" s="18">
        <v>359311.14</v>
      </c>
      <c r="H220" s="18">
        <v>212755.73</v>
      </c>
      <c r="I220" s="18">
        <v>4480.01</v>
      </c>
      <c r="J220" s="18">
        <v>0</v>
      </c>
      <c r="K220" s="18">
        <v>0</v>
      </c>
      <c r="L220" s="19">
        <f t="shared" ref="L220:L226" si="2">SUM(F220:K220)</f>
        <v>1301501.8699999999</v>
      </c>
      <c r="M220" s="8"/>
      <c r="N220" s="266"/>
    </row>
    <row r="221" spans="1:14" s="3" customFormat="1" ht="12.2" customHeight="1" x14ac:dyDescent="0.15">
      <c r="A221" s="1" t="s">
        <v>443</v>
      </c>
      <c r="B221" s="2" t="s">
        <v>346</v>
      </c>
      <c r="C221" s="2" t="s">
        <v>295</v>
      </c>
      <c r="D221" s="2" t="s">
        <v>431</v>
      </c>
      <c r="E221" s="6">
        <v>2200</v>
      </c>
      <c r="F221" s="18">
        <v>146241.67000000001</v>
      </c>
      <c r="G221" s="18">
        <v>109304.07</v>
      </c>
      <c r="H221" s="18">
        <v>300</v>
      </c>
      <c r="I221" s="18">
        <v>8272</v>
      </c>
      <c r="J221" s="18">
        <v>0</v>
      </c>
      <c r="K221" s="18">
        <v>0</v>
      </c>
      <c r="L221" s="19">
        <f t="shared" si="2"/>
        <v>264117.74</v>
      </c>
      <c r="M221" s="8"/>
      <c r="N221" s="266"/>
    </row>
    <row r="222" spans="1:14" s="3" customFormat="1" ht="12.2" customHeight="1" x14ac:dyDescent="0.15">
      <c r="A222" s="1" t="s">
        <v>444</v>
      </c>
      <c r="B222" s="2" t="s">
        <v>346</v>
      </c>
      <c r="C222" s="2" t="s">
        <v>296</v>
      </c>
      <c r="D222" s="2" t="s">
        <v>431</v>
      </c>
      <c r="E222" s="6">
        <v>2300</v>
      </c>
      <c r="F222" s="18">
        <v>6048.66</v>
      </c>
      <c r="G222" s="18">
        <v>462.75</v>
      </c>
      <c r="H222" s="18">
        <f>602707.27+216.88+123.64</f>
        <v>603047.79</v>
      </c>
      <c r="I222" s="18">
        <v>15.21</v>
      </c>
      <c r="J222" s="18">
        <v>0</v>
      </c>
      <c r="K222" s="18">
        <v>2841.87</v>
      </c>
      <c r="L222" s="19">
        <f t="shared" si="2"/>
        <v>612416.28</v>
      </c>
      <c r="M222" s="8"/>
      <c r="N222" s="266"/>
    </row>
    <row r="223" spans="1:14" s="3" customFormat="1" ht="12.2" customHeight="1" x14ac:dyDescent="0.15">
      <c r="A223" s="1" t="s">
        <v>445</v>
      </c>
      <c r="B223" s="2" t="s">
        <v>346</v>
      </c>
      <c r="C223" s="2" t="s">
        <v>297</v>
      </c>
      <c r="D223" s="2" t="s">
        <v>431</v>
      </c>
      <c r="E223" s="6">
        <v>2400</v>
      </c>
      <c r="F223" s="18">
        <v>462781.73</v>
      </c>
      <c r="G223" s="18">
        <v>232104.68</v>
      </c>
      <c r="H223" s="18">
        <f>28970.46-405.37</f>
        <v>28565.09</v>
      </c>
      <c r="I223" s="18">
        <v>29461.87</v>
      </c>
      <c r="J223" s="18">
        <v>0</v>
      </c>
      <c r="K223" s="18">
        <v>2949</v>
      </c>
      <c r="L223" s="19">
        <f t="shared" si="2"/>
        <v>755862.36999999988</v>
      </c>
      <c r="M223" s="8"/>
      <c r="N223" s="266"/>
    </row>
    <row r="224" spans="1:14" s="3" customFormat="1" ht="12.2" customHeight="1" x14ac:dyDescent="0.15">
      <c r="A224" s="1" t="s">
        <v>446</v>
      </c>
      <c r="B224" s="2" t="s">
        <v>346</v>
      </c>
      <c r="C224" s="2" t="s">
        <v>298</v>
      </c>
      <c r="D224" s="2" t="s">
        <v>431</v>
      </c>
      <c r="E224" s="6">
        <v>2500</v>
      </c>
      <c r="F224" s="18">
        <v>0</v>
      </c>
      <c r="G224" s="18">
        <v>0</v>
      </c>
      <c r="H224" s="18">
        <v>423.93</v>
      </c>
      <c r="I224" s="18">
        <v>0</v>
      </c>
      <c r="J224" s="18">
        <v>0</v>
      </c>
      <c r="K224" s="18">
        <v>0</v>
      </c>
      <c r="L224" s="19">
        <f t="shared" si="2"/>
        <v>423.93</v>
      </c>
      <c r="M224" s="8"/>
      <c r="N224" s="266"/>
    </row>
    <row r="225" spans="1:14" s="3" customFormat="1" ht="12.2" customHeight="1" x14ac:dyDescent="0.15">
      <c r="A225" s="1" t="s">
        <v>447</v>
      </c>
      <c r="B225" s="2" t="s">
        <v>346</v>
      </c>
      <c r="C225" s="2" t="s">
        <v>299</v>
      </c>
      <c r="D225" s="2" t="s">
        <v>431</v>
      </c>
      <c r="E225" s="6">
        <v>2600</v>
      </c>
      <c r="F225" s="18">
        <v>295304.90999999997</v>
      </c>
      <c r="G225" s="18">
        <v>154343.12</v>
      </c>
      <c r="H225" s="18">
        <v>119156.93</v>
      </c>
      <c r="I225" s="18">
        <v>236146.49</v>
      </c>
      <c r="J225" s="18">
        <v>4066.49</v>
      </c>
      <c r="K225" s="18">
        <v>96.5</v>
      </c>
      <c r="L225" s="19">
        <f t="shared" si="2"/>
        <v>809114.44</v>
      </c>
      <c r="M225" s="8"/>
      <c r="N225" s="266"/>
    </row>
    <row r="226" spans="1:14" s="3" customFormat="1" ht="12.2" customHeight="1" x14ac:dyDescent="0.15">
      <c r="A226" s="1" t="s">
        <v>448</v>
      </c>
      <c r="B226" s="2" t="s">
        <v>346</v>
      </c>
      <c r="C226" s="2" t="s">
        <v>300</v>
      </c>
      <c r="D226" s="2" t="s">
        <v>431</v>
      </c>
      <c r="E226" s="6">
        <v>2700</v>
      </c>
      <c r="F226" s="18">
        <v>800</v>
      </c>
      <c r="G226" s="18">
        <v>61.2</v>
      </c>
      <c r="H226" s="18">
        <v>391066.01</v>
      </c>
      <c r="I226" s="18">
        <v>0</v>
      </c>
      <c r="J226" s="18">
        <v>0</v>
      </c>
      <c r="K226" s="18">
        <v>0</v>
      </c>
      <c r="L226" s="19">
        <f t="shared" si="2"/>
        <v>391927.21</v>
      </c>
      <c r="M226" s="8"/>
      <c r="N226" s="266"/>
    </row>
    <row r="227" spans="1:14" s="3" customFormat="1" ht="12.2" customHeight="1" x14ac:dyDescent="0.15">
      <c r="A227" s="1" t="s">
        <v>449</v>
      </c>
      <c r="B227" s="2" t="s">
        <v>346</v>
      </c>
      <c r="C227" s="2" t="s">
        <v>343</v>
      </c>
      <c r="D227" s="2" t="s">
        <v>431</v>
      </c>
      <c r="E227" s="6">
        <v>2800</v>
      </c>
      <c r="F227" s="18">
        <v>141165</v>
      </c>
      <c r="G227" s="18">
        <v>46833.53</v>
      </c>
      <c r="H227" s="18">
        <v>8890.7999999999993</v>
      </c>
      <c r="I227" s="18">
        <v>22819.57</v>
      </c>
      <c r="J227" s="18">
        <v>10148.969999999999</v>
      </c>
      <c r="K227" s="18">
        <v>0</v>
      </c>
      <c r="L227" s="19">
        <f>SUM(F227:K227)</f>
        <v>229857.87</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6650526.9000000004</v>
      </c>
      <c r="G229" s="41">
        <f>SUM(G215:G228)</f>
        <v>3569456.6300000004</v>
      </c>
      <c r="H229" s="41">
        <f>SUM(H215:H228)</f>
        <v>1836020.6</v>
      </c>
      <c r="I229" s="41">
        <f>SUM(I215:I228)</f>
        <v>421841.22000000003</v>
      </c>
      <c r="J229" s="41">
        <f>SUM(J215:J228)</f>
        <v>134525.85</v>
      </c>
      <c r="K229" s="41">
        <f t="shared" si="3"/>
        <v>7679.37</v>
      </c>
      <c r="L229" s="41">
        <f t="shared" si="3"/>
        <v>12620050.569999998</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v>0</v>
      </c>
      <c r="G255" s="18">
        <v>0</v>
      </c>
      <c r="H255" s="18">
        <v>175005.6</v>
      </c>
      <c r="I255" s="18">
        <v>0</v>
      </c>
      <c r="J255" s="18">
        <v>472812.52</v>
      </c>
      <c r="K255" s="18">
        <v>0</v>
      </c>
      <c r="L255" s="19">
        <f t="shared" si="6"/>
        <v>647818.12</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175005.6</v>
      </c>
      <c r="I256" s="41">
        <f t="shared" si="7"/>
        <v>0</v>
      </c>
      <c r="J256" s="41">
        <f t="shared" si="7"/>
        <v>472812.52</v>
      </c>
      <c r="K256" s="41">
        <f t="shared" si="7"/>
        <v>0</v>
      </c>
      <c r="L256" s="41">
        <f>SUM(F256:K256)</f>
        <v>647818.12</v>
      </c>
      <c r="M256" s="8"/>
      <c r="N256" s="266"/>
    </row>
    <row r="257" spans="1:14" s="3" customFormat="1" ht="12.2" customHeight="1" thickTop="1" x14ac:dyDescent="0.15">
      <c r="A257" s="38" t="s">
        <v>462</v>
      </c>
      <c r="B257" s="40">
        <v>10</v>
      </c>
      <c r="C257" s="40">
        <v>8</v>
      </c>
      <c r="D257" s="39" t="s">
        <v>431</v>
      </c>
      <c r="E257" s="40"/>
      <c r="F257" s="41">
        <f t="shared" ref="F257:L257" si="8">F211+F229+F247+F256</f>
        <v>13262313.940000001</v>
      </c>
      <c r="G257" s="41">
        <f t="shared" si="8"/>
        <v>7191246.0999999996</v>
      </c>
      <c r="H257" s="41">
        <f t="shared" si="8"/>
        <v>3718111.85</v>
      </c>
      <c r="I257" s="41">
        <f t="shared" si="8"/>
        <v>837967.25</v>
      </c>
      <c r="J257" s="41">
        <f t="shared" si="8"/>
        <v>661455.84000000008</v>
      </c>
      <c r="K257" s="41">
        <f t="shared" si="8"/>
        <v>12529.24</v>
      </c>
      <c r="L257" s="41">
        <f t="shared" si="8"/>
        <v>25683624.219999999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380000</v>
      </c>
      <c r="L260" s="19">
        <f>SUM(F260:K260)</f>
        <v>380000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103513.51</v>
      </c>
      <c r="L261" s="19">
        <f>SUM(F261:K261)</f>
        <v>103513.51</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0</v>
      </c>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50000</v>
      </c>
      <c r="L266" s="19">
        <f t="shared" si="9"/>
        <v>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533513.51</v>
      </c>
      <c r="L270" s="41">
        <f t="shared" si="9"/>
        <v>533513.51</v>
      </c>
      <c r="N270" s="264"/>
    </row>
    <row r="271" spans="1:14" s="3" customFormat="1" ht="12.2" customHeight="1" thickTop="1" x14ac:dyDescent="0.2">
      <c r="A271" s="43" t="s">
        <v>464</v>
      </c>
      <c r="B271" s="40">
        <v>10</v>
      </c>
      <c r="C271" s="40">
        <v>18</v>
      </c>
      <c r="D271" s="39" t="s">
        <v>431</v>
      </c>
      <c r="E271" s="40"/>
      <c r="F271" s="42">
        <f t="shared" ref="F271:L271" si="11">F257+F270</f>
        <v>13262313.940000001</v>
      </c>
      <c r="G271" s="42">
        <f t="shared" si="11"/>
        <v>7191246.0999999996</v>
      </c>
      <c r="H271" s="42">
        <f t="shared" si="11"/>
        <v>3718111.85</v>
      </c>
      <c r="I271" s="42">
        <f t="shared" si="11"/>
        <v>837967.25</v>
      </c>
      <c r="J271" s="42">
        <f t="shared" si="11"/>
        <v>661455.84000000008</v>
      </c>
      <c r="K271" s="42">
        <f t="shared" si="11"/>
        <v>546042.75</v>
      </c>
      <c r="L271" s="42">
        <f t="shared" si="11"/>
        <v>26217137.73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0</v>
      </c>
      <c r="G276" s="18">
        <v>0</v>
      </c>
      <c r="H276" s="18">
        <v>0</v>
      </c>
      <c r="I276" s="18">
        <v>0</v>
      </c>
      <c r="J276" s="18">
        <v>0</v>
      </c>
      <c r="K276" s="18">
        <v>0</v>
      </c>
      <c r="L276" s="19">
        <f>SUM(F276:K276)</f>
        <v>0</v>
      </c>
      <c r="M276" s="8"/>
      <c r="N276" s="266"/>
    </row>
    <row r="277" spans="1:14" s="3" customFormat="1" ht="12.2" customHeight="1" x14ac:dyDescent="0.15">
      <c r="A277" s="1" t="s">
        <v>439</v>
      </c>
      <c r="B277" s="2" t="s">
        <v>357</v>
      </c>
      <c r="C277" s="2" t="s">
        <v>291</v>
      </c>
      <c r="D277" s="2" t="s">
        <v>431</v>
      </c>
      <c r="E277" s="6">
        <v>1200</v>
      </c>
      <c r="F277" s="18">
        <v>133777</v>
      </c>
      <c r="G277" s="18">
        <v>32871.620000000003</v>
      </c>
      <c r="H277" s="18">
        <v>514.15</v>
      </c>
      <c r="I277" s="18">
        <v>5924.15</v>
      </c>
      <c r="J277" s="18">
        <v>2220.2399999999998</v>
      </c>
      <c r="K277" s="18">
        <v>0</v>
      </c>
      <c r="L277" s="19">
        <f>SUM(F277:K277)</f>
        <v>175307.15999999997</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7697.76</v>
      </c>
      <c r="G279" s="18">
        <v>1712.25</v>
      </c>
      <c r="H279" s="18">
        <v>0</v>
      </c>
      <c r="I279" s="18">
        <v>290.04000000000002</v>
      </c>
      <c r="J279" s="18">
        <v>0</v>
      </c>
      <c r="K279" s="18">
        <v>0</v>
      </c>
      <c r="L279" s="19">
        <f>SUM(F279:K279)</f>
        <v>9700.0500000000011</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0</v>
      </c>
      <c r="G281" s="18">
        <v>0</v>
      </c>
      <c r="H281" s="18">
        <v>25220.65</v>
      </c>
      <c r="I281" s="18">
        <v>2240.39</v>
      </c>
      <c r="J281" s="18">
        <v>0</v>
      </c>
      <c r="K281" s="18">
        <v>0</v>
      </c>
      <c r="L281" s="19">
        <f t="shared" ref="L281:L287" si="12">SUM(F281:K281)</f>
        <v>27461.040000000001</v>
      </c>
      <c r="M281" s="8"/>
      <c r="N281" s="266"/>
    </row>
    <row r="282" spans="1:14" s="3" customFormat="1" ht="12.2" customHeight="1" x14ac:dyDescent="0.15">
      <c r="A282" s="1" t="s">
        <v>443</v>
      </c>
      <c r="B282" s="2" t="s">
        <v>357</v>
      </c>
      <c r="C282" s="2" t="s">
        <v>295</v>
      </c>
      <c r="D282" s="2" t="s">
        <v>431</v>
      </c>
      <c r="E282" s="6">
        <v>2200</v>
      </c>
      <c r="F282" s="18">
        <v>14570.84</v>
      </c>
      <c r="G282" s="18">
        <v>3570.07</v>
      </c>
      <c r="H282" s="18">
        <v>3300</v>
      </c>
      <c r="I282" s="18">
        <v>0</v>
      </c>
      <c r="J282" s="18">
        <v>0</v>
      </c>
      <c r="K282" s="18">
        <v>0</v>
      </c>
      <c r="L282" s="19">
        <f t="shared" si="12"/>
        <v>21440.91</v>
      </c>
      <c r="M282" s="8"/>
      <c r="N282" s="266"/>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6"/>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v>836.28</v>
      </c>
      <c r="G288" s="18">
        <v>208.66</v>
      </c>
      <c r="H288" s="18">
        <v>0</v>
      </c>
      <c r="I288" s="18">
        <v>0</v>
      </c>
      <c r="J288" s="18">
        <v>0</v>
      </c>
      <c r="K288" s="18">
        <v>0</v>
      </c>
      <c r="L288" s="19">
        <f>SUM(F288:K288)</f>
        <v>1044.94</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156881.88</v>
      </c>
      <c r="G290" s="42">
        <f t="shared" si="13"/>
        <v>38362.600000000006</v>
      </c>
      <c r="H290" s="42">
        <f t="shared" si="13"/>
        <v>29034.800000000003</v>
      </c>
      <c r="I290" s="42">
        <f t="shared" si="13"/>
        <v>8454.58</v>
      </c>
      <c r="J290" s="42">
        <f t="shared" si="13"/>
        <v>2220.2399999999998</v>
      </c>
      <c r="K290" s="42">
        <f t="shared" si="13"/>
        <v>0</v>
      </c>
      <c r="L290" s="41">
        <f t="shared" si="13"/>
        <v>234954.09999999998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0</v>
      </c>
      <c r="G295" s="18">
        <v>0</v>
      </c>
      <c r="H295" s="18">
        <v>0</v>
      </c>
      <c r="I295" s="18">
        <v>1703.22</v>
      </c>
      <c r="J295" s="18">
        <v>0</v>
      </c>
      <c r="K295" s="18">
        <v>0</v>
      </c>
      <c r="L295" s="19">
        <f>SUM(F295:K295)</f>
        <v>1703.22</v>
      </c>
      <c r="M295" s="8"/>
      <c r="N295" s="266"/>
    </row>
    <row r="296" spans="1:14" s="3" customFormat="1" ht="12.2" customHeight="1" x14ac:dyDescent="0.15">
      <c r="A296" s="1" t="s">
        <v>439</v>
      </c>
      <c r="B296" s="2" t="s">
        <v>358</v>
      </c>
      <c r="C296" s="2" t="s">
        <v>291</v>
      </c>
      <c r="D296" s="2" t="s">
        <v>431</v>
      </c>
      <c r="E296" s="6">
        <v>1200</v>
      </c>
      <c r="F296" s="18">
        <v>85455.48</v>
      </c>
      <c r="G296" s="18">
        <v>15470.64</v>
      </c>
      <c r="H296" s="18">
        <v>0</v>
      </c>
      <c r="I296" s="18">
        <v>4718.96</v>
      </c>
      <c r="J296" s="18">
        <v>2761.21</v>
      </c>
      <c r="K296" s="18">
        <v>0</v>
      </c>
      <c r="L296" s="19">
        <f>SUM(F296:K296)</f>
        <v>108406.29000000001</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v>0</v>
      </c>
      <c r="G298" s="18">
        <v>0</v>
      </c>
      <c r="H298" s="18">
        <v>0</v>
      </c>
      <c r="I298" s="18">
        <v>0</v>
      </c>
      <c r="J298" s="18">
        <v>0</v>
      </c>
      <c r="K298" s="18">
        <v>0</v>
      </c>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0</v>
      </c>
      <c r="G300" s="18">
        <v>0</v>
      </c>
      <c r="H300" s="18">
        <v>5028.75</v>
      </c>
      <c r="I300" s="18">
        <v>3201.97</v>
      </c>
      <c r="J300" s="18">
        <v>0</v>
      </c>
      <c r="K300" s="18">
        <v>0</v>
      </c>
      <c r="L300" s="19">
        <f t="shared" ref="L300:L306" si="14">SUM(F300:K300)</f>
        <v>8230.7199999999993</v>
      </c>
      <c r="M300" s="8"/>
      <c r="N300" s="266"/>
    </row>
    <row r="301" spans="1:14" s="3" customFormat="1" ht="12.2" customHeight="1" x14ac:dyDescent="0.15">
      <c r="A301" s="1" t="s">
        <v>443</v>
      </c>
      <c r="B301" s="2" t="s">
        <v>358</v>
      </c>
      <c r="C301" s="2" t="s">
        <v>295</v>
      </c>
      <c r="D301" s="2" t="s">
        <v>431</v>
      </c>
      <c r="E301" s="6">
        <v>2200</v>
      </c>
      <c r="F301" s="18">
        <v>10453.56</v>
      </c>
      <c r="G301" s="18">
        <v>2462.1999999999998</v>
      </c>
      <c r="H301" s="18">
        <v>3300</v>
      </c>
      <c r="I301" s="18">
        <v>330.92</v>
      </c>
      <c r="J301" s="18">
        <v>0</v>
      </c>
      <c r="K301" s="18">
        <v>0</v>
      </c>
      <c r="L301" s="19">
        <f t="shared" si="14"/>
        <v>16546.679999999997</v>
      </c>
      <c r="M301" s="8"/>
      <c r="N301" s="266"/>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0</v>
      </c>
      <c r="L302" s="19">
        <f t="shared" si="14"/>
        <v>0</v>
      </c>
      <c r="M302" s="8"/>
      <c r="N302" s="266"/>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v>3774.63</v>
      </c>
      <c r="G307" s="18">
        <v>944.03</v>
      </c>
      <c r="H307" s="18">
        <v>236.4</v>
      </c>
      <c r="I307" s="18">
        <v>0</v>
      </c>
      <c r="J307" s="18">
        <v>0</v>
      </c>
      <c r="K307" s="18">
        <v>0</v>
      </c>
      <c r="L307" s="19">
        <f>SUM(F307:K307)</f>
        <v>4955.0599999999995</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99683.67</v>
      </c>
      <c r="G309" s="42">
        <f t="shared" si="15"/>
        <v>18876.87</v>
      </c>
      <c r="H309" s="42">
        <f t="shared" si="15"/>
        <v>8565.15</v>
      </c>
      <c r="I309" s="42">
        <f t="shared" si="15"/>
        <v>9955.07</v>
      </c>
      <c r="J309" s="42">
        <f t="shared" si="15"/>
        <v>2761.21</v>
      </c>
      <c r="K309" s="42">
        <f t="shared" si="15"/>
        <v>0</v>
      </c>
      <c r="L309" s="41">
        <f t="shared" si="15"/>
        <v>139841.97</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256565.55</v>
      </c>
      <c r="G338" s="41">
        <f t="shared" si="20"/>
        <v>57239.47</v>
      </c>
      <c r="H338" s="41">
        <f t="shared" si="20"/>
        <v>37599.950000000004</v>
      </c>
      <c r="I338" s="41">
        <f t="shared" si="20"/>
        <v>18409.650000000001</v>
      </c>
      <c r="J338" s="41">
        <f t="shared" si="20"/>
        <v>4981.45</v>
      </c>
      <c r="K338" s="41">
        <f t="shared" si="20"/>
        <v>0</v>
      </c>
      <c r="L338" s="41">
        <f t="shared" si="20"/>
        <v>374796.06999999995</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256565.55</v>
      </c>
      <c r="G352" s="41">
        <f>G338</f>
        <v>57239.47</v>
      </c>
      <c r="H352" s="41">
        <f>H338</f>
        <v>37599.950000000004</v>
      </c>
      <c r="I352" s="41">
        <f>I338</f>
        <v>18409.650000000001</v>
      </c>
      <c r="J352" s="41">
        <f>J338</f>
        <v>4981.45</v>
      </c>
      <c r="K352" s="47">
        <f>K338+K351</f>
        <v>0</v>
      </c>
      <c r="L352" s="41">
        <f>L338+L351</f>
        <v>374796.06999999995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85165.49</v>
      </c>
      <c r="G358" s="18">
        <v>49670.45</v>
      </c>
      <c r="H358" s="18">
        <v>28996.98</v>
      </c>
      <c r="I358" s="18">
        <v>73483.17</v>
      </c>
      <c r="J358" s="18">
        <v>0</v>
      </c>
      <c r="K358" s="18">
        <v>100</v>
      </c>
      <c r="L358" s="13">
        <f>SUM(F358:K358)</f>
        <v>237416.09000000003</v>
      </c>
      <c r="N358" s="264"/>
      <c r="R358" s="3"/>
      <c r="S358" s="3"/>
      <c r="T358" s="3"/>
      <c r="U358" s="3"/>
      <c r="V358" s="3"/>
    </row>
    <row r="359" spans="1:22" s="3" customFormat="1" ht="12.2" customHeight="1" x14ac:dyDescent="0.15">
      <c r="A359" s="1" t="s">
        <v>542</v>
      </c>
      <c r="B359" s="2" t="s">
        <v>366</v>
      </c>
      <c r="C359" s="6">
        <v>2</v>
      </c>
      <c r="D359" s="2" t="s">
        <v>431</v>
      </c>
      <c r="E359" s="6"/>
      <c r="F359" s="18">
        <v>93059.89</v>
      </c>
      <c r="G359" s="18">
        <v>44847.28</v>
      </c>
      <c r="H359" s="18">
        <v>38369.35</v>
      </c>
      <c r="I359" s="18">
        <v>91429.440000000002</v>
      </c>
      <c r="J359" s="18">
        <v>0</v>
      </c>
      <c r="K359" s="18">
        <v>100</v>
      </c>
      <c r="L359" s="19">
        <f>SUM(F359:K359)</f>
        <v>267805.95999999996</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178225.38</v>
      </c>
      <c r="G362" s="47">
        <f t="shared" si="22"/>
        <v>94517.73</v>
      </c>
      <c r="H362" s="47">
        <f t="shared" si="22"/>
        <v>67366.33</v>
      </c>
      <c r="I362" s="47">
        <f t="shared" si="22"/>
        <v>164912.60999999999</v>
      </c>
      <c r="J362" s="47">
        <f t="shared" si="22"/>
        <v>0</v>
      </c>
      <c r="K362" s="47">
        <f t="shared" si="22"/>
        <v>200</v>
      </c>
      <c r="L362" s="47">
        <f t="shared" si="22"/>
        <v>505222.05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66097.23</v>
      </c>
      <c r="G367" s="18">
        <v>85143.5</v>
      </c>
      <c r="H367" s="18"/>
      <c r="I367" s="56">
        <f>SUM(F367:H367)</f>
        <v>151240.72999999998</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7385.94</v>
      </c>
      <c r="G368" s="63">
        <v>6285.94</v>
      </c>
      <c r="H368" s="63"/>
      <c r="I368" s="56">
        <f>SUM(F368:H368)</f>
        <v>13671.88</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73483.17</v>
      </c>
      <c r="G369" s="47">
        <f>SUM(G367:G368)</f>
        <v>91429.440000000002</v>
      </c>
      <c r="H369" s="47">
        <f>SUM(H367:H368)</f>
        <v>0</v>
      </c>
      <c r="I369" s="47">
        <f>SUM(I367:I368)</f>
        <v>164912.60999999999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f>178.34+234.85+266.97+281.1-54.25</f>
        <v>907.0100000000001</v>
      </c>
      <c r="I396" s="18"/>
      <c r="J396" s="24" t="s">
        <v>288</v>
      </c>
      <c r="K396" s="24" t="s">
        <v>288</v>
      </c>
      <c r="L396" s="56">
        <f t="shared" si="26"/>
        <v>907.0100000000001</v>
      </c>
      <c r="M396" s="8"/>
      <c r="N396" s="266"/>
    </row>
    <row r="397" spans="1:14" s="3" customFormat="1" ht="12.2" customHeight="1" x14ac:dyDescent="0.15">
      <c r="A397" s="79" t="s">
        <v>515</v>
      </c>
      <c r="B397" s="2" t="s">
        <v>381</v>
      </c>
      <c r="C397" s="6">
        <v>10</v>
      </c>
      <c r="D397" s="2" t="s">
        <v>432</v>
      </c>
      <c r="E397" s="6"/>
      <c r="F397" s="18"/>
      <c r="G397" s="18">
        <v>50000</v>
      </c>
      <c r="H397" s="18">
        <f>749.35+1228.76+1396.8+1470.72</f>
        <v>4845.63</v>
      </c>
      <c r="I397" s="18"/>
      <c r="J397" s="24" t="s">
        <v>288</v>
      </c>
      <c r="K397" s="24" t="s">
        <v>288</v>
      </c>
      <c r="L397" s="56">
        <f t="shared" si="26"/>
        <v>54845.63</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50000</v>
      </c>
      <c r="H401" s="47">
        <f>SUM(H395:H400)</f>
        <v>5752.64</v>
      </c>
      <c r="I401" s="47">
        <f>SUM(I395:I400)</f>
        <v>0</v>
      </c>
      <c r="J401" s="45" t="s">
        <v>288</v>
      </c>
      <c r="K401" s="45" t="s">
        <v>288</v>
      </c>
      <c r="L401" s="47">
        <f>SUM(L395:L400)</f>
        <v>55752.639999999999</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t="s">
        <v>1614</v>
      </c>
      <c r="B403" s="2" t="s">
        <v>381</v>
      </c>
      <c r="C403" s="6">
        <v>15</v>
      </c>
      <c r="D403" s="2" t="s">
        <v>432</v>
      </c>
      <c r="E403" s="6"/>
      <c r="F403" s="18"/>
      <c r="G403" s="18"/>
      <c r="H403" s="18"/>
      <c r="I403" s="18">
        <f>670.91+360</f>
        <v>1030.9099999999999</v>
      </c>
      <c r="J403" s="24" t="s">
        <v>288</v>
      </c>
      <c r="K403" s="24" t="s">
        <v>288</v>
      </c>
      <c r="L403" s="56">
        <f>SUM(F403:K403)</f>
        <v>1030.9099999999999</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1030.9099999999999</v>
      </c>
      <c r="J407" s="49" t="s">
        <v>288</v>
      </c>
      <c r="K407" s="49" t="s">
        <v>288</v>
      </c>
      <c r="L407" s="47">
        <f>SUM(L403:L406)</f>
        <v>1030.9099999999999</v>
      </c>
      <c r="M407" s="8"/>
      <c r="N407" s="266"/>
    </row>
    <row r="408" spans="1:21" s="3" customFormat="1" ht="12.2" customHeight="1" thickTop="1" x14ac:dyDescent="0.15">
      <c r="A408" s="78" t="s">
        <v>421</v>
      </c>
      <c r="B408" s="2" t="s">
        <v>381</v>
      </c>
      <c r="C408" s="6">
        <v>20</v>
      </c>
      <c r="D408" s="6"/>
      <c r="E408" s="40"/>
      <c r="F408" s="47">
        <f>F393+F401+F407</f>
        <v>0</v>
      </c>
      <c r="G408" s="47">
        <f>G393+G401+G407</f>
        <v>50000</v>
      </c>
      <c r="H408" s="47">
        <f>H393+H401+H407</f>
        <v>5752.64</v>
      </c>
      <c r="I408" s="47">
        <f>I393+I401+I407</f>
        <v>1030.9099999999999</v>
      </c>
      <c r="J408" s="24" t="s">
        <v>288</v>
      </c>
      <c r="K408" s="24" t="s">
        <v>288</v>
      </c>
      <c r="L408" s="47">
        <f>L393+L401+L407</f>
        <v>56783.55</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v>28104.26</v>
      </c>
      <c r="I422" s="18"/>
      <c r="J422" s="18"/>
      <c r="K422" s="18"/>
      <c r="L422" s="56">
        <f t="shared" si="29"/>
        <v>28104.26</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28104.26</v>
      </c>
      <c r="I427" s="47">
        <f t="shared" si="30"/>
        <v>0</v>
      </c>
      <c r="J427" s="47">
        <f t="shared" si="30"/>
        <v>0</v>
      </c>
      <c r="K427" s="47">
        <f t="shared" si="30"/>
        <v>0</v>
      </c>
      <c r="L427" s="47">
        <f t="shared" si="30"/>
        <v>28104.26</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t="s">
        <v>1614</v>
      </c>
      <c r="B429" s="6">
        <v>17</v>
      </c>
      <c r="C429" s="6">
        <v>15</v>
      </c>
      <c r="D429" s="2" t="s">
        <v>432</v>
      </c>
      <c r="E429" s="6"/>
      <c r="F429" s="18">
        <v>750</v>
      </c>
      <c r="G429" s="18">
        <v>188.12</v>
      </c>
      <c r="H429" s="18"/>
      <c r="I429" s="18"/>
      <c r="J429" s="18"/>
      <c r="K429" s="18"/>
      <c r="L429" s="56">
        <f>SUM(F429:K429)</f>
        <v>938.12</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750</v>
      </c>
      <c r="G433" s="47">
        <f t="shared" si="31"/>
        <v>188.12</v>
      </c>
      <c r="H433" s="47">
        <f t="shared" si="31"/>
        <v>0</v>
      </c>
      <c r="I433" s="47">
        <f t="shared" si="31"/>
        <v>0</v>
      </c>
      <c r="J433" s="47">
        <f t="shared" si="31"/>
        <v>0</v>
      </c>
      <c r="K433" s="47">
        <f t="shared" si="31"/>
        <v>0</v>
      </c>
      <c r="L433" s="47">
        <f t="shared" si="31"/>
        <v>938.12</v>
      </c>
      <c r="M433" s="8"/>
      <c r="N433" s="266"/>
    </row>
    <row r="434" spans="1:14" s="3" customFormat="1" ht="12.2" customHeight="1" thickTop="1" x14ac:dyDescent="0.15">
      <c r="A434" s="78" t="s">
        <v>422</v>
      </c>
      <c r="B434" s="6">
        <v>17</v>
      </c>
      <c r="C434" s="6">
        <v>20</v>
      </c>
      <c r="D434" s="2" t="s">
        <v>432</v>
      </c>
      <c r="E434" s="40"/>
      <c r="F434" s="47">
        <f t="shared" ref="F434:L434" si="32">F419+F427+F433</f>
        <v>750</v>
      </c>
      <c r="G434" s="47">
        <f t="shared" si="32"/>
        <v>188.12</v>
      </c>
      <c r="H434" s="47">
        <f t="shared" si="32"/>
        <v>28104.26</v>
      </c>
      <c r="I434" s="47">
        <f t="shared" si="32"/>
        <v>0</v>
      </c>
      <c r="J434" s="47">
        <f t="shared" si="32"/>
        <v>0</v>
      </c>
      <c r="K434" s="47">
        <f t="shared" si="32"/>
        <v>0</v>
      </c>
      <c r="L434" s="47">
        <f t="shared" si="32"/>
        <v>29042.379999999997</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f>60149.79+19705.22+3516.38</f>
        <v>83371.390000000014</v>
      </c>
      <c r="I439" s="56">
        <f t="shared" ref="I439:I445" si="33">SUM(F439:H439)</f>
        <v>83371.390000000014</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4"/>
      <c r="H441" s="18">
        <v>372.88</v>
      </c>
      <c r="I441" s="56">
        <f>SUM(F441:H441)</f>
        <v>372.88</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f>21150.95+257988.28</f>
        <v>279139.23</v>
      </c>
      <c r="H442" s="18"/>
      <c r="I442" s="56">
        <f t="shared" si="33"/>
        <v>279139.23</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279139.23</v>
      </c>
      <c r="H446" s="13">
        <f>SUM(H439:H445)</f>
        <v>83744.270000000019</v>
      </c>
      <c r="I446" s="13">
        <f>SUM(I439:I445)</f>
        <v>362883.5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f>60149.79+19705.22+3516.38</f>
        <v>83371.390000000014</v>
      </c>
      <c r="I451" s="56">
        <f>SUM(F451:H451)</f>
        <v>83371.390000000014</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83371.390000000014</v>
      </c>
      <c r="I452" s="72">
        <f>SUM(I448:I451)</f>
        <v>83371.390000000014</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f>251490.85+27648.38</f>
        <v>279139.23</v>
      </c>
      <c r="H459" s="18">
        <f>280.09+92.79</f>
        <v>372.88</v>
      </c>
      <c r="I459" s="56">
        <f t="shared" si="34"/>
        <v>279512.11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279139.23</v>
      </c>
      <c r="H460" s="83">
        <f>SUM(H454:H459)</f>
        <v>372.88</v>
      </c>
      <c r="I460" s="83">
        <f>SUM(I454:I459)</f>
        <v>279512.11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279139.23</v>
      </c>
      <c r="H461" s="42">
        <f>H452+H460</f>
        <v>83744.270000000019</v>
      </c>
      <c r="I461" s="42">
        <f>I452+I460</f>
        <v>362883.5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401273.91999999806</v>
      </c>
      <c r="G465" s="18">
        <v>53221.490000000049</v>
      </c>
      <c r="H465" s="18">
        <v>0</v>
      </c>
      <c r="I465" s="18">
        <v>0</v>
      </c>
      <c r="J465" s="18">
        <v>251770.93999999997</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26797491.800000004</v>
      </c>
      <c r="G468" s="18">
        <f t="shared" ref="G468:J468" si="35">G193</f>
        <v>462399.21</v>
      </c>
      <c r="H468" s="18">
        <f t="shared" si="35"/>
        <v>374796.07</v>
      </c>
      <c r="I468" s="18">
        <f t="shared" si="35"/>
        <v>0</v>
      </c>
      <c r="J468" s="18">
        <f t="shared" si="35"/>
        <v>56783.55</v>
      </c>
      <c r="K468" s="24" t="s">
        <v>288</v>
      </c>
      <c r="L468" s="24" t="s">
        <v>288</v>
      </c>
      <c r="N468" s="265"/>
    </row>
    <row r="469" spans="1:14" s="52" customFormat="1" ht="12.2" customHeight="1" x14ac:dyDescent="0.2">
      <c r="A469" s="93" t="s">
        <v>611</v>
      </c>
      <c r="B469" s="75">
        <v>19</v>
      </c>
      <c r="C469" s="80">
        <v>3</v>
      </c>
      <c r="D469" s="2" t="s">
        <v>432</v>
      </c>
      <c r="E469" s="80"/>
      <c r="F469" s="18">
        <v>917.02</v>
      </c>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26798408.820000004</v>
      </c>
      <c r="G470" s="53">
        <f>SUM(G468:G469)</f>
        <v>462399.21</v>
      </c>
      <c r="H470" s="53">
        <f>SUM(H468:H469)</f>
        <v>374796.07</v>
      </c>
      <c r="I470" s="53">
        <f>SUM(I468:I469)</f>
        <v>0</v>
      </c>
      <c r="J470" s="53">
        <f>SUM(J468:J469)</f>
        <v>56783.55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26217137.73</v>
      </c>
      <c r="G472" s="18">
        <f>L362</f>
        <v>505222.05</v>
      </c>
      <c r="H472" s="18">
        <f>L352</f>
        <v>374796.06999999995</v>
      </c>
      <c r="I472" s="18">
        <f>L382</f>
        <v>0</v>
      </c>
      <c r="J472" s="18">
        <f>L434</f>
        <v>29042.379999999997</v>
      </c>
      <c r="K472" s="24" t="s">
        <v>288</v>
      </c>
      <c r="L472" s="24" t="s">
        <v>288</v>
      </c>
      <c r="N472" s="265"/>
    </row>
    <row r="473" spans="1:14" s="52" customFormat="1" ht="12.2" customHeight="1" x14ac:dyDescent="0.2">
      <c r="A473" s="93" t="s">
        <v>613</v>
      </c>
      <c r="B473" s="75">
        <v>19</v>
      </c>
      <c r="C473" s="80">
        <v>6</v>
      </c>
      <c r="D473" s="2" t="s">
        <v>432</v>
      </c>
      <c r="E473" s="80"/>
      <c r="F473" s="18">
        <v>159.32</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26217297.050000001</v>
      </c>
      <c r="G474" s="53">
        <f>SUM(G472:G473)</f>
        <v>505222.05</v>
      </c>
      <c r="H474" s="53">
        <f>SUM(H472:H473)</f>
        <v>374796.06999999995</v>
      </c>
      <c r="I474" s="53">
        <f>SUM(I472:I473)</f>
        <v>0</v>
      </c>
      <c r="J474" s="53">
        <f>SUM(J472:J473)</f>
        <v>29042.379999999997</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982385.69000000134</v>
      </c>
      <c r="G476" s="53">
        <f>(G465+G470)- G474</f>
        <v>10398.650000000081</v>
      </c>
      <c r="H476" s="53">
        <f>(H465+H470)- H474</f>
        <v>0</v>
      </c>
      <c r="I476" s="53">
        <f>(I465+I470)- I474</f>
        <v>0</v>
      </c>
      <c r="J476" s="53">
        <f>(J465+J470)- J474</f>
        <v>279512.11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1615</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1615</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10</v>
      </c>
      <c r="G490" s="154">
        <v>20</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t="s">
        <v>1613</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t="s">
        <v>1612</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1717000</v>
      </c>
      <c r="G493" s="18">
        <v>3883620</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1.62</v>
      </c>
      <c r="G494" s="18">
        <v>4.24</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720000</v>
      </c>
      <c r="G495" s="18">
        <f>2520000-195000-195000</f>
        <v>2130000</v>
      </c>
      <c r="H495" s="18"/>
      <c r="I495" s="18"/>
      <c r="J495" s="18"/>
      <c r="K495" s="53">
        <f>SUM(F495:J495)</f>
        <v>2850000</v>
      </c>
      <c r="L495" s="24" t="s">
        <v>288</v>
      </c>
      <c r="N495" s="265"/>
    </row>
    <row r="496" spans="1:14" s="52" customFormat="1" ht="12.2" customHeight="1" x14ac:dyDescent="0.2">
      <c r="A496" s="22" t="s">
        <v>620</v>
      </c>
      <c r="B496" s="75">
        <v>20</v>
      </c>
      <c r="C496" s="115">
        <v>7</v>
      </c>
      <c r="D496" s="2" t="s">
        <v>432</v>
      </c>
      <c r="E496" s="115"/>
      <c r="F496" s="18">
        <v>0</v>
      </c>
      <c r="G496" s="18">
        <v>0</v>
      </c>
      <c r="H496" s="18"/>
      <c r="I496" s="18"/>
      <c r="J496" s="18"/>
      <c r="K496" s="53">
        <f t="shared" ref="K496:K503" si="36">SUM(F496:J496)</f>
        <v>0</v>
      </c>
      <c r="L496" s="24" t="s">
        <v>288</v>
      </c>
      <c r="N496" s="265"/>
    </row>
    <row r="497" spans="1:14" s="52" customFormat="1" ht="12.2" customHeight="1" x14ac:dyDescent="0.2">
      <c r="A497" s="22" t="s">
        <v>621</v>
      </c>
      <c r="B497" s="75">
        <v>20</v>
      </c>
      <c r="C497" s="115">
        <v>8</v>
      </c>
      <c r="D497" s="2" t="s">
        <v>432</v>
      </c>
      <c r="E497" s="115"/>
      <c r="F497" s="18">
        <v>185000</v>
      </c>
      <c r="G497" s="18">
        <v>195000</v>
      </c>
      <c r="H497" s="18"/>
      <c r="I497" s="18"/>
      <c r="J497" s="18"/>
      <c r="K497" s="53">
        <f t="shared" si="36"/>
        <v>380000</v>
      </c>
      <c r="L497" s="24" t="s">
        <v>288</v>
      </c>
      <c r="N497" s="265"/>
    </row>
    <row r="498" spans="1:14" s="52" customFormat="1" ht="12.2" customHeight="1" x14ac:dyDescent="0.2">
      <c r="A498" s="200" t="s">
        <v>622</v>
      </c>
      <c r="B498" s="201">
        <v>20</v>
      </c>
      <c r="C498" s="202">
        <v>9</v>
      </c>
      <c r="D498" s="203" t="s">
        <v>432</v>
      </c>
      <c r="E498" s="202"/>
      <c r="F498" s="204">
        <f>F495-F497</f>
        <v>535000</v>
      </c>
      <c r="G498" s="204">
        <f>G495-G497</f>
        <v>1935000</v>
      </c>
      <c r="H498" s="204"/>
      <c r="I498" s="204"/>
      <c r="J498" s="204"/>
      <c r="K498" s="205">
        <f t="shared" si="36"/>
        <v>2470000</v>
      </c>
      <c r="L498" s="206" t="s">
        <v>288</v>
      </c>
      <c r="N498" s="265"/>
    </row>
    <row r="499" spans="1:14" s="52" customFormat="1" ht="12.2" customHeight="1" thickBot="1" x14ac:dyDescent="0.25">
      <c r="A499" s="22" t="s">
        <v>623</v>
      </c>
      <c r="B499" s="75">
        <v>20</v>
      </c>
      <c r="C499" s="115">
        <v>10</v>
      </c>
      <c r="D499" s="2" t="s">
        <v>432</v>
      </c>
      <c r="E499" s="115"/>
      <c r="F499" s="18">
        <f>8925+5325+5325+2625+2625</f>
        <v>24825</v>
      </c>
      <c r="G499" s="18">
        <f>36218.88+31343.88+29337.88+25316+26336+22314.13+22314.13+18170.38+18170.38+14026.63+14026.63+9882.88+9882.88+5617.25+5798.25+1642+1642+1642</f>
        <v>293682.18000000005</v>
      </c>
      <c r="H499" s="18"/>
      <c r="I499" s="18"/>
      <c r="J499" s="18"/>
      <c r="K499" s="53">
        <f t="shared" si="36"/>
        <v>318507.18000000005</v>
      </c>
      <c r="L499" s="24" t="s">
        <v>288</v>
      </c>
      <c r="N499" s="265"/>
    </row>
    <row r="500" spans="1:14" s="52" customFormat="1" ht="12.2" customHeight="1" thickTop="1" x14ac:dyDescent="0.2">
      <c r="A500" s="139" t="s">
        <v>624</v>
      </c>
      <c r="B500" s="44">
        <v>20</v>
      </c>
      <c r="C500" s="195">
        <v>11</v>
      </c>
      <c r="D500" s="39" t="s">
        <v>432</v>
      </c>
      <c r="E500" s="195"/>
      <c r="F500" s="42">
        <f>SUM(F498:F499)</f>
        <v>559825</v>
      </c>
      <c r="G500" s="42">
        <f>SUM(G498:G499)</f>
        <v>2228682.1800000002</v>
      </c>
      <c r="H500" s="42">
        <f>SUM(H498:H499)</f>
        <v>0</v>
      </c>
      <c r="I500" s="42">
        <f>SUM(I498:I499)</f>
        <v>0</v>
      </c>
      <c r="J500" s="42">
        <f>SUM(J498:J499)</f>
        <v>0</v>
      </c>
      <c r="K500" s="42">
        <f t="shared" si="36"/>
        <v>2788507.18</v>
      </c>
      <c r="L500" s="45" t="s">
        <v>288</v>
      </c>
      <c r="N500" s="265"/>
    </row>
    <row r="501" spans="1:14" s="52" customFormat="1" ht="12.2" customHeight="1" x14ac:dyDescent="0.2">
      <c r="A501" s="200" t="s">
        <v>651</v>
      </c>
      <c r="B501" s="201">
        <v>20</v>
      </c>
      <c r="C501" s="202">
        <v>12</v>
      </c>
      <c r="D501" s="203" t="s">
        <v>432</v>
      </c>
      <c r="E501" s="202"/>
      <c r="F501" s="204">
        <v>180000</v>
      </c>
      <c r="G501" s="204">
        <v>195000</v>
      </c>
      <c r="H501" s="204"/>
      <c r="I501" s="204"/>
      <c r="J501" s="204"/>
      <c r="K501" s="205">
        <f t="shared" si="36"/>
        <v>375000</v>
      </c>
      <c r="L501" s="206" t="s">
        <v>288</v>
      </c>
      <c r="N501" s="265"/>
    </row>
    <row r="502" spans="1:14" s="52" customFormat="1" ht="12.2" customHeight="1" thickBot="1" x14ac:dyDescent="0.25">
      <c r="A502" s="22" t="s">
        <v>625</v>
      </c>
      <c r="B502" s="75">
        <v>20</v>
      </c>
      <c r="C502" s="115">
        <v>13</v>
      </c>
      <c r="D502" s="2" t="s">
        <v>432</v>
      </c>
      <c r="E502" s="115"/>
      <c r="F502" s="18">
        <f>8925+5325</f>
        <v>14250</v>
      </c>
      <c r="G502" s="18">
        <f>36218.88+31343.88</f>
        <v>67562.759999999995</v>
      </c>
      <c r="H502" s="18"/>
      <c r="I502" s="18"/>
      <c r="J502" s="18"/>
      <c r="K502" s="53">
        <f t="shared" si="36"/>
        <v>81812.759999999995</v>
      </c>
      <c r="L502" s="24" t="s">
        <v>288</v>
      </c>
      <c r="N502" s="265"/>
    </row>
    <row r="503" spans="1:14" s="52" customFormat="1" ht="12.2" customHeight="1" thickTop="1" x14ac:dyDescent="0.2">
      <c r="A503" s="139" t="s">
        <v>626</v>
      </c>
      <c r="B503" s="44">
        <v>20</v>
      </c>
      <c r="C503" s="195">
        <v>14</v>
      </c>
      <c r="D503" s="39" t="s">
        <v>432</v>
      </c>
      <c r="E503" s="195"/>
      <c r="F503" s="42">
        <f>SUM(F501:F502)</f>
        <v>194250</v>
      </c>
      <c r="G503" s="42">
        <f>SUM(G501:G502)</f>
        <v>262562.76</v>
      </c>
      <c r="H503" s="42">
        <f>SUM(H501:H502)</f>
        <v>0</v>
      </c>
      <c r="I503" s="42">
        <f>SUM(I501:I502)</f>
        <v>0</v>
      </c>
      <c r="J503" s="42">
        <f>SUM(J501:J502)</f>
        <v>0</v>
      </c>
      <c r="K503" s="42">
        <f t="shared" si="36"/>
        <v>456812.76</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1254186.98</v>
      </c>
      <c r="G521" s="18">
        <v>769053.95</v>
      </c>
      <c r="H521" s="18">
        <v>18351.02</v>
      </c>
      <c r="I521" s="18">
        <v>16664</v>
      </c>
      <c r="J521" s="18">
        <v>8995.67</v>
      </c>
      <c r="K521" s="18">
        <v>0</v>
      </c>
      <c r="L521" s="88">
        <f>SUM(F521:K521)</f>
        <v>2067251.6199999999</v>
      </c>
      <c r="N521" s="265"/>
    </row>
    <row r="522" spans="1:14" s="52" customFormat="1" ht="12.2" customHeight="1" x14ac:dyDescent="0.2">
      <c r="A522" s="22" t="s">
        <v>634</v>
      </c>
      <c r="B522" s="105">
        <v>21</v>
      </c>
      <c r="C522" s="115">
        <v>2</v>
      </c>
      <c r="D522" s="2" t="s">
        <v>432</v>
      </c>
      <c r="E522" s="115"/>
      <c r="F522" s="18">
        <v>1498574.54</v>
      </c>
      <c r="G522" s="18">
        <v>851855.51</v>
      </c>
      <c r="H522" s="18">
        <v>443903.09</v>
      </c>
      <c r="I522" s="18">
        <v>10757.87</v>
      </c>
      <c r="J522" s="18">
        <v>9236.07</v>
      </c>
      <c r="K522" s="18">
        <v>0</v>
      </c>
      <c r="L522" s="88">
        <f>SUM(F522:K522)</f>
        <v>2814327.0799999996</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2752761.52</v>
      </c>
      <c r="G524" s="108">
        <f t="shared" ref="G524:L524" si="37">SUM(G521:G523)</f>
        <v>1620909.46</v>
      </c>
      <c r="H524" s="108">
        <f t="shared" si="37"/>
        <v>462254.11000000004</v>
      </c>
      <c r="I524" s="108">
        <f t="shared" si="37"/>
        <v>27421.870000000003</v>
      </c>
      <c r="J524" s="108">
        <f t="shared" si="37"/>
        <v>18231.739999999998</v>
      </c>
      <c r="K524" s="108">
        <f t="shared" si="37"/>
        <v>0</v>
      </c>
      <c r="L524" s="89">
        <f t="shared" si="37"/>
        <v>4881578.6999999993</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490592.75</v>
      </c>
      <c r="G526" s="18">
        <v>305310.40999999997</v>
      </c>
      <c r="H526" s="18">
        <v>383523.97</v>
      </c>
      <c r="I526" s="18">
        <v>5425.31</v>
      </c>
      <c r="J526" s="18">
        <v>0</v>
      </c>
      <c r="K526" s="18">
        <v>0</v>
      </c>
      <c r="L526" s="88">
        <f>SUM(F526:K526)</f>
        <v>1184852.44</v>
      </c>
      <c r="M526" s="8"/>
      <c r="N526" s="266"/>
    </row>
    <row r="527" spans="1:14" s="3" customFormat="1" ht="12.2" customHeight="1" x14ac:dyDescent="0.15">
      <c r="A527" s="22" t="s">
        <v>634</v>
      </c>
      <c r="B527" s="105">
        <v>21</v>
      </c>
      <c r="C527" s="115">
        <v>6</v>
      </c>
      <c r="D527" s="2" t="s">
        <v>432</v>
      </c>
      <c r="E527" s="115"/>
      <c r="F527" s="18">
        <v>418698.6</v>
      </c>
      <c r="G527" s="18">
        <v>196955.69</v>
      </c>
      <c r="H527" s="18">
        <v>155827.76999999999</v>
      </c>
      <c r="I527" s="18">
        <v>4533.5200000000004</v>
      </c>
      <c r="J527" s="18">
        <v>0</v>
      </c>
      <c r="K527" s="18">
        <v>0</v>
      </c>
      <c r="L527" s="88">
        <f>SUM(F527:K527)</f>
        <v>776015.58000000007</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909291.35</v>
      </c>
      <c r="G529" s="89">
        <f t="shared" ref="G529:L529" si="38">SUM(G526:G528)</f>
        <v>502266.1</v>
      </c>
      <c r="H529" s="89">
        <f t="shared" si="38"/>
        <v>539351.74</v>
      </c>
      <c r="I529" s="89">
        <f t="shared" si="38"/>
        <v>9958.8300000000017</v>
      </c>
      <c r="J529" s="89">
        <f t="shared" si="38"/>
        <v>0</v>
      </c>
      <c r="K529" s="89">
        <f t="shared" si="38"/>
        <v>0</v>
      </c>
      <c r="L529" s="89">
        <f t="shared" si="38"/>
        <v>1960868.02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4967.1000000000004</v>
      </c>
      <c r="I531" s="18"/>
      <c r="J531" s="18"/>
      <c r="K531" s="18"/>
      <c r="L531" s="88">
        <f>SUM(F531:K531)</f>
        <v>4967.1000000000004</v>
      </c>
      <c r="M531" s="8"/>
      <c r="N531" s="266"/>
    </row>
    <row r="532" spans="1:14" s="3" customFormat="1" ht="12.2" customHeight="1" x14ac:dyDescent="0.15">
      <c r="A532" s="22" t="s">
        <v>634</v>
      </c>
      <c r="B532" s="105">
        <v>21</v>
      </c>
      <c r="C532" s="105">
        <v>10</v>
      </c>
      <c r="D532" s="2" t="s">
        <v>432</v>
      </c>
      <c r="E532" s="105"/>
      <c r="F532" s="18"/>
      <c r="G532" s="18"/>
      <c r="H532" s="18">
        <v>8601.44</v>
      </c>
      <c r="I532" s="18"/>
      <c r="J532" s="18"/>
      <c r="K532" s="18"/>
      <c r="L532" s="88">
        <f>SUM(F532:K532)</f>
        <v>8601.44</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9">SUM(G531:G533)</f>
        <v>0</v>
      </c>
      <c r="H534" s="89">
        <f t="shared" si="39"/>
        <v>13568.54</v>
      </c>
      <c r="I534" s="89">
        <f t="shared" si="39"/>
        <v>0</v>
      </c>
      <c r="J534" s="89">
        <f t="shared" si="39"/>
        <v>0</v>
      </c>
      <c r="K534" s="89">
        <f t="shared" si="39"/>
        <v>0</v>
      </c>
      <c r="L534" s="89">
        <f t="shared" si="39"/>
        <v>13568.54</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157.5</v>
      </c>
      <c r="I536" s="18"/>
      <c r="J536" s="18"/>
      <c r="K536" s="18"/>
      <c r="L536" s="88">
        <f>SUM(F536:K536)</f>
        <v>157.5</v>
      </c>
      <c r="M536" s="8"/>
      <c r="N536" s="266"/>
    </row>
    <row r="537" spans="1:14" s="3" customFormat="1" ht="12.2" customHeight="1" x14ac:dyDescent="0.15">
      <c r="A537" s="22" t="s">
        <v>634</v>
      </c>
      <c r="B537" s="105">
        <v>21</v>
      </c>
      <c r="C537" s="105">
        <v>14</v>
      </c>
      <c r="D537" s="2" t="s">
        <v>432</v>
      </c>
      <c r="E537" s="105"/>
      <c r="F537" s="18"/>
      <c r="G537" s="18"/>
      <c r="H537" s="18">
        <v>1765.75</v>
      </c>
      <c r="I537" s="18"/>
      <c r="J537" s="18"/>
      <c r="K537" s="18"/>
      <c r="L537" s="88">
        <f>SUM(F537:K537)</f>
        <v>1765.75</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0">SUM(G536:G538)</f>
        <v>0</v>
      </c>
      <c r="H539" s="89">
        <f t="shared" si="40"/>
        <v>1923.25</v>
      </c>
      <c r="I539" s="89">
        <f t="shared" si="40"/>
        <v>0</v>
      </c>
      <c r="J539" s="89">
        <f t="shared" si="40"/>
        <v>0</v>
      </c>
      <c r="K539" s="89">
        <f t="shared" si="40"/>
        <v>0</v>
      </c>
      <c r="L539" s="89">
        <f t="shared" si="40"/>
        <v>1923.25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0</v>
      </c>
      <c r="G541" s="18">
        <v>0</v>
      </c>
      <c r="H541" s="18">
        <v>96804.87</v>
      </c>
      <c r="I541" s="18"/>
      <c r="J541" s="18"/>
      <c r="K541" s="18"/>
      <c r="L541" s="88">
        <f>SUM(F541:K541)</f>
        <v>96804.87</v>
      </c>
      <c r="M541" s="8"/>
      <c r="N541" s="266"/>
    </row>
    <row r="542" spans="1:14" s="3" customFormat="1" ht="12.2" customHeight="1" x14ac:dyDescent="0.15">
      <c r="A542" s="22" t="s">
        <v>634</v>
      </c>
      <c r="B542" s="105">
        <v>21</v>
      </c>
      <c r="C542" s="105">
        <v>18</v>
      </c>
      <c r="D542" s="2" t="s">
        <v>432</v>
      </c>
      <c r="E542" s="105"/>
      <c r="F542" s="18">
        <v>800</v>
      </c>
      <c r="G542" s="18">
        <v>61.2</v>
      </c>
      <c r="H542" s="18">
        <v>144622.06</v>
      </c>
      <c r="I542" s="18"/>
      <c r="J542" s="18"/>
      <c r="K542" s="18"/>
      <c r="L542" s="88">
        <f>SUM(F542:K542)</f>
        <v>145483.26</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800</v>
      </c>
      <c r="G544" s="193">
        <f t="shared" ref="G544:L544" si="41">SUM(G541:G543)</f>
        <v>61.2</v>
      </c>
      <c r="H544" s="193">
        <f t="shared" si="41"/>
        <v>241426.93</v>
      </c>
      <c r="I544" s="193">
        <f t="shared" si="41"/>
        <v>0</v>
      </c>
      <c r="J544" s="193">
        <f t="shared" si="41"/>
        <v>0</v>
      </c>
      <c r="K544" s="193">
        <f t="shared" si="41"/>
        <v>0</v>
      </c>
      <c r="L544" s="193">
        <f t="shared" si="41"/>
        <v>242288.13</v>
      </c>
      <c r="M544" s="8"/>
      <c r="N544" s="266"/>
    </row>
    <row r="545" spans="1:14" s="3" customFormat="1" ht="12.2" customHeight="1" thickTop="1" x14ac:dyDescent="0.15">
      <c r="A545" s="98" t="s">
        <v>72</v>
      </c>
      <c r="B545" s="107">
        <v>21</v>
      </c>
      <c r="C545" s="107">
        <v>21</v>
      </c>
      <c r="D545" s="158" t="s">
        <v>432</v>
      </c>
      <c r="E545" s="107"/>
      <c r="F545" s="89">
        <f>F524+F529+F534+F539+F544</f>
        <v>3662852.87</v>
      </c>
      <c r="G545" s="89">
        <f t="shared" ref="G545:L545" si="42">G524+G529+G534+G539+G544</f>
        <v>2123236.7600000002</v>
      </c>
      <c r="H545" s="89">
        <f t="shared" si="42"/>
        <v>1258524.57</v>
      </c>
      <c r="I545" s="89">
        <f t="shared" si="42"/>
        <v>37380.700000000004</v>
      </c>
      <c r="J545" s="89">
        <f t="shared" si="42"/>
        <v>18231.739999999998</v>
      </c>
      <c r="K545" s="89">
        <f t="shared" si="42"/>
        <v>0</v>
      </c>
      <c r="L545" s="89">
        <f t="shared" si="42"/>
        <v>7100226.6399999987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2067251.6199999999</v>
      </c>
      <c r="G549" s="87">
        <f>L526</f>
        <v>1184852.44</v>
      </c>
      <c r="H549" s="87">
        <f>L531</f>
        <v>4967.1000000000004</v>
      </c>
      <c r="I549" s="87">
        <f>L536</f>
        <v>157.5</v>
      </c>
      <c r="J549" s="87">
        <f>L541</f>
        <v>96804.87</v>
      </c>
      <c r="K549" s="87">
        <f>SUM(F549:J549)</f>
        <v>3354033.53</v>
      </c>
      <c r="L549" s="24" t="s">
        <v>288</v>
      </c>
      <c r="M549" s="8"/>
      <c r="N549" s="266"/>
    </row>
    <row r="550" spans="1:14" s="3" customFormat="1" ht="12.2" customHeight="1" x14ac:dyDescent="0.15">
      <c r="A550" s="22" t="s">
        <v>634</v>
      </c>
      <c r="B550" s="75">
        <v>21</v>
      </c>
      <c r="C550" s="75">
        <v>23</v>
      </c>
      <c r="D550" s="2" t="s">
        <v>432</v>
      </c>
      <c r="E550" s="75"/>
      <c r="F550" s="87">
        <f>L522</f>
        <v>2814327.0799999996</v>
      </c>
      <c r="G550" s="87">
        <f>L527</f>
        <v>776015.58000000007</v>
      </c>
      <c r="H550" s="87">
        <f>L532</f>
        <v>8601.44</v>
      </c>
      <c r="I550" s="87">
        <f>L537</f>
        <v>1765.75</v>
      </c>
      <c r="J550" s="87">
        <f>L542</f>
        <v>145483.26</v>
      </c>
      <c r="K550" s="87">
        <f>SUM(F550:J550)</f>
        <v>3746193.1099999994</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3">SUM(F549:F551)</f>
        <v>4881578.6999999993</v>
      </c>
      <c r="G552" s="89">
        <f t="shared" si="43"/>
        <v>1960868.02</v>
      </c>
      <c r="H552" s="89">
        <f t="shared" si="43"/>
        <v>13568.54</v>
      </c>
      <c r="I552" s="89">
        <f t="shared" si="43"/>
        <v>1923.25</v>
      </c>
      <c r="J552" s="89">
        <f t="shared" si="43"/>
        <v>242288.13</v>
      </c>
      <c r="K552" s="89">
        <f t="shared" si="43"/>
        <v>7100226.6399999987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4">SUM(F557:F559)</f>
        <v>0</v>
      </c>
      <c r="G560" s="108">
        <f t="shared" si="44"/>
        <v>0</v>
      </c>
      <c r="H560" s="108">
        <f t="shared" si="44"/>
        <v>0</v>
      </c>
      <c r="I560" s="108">
        <f t="shared" si="44"/>
        <v>0</v>
      </c>
      <c r="J560" s="108">
        <f t="shared" si="44"/>
        <v>0</v>
      </c>
      <c r="K560" s="108">
        <f t="shared" si="44"/>
        <v>0</v>
      </c>
      <c r="L560" s="89">
        <f t="shared" si="44"/>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5">SUM(F562:F564)</f>
        <v>0</v>
      </c>
      <c r="G565" s="89">
        <f t="shared" si="45"/>
        <v>0</v>
      </c>
      <c r="H565" s="89">
        <f t="shared" si="45"/>
        <v>0</v>
      </c>
      <c r="I565" s="89">
        <f t="shared" si="45"/>
        <v>0</v>
      </c>
      <c r="J565" s="89">
        <f t="shared" si="45"/>
        <v>0</v>
      </c>
      <c r="K565" s="89">
        <f t="shared" si="45"/>
        <v>0</v>
      </c>
      <c r="L565" s="89">
        <f t="shared" si="45"/>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6">SUM(G567:G569)</f>
        <v>0</v>
      </c>
      <c r="H570" s="193">
        <f t="shared" si="46"/>
        <v>0</v>
      </c>
      <c r="I570" s="193">
        <f t="shared" si="46"/>
        <v>0</v>
      </c>
      <c r="J570" s="193">
        <f t="shared" si="46"/>
        <v>0</v>
      </c>
      <c r="K570" s="193">
        <f t="shared" si="46"/>
        <v>0</v>
      </c>
      <c r="L570" s="193">
        <f t="shared" si="46"/>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7">G560+G565+G570</f>
        <v>0</v>
      </c>
      <c r="H571" s="89">
        <f t="shared" si="47"/>
        <v>0</v>
      </c>
      <c r="I571" s="89">
        <f t="shared" si="47"/>
        <v>0</v>
      </c>
      <c r="J571" s="89">
        <f t="shared" si="47"/>
        <v>0</v>
      </c>
      <c r="K571" s="89">
        <f t="shared" si="47"/>
        <v>0</v>
      </c>
      <c r="L571" s="89">
        <f t="shared" si="47"/>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8">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8"/>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8"/>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0</v>
      </c>
      <c r="G579" s="18">
        <v>2671.46</v>
      </c>
      <c r="H579" s="18"/>
      <c r="I579" s="87">
        <f t="shared" si="48"/>
        <v>2671.46</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8"/>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8"/>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0</v>
      </c>
      <c r="G582" s="18">
        <v>78037.8</v>
      </c>
      <c r="H582" s="18"/>
      <c r="I582" s="87">
        <f t="shared" si="48"/>
        <v>78037.8</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v>354584.65</v>
      </c>
      <c r="H583" s="18"/>
      <c r="I583" s="87">
        <f t="shared" si="48"/>
        <v>354584.65</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8"/>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8"/>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8"/>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8"/>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405432.58</v>
      </c>
      <c r="I591" s="18">
        <v>225231.99</v>
      </c>
      <c r="J591" s="18"/>
      <c r="K591" s="104">
        <f t="shared" ref="K591:K597" si="49">SUM(H591:J591)</f>
        <v>630664.57000000007</v>
      </c>
      <c r="L591" s="24" t="s">
        <v>288</v>
      </c>
      <c r="M591" s="8"/>
      <c r="N591" s="266"/>
    </row>
    <row r="592" spans="1:14" s="3" customFormat="1" ht="12.2" customHeight="1" x14ac:dyDescent="0.15">
      <c r="A592" s="3" t="s">
        <v>638</v>
      </c>
      <c r="B592" s="75">
        <v>23</v>
      </c>
      <c r="C592" s="75">
        <v>2</v>
      </c>
      <c r="D592" s="2" t="s">
        <v>432</v>
      </c>
      <c r="E592" s="75"/>
      <c r="F592" s="102">
        <v>2722</v>
      </c>
      <c r="G592" s="103" t="s">
        <v>97</v>
      </c>
      <c r="H592" s="18">
        <v>96804.87</v>
      </c>
      <c r="I592" s="18">
        <v>145483.26</v>
      </c>
      <c r="J592" s="18"/>
      <c r="K592" s="104">
        <f t="shared" si="49"/>
        <v>242288.13</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9"/>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21211.96</v>
      </c>
      <c r="J594" s="18"/>
      <c r="K594" s="104">
        <f t="shared" si="49"/>
        <v>21211.96</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961.62</v>
      </c>
      <c r="I595" s="18"/>
      <c r="J595" s="18"/>
      <c r="K595" s="104">
        <f t="shared" si="49"/>
        <v>961.62</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9"/>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9"/>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503199.07</v>
      </c>
      <c r="I598" s="108">
        <f>SUM(I591:I597)</f>
        <v>391927.21</v>
      </c>
      <c r="J598" s="108">
        <f>SUM(J591:J597)</f>
        <v>0</v>
      </c>
      <c r="K598" s="108">
        <f>SUM(K591:K597)</f>
        <v>895126.28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v>0</v>
      </c>
      <c r="I602" s="18">
        <v>0</v>
      </c>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v>0</v>
      </c>
      <c r="I603" s="18">
        <v>0</v>
      </c>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54117.47+2220.24</f>
        <v>56337.71</v>
      </c>
      <c r="I604" s="18">
        <f>134525.85+2761.21</f>
        <v>137287.06</v>
      </c>
      <c r="J604" s="18"/>
      <c r="K604" s="104">
        <f>SUM(H604:J604)</f>
        <v>193624.77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56337.71</v>
      </c>
      <c r="I605" s="108">
        <f>SUM(I602:I604)</f>
        <v>137287.06</v>
      </c>
      <c r="J605" s="108">
        <f>SUM(J602:J604)</f>
        <v>0</v>
      </c>
      <c r="K605" s="108">
        <f>SUM(K602:K604)</f>
        <v>193624.77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1998.32+5699.44</f>
        <v>7697.7599999999993</v>
      </c>
      <c r="G611" s="18">
        <v>1712.25</v>
      </c>
      <c r="H611" s="18"/>
      <c r="I611" s="18">
        <v>290.04000000000002</v>
      </c>
      <c r="J611" s="18"/>
      <c r="K611" s="18"/>
      <c r="L611" s="88">
        <f>SUM(F611:K611)</f>
        <v>9700.0499999999993</v>
      </c>
      <c r="M611" s="8"/>
      <c r="N611" s="266"/>
    </row>
    <row r="612" spans="1:14" s="3" customFormat="1" ht="12.2" customHeight="1" x14ac:dyDescent="0.15">
      <c r="A612" s="22" t="s">
        <v>634</v>
      </c>
      <c r="B612" s="75">
        <v>23</v>
      </c>
      <c r="C612" s="75">
        <v>14</v>
      </c>
      <c r="D612" s="2" t="s">
        <v>432</v>
      </c>
      <c r="E612" s="75"/>
      <c r="F612" s="18">
        <v>10781.19</v>
      </c>
      <c r="G612" s="18">
        <v>2701.56</v>
      </c>
      <c r="H612" s="18"/>
      <c r="I612" s="18"/>
      <c r="J612" s="18"/>
      <c r="K612" s="18"/>
      <c r="L612" s="88">
        <f>SUM(F612:K612)</f>
        <v>13482.75</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50">SUM(F611:F613)</f>
        <v>18478.95</v>
      </c>
      <c r="G614" s="108">
        <f t="shared" si="50"/>
        <v>4413.8099999999995</v>
      </c>
      <c r="H614" s="108">
        <f t="shared" si="50"/>
        <v>0</v>
      </c>
      <c r="I614" s="108">
        <f t="shared" si="50"/>
        <v>290.04000000000002</v>
      </c>
      <c r="J614" s="108">
        <f t="shared" si="50"/>
        <v>0</v>
      </c>
      <c r="K614" s="108">
        <f t="shared" si="50"/>
        <v>0</v>
      </c>
      <c r="L614" s="89">
        <f t="shared" si="50"/>
        <v>23182.799999999999</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1236396.6700000002</v>
      </c>
      <c r="H617" s="109">
        <f>SUM(F52)</f>
        <v>1236396.6700000002</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43322.999999999993</v>
      </c>
      <c r="H618" s="109">
        <f>SUM(G52)</f>
        <v>43323.000000000007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89761.4</v>
      </c>
      <c r="H619" s="109">
        <f>SUM(H52)</f>
        <v>89761.4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362883.5</v>
      </c>
      <c r="H621" s="109">
        <f>SUM(J52)</f>
        <v>362883.5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982385.69000000006</v>
      </c>
      <c r="H622" s="109">
        <f>F476</f>
        <v>982385.69000000134</v>
      </c>
      <c r="I622" s="121" t="s">
        <v>101</v>
      </c>
      <c r="J622" s="109">
        <f t="shared" ref="J622:J655" si="51">G622-H622</f>
        <v>-1.280568540096283E-9</v>
      </c>
      <c r="K622" s="109"/>
      <c r="L622" s="109"/>
      <c r="M622" s="8"/>
    </row>
    <row r="623" spans="1:14" s="3" customFormat="1" ht="12.2" customHeight="1" x14ac:dyDescent="0.15">
      <c r="A623" s="97"/>
      <c r="B623" s="105"/>
      <c r="C623" s="119"/>
      <c r="D623" s="119"/>
      <c r="E623" s="119"/>
      <c r="F623" s="119" t="s">
        <v>866</v>
      </c>
      <c r="G623" s="109">
        <f>G51</f>
        <v>10398.650000000001</v>
      </c>
      <c r="H623" s="109">
        <f>G476</f>
        <v>10398.650000000081</v>
      </c>
      <c r="I623" s="121" t="s">
        <v>102</v>
      </c>
      <c r="J623" s="109">
        <f t="shared" si="51"/>
        <v>-8.0035533756017685E-11</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1"/>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1"/>
        <v>0</v>
      </c>
      <c r="K625" s="109"/>
      <c r="L625" s="109"/>
      <c r="M625" s="8"/>
    </row>
    <row r="626" spans="1:13" s="3" customFormat="1" ht="12.2" customHeight="1" x14ac:dyDescent="0.15">
      <c r="A626" s="22"/>
      <c r="B626" s="105"/>
      <c r="C626" s="105"/>
      <c r="D626" s="105"/>
      <c r="E626" s="105"/>
      <c r="F626" s="120" t="s">
        <v>869</v>
      </c>
      <c r="G626" s="109">
        <f>J51</f>
        <v>279512.11</v>
      </c>
      <c r="H626" s="109">
        <f>J476</f>
        <v>279512.11</v>
      </c>
      <c r="I626" s="140" t="s">
        <v>105</v>
      </c>
      <c r="J626" s="109">
        <f t="shared" si="51"/>
        <v>0</v>
      </c>
      <c r="K626" s="85"/>
      <c r="L626" s="88"/>
      <c r="M626" s="8"/>
    </row>
    <row r="627" spans="1:13" s="3" customFormat="1" ht="12.2" customHeight="1" x14ac:dyDescent="0.15">
      <c r="A627" s="22"/>
      <c r="B627" s="105"/>
      <c r="C627" s="105"/>
      <c r="D627" s="105"/>
      <c r="E627" s="105"/>
      <c r="F627" s="120" t="s">
        <v>658</v>
      </c>
      <c r="G627" s="109">
        <f>F193</f>
        <v>26797491.800000004</v>
      </c>
      <c r="H627" s="104">
        <f>SUM(F468)</f>
        <v>26797491.800000004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462399.21</v>
      </c>
      <c r="H628" s="104">
        <f>SUM(G468)</f>
        <v>462399.21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374796.07</v>
      </c>
      <c r="H629" s="104">
        <f>SUM(H468)</f>
        <v>374796.07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56783.55</v>
      </c>
      <c r="H631" s="104">
        <f>SUM(J468)</f>
        <v>56783.55</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26217137.73</v>
      </c>
      <c r="H632" s="104">
        <f>SUM(F472)</f>
        <v>26217137.73</v>
      </c>
      <c r="I632" s="140" t="s">
        <v>111</v>
      </c>
      <c r="J632" s="109">
        <f t="shared" si="51"/>
        <v>0</v>
      </c>
      <c r="K632" s="85"/>
      <c r="L632" s="88"/>
      <c r="M632" s="8"/>
    </row>
    <row r="633" spans="1:13" s="3" customFormat="1" ht="12.2" customHeight="1" x14ac:dyDescent="0.15">
      <c r="A633" s="22"/>
      <c r="B633" s="105"/>
      <c r="C633" s="105"/>
      <c r="D633" s="105"/>
      <c r="E633" s="105"/>
      <c r="F633" s="120" t="s">
        <v>395</v>
      </c>
      <c r="G633" s="109">
        <f>SUM(L352)</f>
        <v>374796.06999999995</v>
      </c>
      <c r="H633" s="104">
        <f>SUM(H472)</f>
        <v>374796.06999999995</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164912.60999999999</v>
      </c>
      <c r="H634" s="104">
        <f>I369</f>
        <v>164912.60999999999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505222.05</v>
      </c>
      <c r="H635" s="104">
        <f>SUM(G472)</f>
        <v>505222.05</v>
      </c>
      <c r="I635" s="140" t="s">
        <v>114</v>
      </c>
      <c r="J635" s="109">
        <f t="shared" si="51"/>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1"/>
        <v>0</v>
      </c>
      <c r="K636" s="85"/>
      <c r="L636" s="88"/>
      <c r="M636" s="168"/>
    </row>
    <row r="637" spans="1:13" s="3" customFormat="1" ht="12.2" customHeight="1" x14ac:dyDescent="0.15">
      <c r="A637" s="161"/>
      <c r="B637" s="162"/>
      <c r="C637" s="162"/>
      <c r="D637" s="162"/>
      <c r="E637" s="162"/>
      <c r="F637" s="163" t="s">
        <v>477</v>
      </c>
      <c r="G637" s="151">
        <f>SUM(L408)</f>
        <v>56783.55</v>
      </c>
      <c r="H637" s="164">
        <f>SUM(J468)</f>
        <v>56783.55</v>
      </c>
      <c r="I637" s="165" t="s">
        <v>110</v>
      </c>
      <c r="J637" s="151">
        <f t="shared" si="51"/>
        <v>0</v>
      </c>
      <c r="K637" s="166"/>
      <c r="L637" s="167"/>
      <c r="M637" s="8"/>
    </row>
    <row r="638" spans="1:13" s="3" customFormat="1" ht="12.2" customHeight="1" x14ac:dyDescent="0.15">
      <c r="A638" s="161"/>
      <c r="B638" s="162"/>
      <c r="C638" s="162"/>
      <c r="D638" s="162"/>
      <c r="E638" s="162"/>
      <c r="F638" s="163" t="s">
        <v>478</v>
      </c>
      <c r="G638" s="151">
        <f>SUM(L434)</f>
        <v>29042.379999999997</v>
      </c>
      <c r="H638" s="164">
        <f>SUM(J472)</f>
        <v>29042.379999999997</v>
      </c>
      <c r="I638" s="165" t="s">
        <v>117</v>
      </c>
      <c r="J638" s="151">
        <f t="shared" si="51"/>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1"/>
        <v>0</v>
      </c>
      <c r="K639" s="85"/>
      <c r="L639" s="88"/>
      <c r="M639" s="8"/>
    </row>
    <row r="640" spans="1:13" s="3" customFormat="1" ht="12.2" customHeight="1" x14ac:dyDescent="0.15">
      <c r="A640" s="22"/>
      <c r="B640" s="105"/>
      <c r="C640" s="105"/>
      <c r="D640" s="105"/>
      <c r="E640" s="105"/>
      <c r="F640" s="120" t="s">
        <v>119</v>
      </c>
      <c r="G640" s="109">
        <f>SUM(G446)</f>
        <v>279139.23</v>
      </c>
      <c r="H640" s="104">
        <f>SUM(G461)</f>
        <v>279139.23</v>
      </c>
      <c r="I640" s="140" t="s">
        <v>842</v>
      </c>
      <c r="J640" s="109">
        <f t="shared" si="51"/>
        <v>0</v>
      </c>
      <c r="K640" s="85"/>
      <c r="L640" s="88"/>
      <c r="M640" s="8"/>
    </row>
    <row r="641" spans="1:13" s="3" customFormat="1" ht="12.2" customHeight="1" x14ac:dyDescent="0.15">
      <c r="A641" s="22"/>
      <c r="B641" s="105"/>
      <c r="C641" s="105"/>
      <c r="D641" s="105"/>
      <c r="E641" s="105"/>
      <c r="F641" s="120" t="s">
        <v>120</v>
      </c>
      <c r="G641" s="109">
        <f>SUM(H446)</f>
        <v>83744.270000000019</v>
      </c>
      <c r="H641" s="104">
        <f>SUM(H461)</f>
        <v>83744.270000000019</v>
      </c>
      <c r="I641" s="140" t="s">
        <v>843</v>
      </c>
      <c r="J641" s="109">
        <f t="shared" si="51"/>
        <v>0</v>
      </c>
      <c r="K641" s="85"/>
      <c r="L641" s="88"/>
      <c r="M641" s="8"/>
    </row>
    <row r="642" spans="1:13" s="3" customFormat="1" ht="12.2" customHeight="1" x14ac:dyDescent="0.15">
      <c r="A642" s="22"/>
      <c r="B642" s="105"/>
      <c r="C642" s="105"/>
      <c r="D642" s="105"/>
      <c r="E642" s="105"/>
      <c r="F642" s="120" t="s">
        <v>121</v>
      </c>
      <c r="G642" s="109">
        <f>SUM(I446)</f>
        <v>362883.5</v>
      </c>
      <c r="H642" s="104">
        <f>SUM(I461)</f>
        <v>362883.5</v>
      </c>
      <c r="I642" s="140" t="s">
        <v>844</v>
      </c>
      <c r="J642" s="109">
        <f t="shared" si="51"/>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1"/>
        <v>0</v>
      </c>
      <c r="K643" s="85"/>
      <c r="L643" s="88"/>
      <c r="M643" s="8"/>
    </row>
    <row r="644" spans="1:13" s="3" customFormat="1" ht="12.2" customHeight="1" x14ac:dyDescent="0.15">
      <c r="A644" s="22"/>
      <c r="B644" s="105"/>
      <c r="C644" s="105"/>
      <c r="D644" s="105"/>
      <c r="E644" s="105"/>
      <c r="F644" s="120" t="s">
        <v>663</v>
      </c>
      <c r="G644" s="109">
        <f>J96</f>
        <v>5752.64</v>
      </c>
      <c r="H644" s="104">
        <f>H408</f>
        <v>5752.64</v>
      </c>
      <c r="I644" s="140" t="s">
        <v>480</v>
      </c>
      <c r="J644" s="109">
        <f t="shared" si="51"/>
        <v>0</v>
      </c>
      <c r="K644" s="85"/>
      <c r="L644" s="88"/>
      <c r="M644" s="8"/>
    </row>
    <row r="645" spans="1:13" s="3" customFormat="1" ht="12.2" customHeight="1" x14ac:dyDescent="0.15">
      <c r="A645" s="22"/>
      <c r="B645" s="105"/>
      <c r="C645" s="105"/>
      <c r="D645" s="105"/>
      <c r="E645" s="105"/>
      <c r="F645" s="120" t="s">
        <v>664</v>
      </c>
      <c r="G645" s="109">
        <f>J183</f>
        <v>50000</v>
      </c>
      <c r="H645" s="104">
        <f>G408</f>
        <v>50000</v>
      </c>
      <c r="I645" s="140" t="s">
        <v>481</v>
      </c>
      <c r="J645" s="109">
        <f t="shared" si="51"/>
        <v>0</v>
      </c>
      <c r="K645" s="85"/>
      <c r="L645" s="88"/>
      <c r="M645" s="8"/>
    </row>
    <row r="646" spans="1:13" s="3" customFormat="1" ht="12.2" customHeight="1" x14ac:dyDescent="0.15">
      <c r="A646" s="22"/>
      <c r="B646" s="105"/>
      <c r="C646" s="105"/>
      <c r="D646" s="105"/>
      <c r="E646" s="105"/>
      <c r="F646" s="120" t="s">
        <v>662</v>
      </c>
      <c r="G646" s="109">
        <f>J193</f>
        <v>56783.55</v>
      </c>
      <c r="H646" s="104">
        <f>L408</f>
        <v>56783.55</v>
      </c>
      <c r="I646" s="140" t="s">
        <v>477</v>
      </c>
      <c r="J646" s="109">
        <f t="shared" si="51"/>
        <v>0</v>
      </c>
      <c r="K646" s="85"/>
      <c r="L646" s="88"/>
      <c r="M646" s="8"/>
    </row>
    <row r="647" spans="1:13" s="3" customFormat="1" ht="12.2" customHeight="1" x14ac:dyDescent="0.15">
      <c r="A647" s="22"/>
      <c r="B647" s="105"/>
      <c r="C647" s="105"/>
      <c r="D647" s="105"/>
      <c r="E647" s="105"/>
      <c r="F647" s="120" t="s">
        <v>51</v>
      </c>
      <c r="G647" s="109">
        <f>K598</f>
        <v>895126.28</v>
      </c>
      <c r="H647" s="104">
        <f>L208+L226+L244</f>
        <v>895126.28</v>
      </c>
      <c r="I647" s="140" t="s">
        <v>396</v>
      </c>
      <c r="J647" s="109">
        <f t="shared" si="51"/>
        <v>0</v>
      </c>
      <c r="K647" s="85"/>
      <c r="L647" s="88"/>
      <c r="M647" s="8"/>
    </row>
    <row r="648" spans="1:13" s="3" customFormat="1" ht="12.2" customHeight="1" x14ac:dyDescent="0.15">
      <c r="A648" s="22"/>
      <c r="B648" s="105"/>
      <c r="C648" s="105"/>
      <c r="D648" s="105"/>
      <c r="E648" s="105"/>
      <c r="F648" s="120" t="s">
        <v>52</v>
      </c>
      <c r="G648" s="109">
        <f>K605</f>
        <v>193624.77</v>
      </c>
      <c r="H648" s="104">
        <f>(J257+J338)-(J255+J336)</f>
        <v>193624.77000000002</v>
      </c>
      <c r="I648" s="140" t="s">
        <v>699</v>
      </c>
      <c r="J648" s="109">
        <f t="shared" si="51"/>
        <v>0</v>
      </c>
      <c r="K648" s="85"/>
      <c r="L648" s="88"/>
      <c r="M648" s="8"/>
    </row>
    <row r="649" spans="1:13" s="3" customFormat="1" ht="12.2" customHeight="1" x14ac:dyDescent="0.15">
      <c r="A649" s="22"/>
      <c r="B649" s="105"/>
      <c r="C649" s="105"/>
      <c r="D649" s="105"/>
      <c r="E649" s="105"/>
      <c r="F649" s="120" t="s">
        <v>387</v>
      </c>
      <c r="G649" s="109">
        <f>L208</f>
        <v>503199.07</v>
      </c>
      <c r="H649" s="104">
        <f>H598</f>
        <v>503199.07</v>
      </c>
      <c r="I649" s="140" t="s">
        <v>388</v>
      </c>
      <c r="J649" s="109">
        <f t="shared" si="51"/>
        <v>0</v>
      </c>
      <c r="K649" s="85"/>
      <c r="L649" s="88"/>
      <c r="M649" s="8"/>
    </row>
    <row r="650" spans="1:13" s="3" customFormat="1" ht="12.2" customHeight="1" x14ac:dyDescent="0.15">
      <c r="A650" s="22"/>
      <c r="B650" s="105"/>
      <c r="C650" s="105"/>
      <c r="D650" s="105"/>
      <c r="E650" s="105"/>
      <c r="F650" s="120" t="s">
        <v>392</v>
      </c>
      <c r="G650" s="109">
        <f>L226</f>
        <v>391927.21</v>
      </c>
      <c r="H650" s="104">
        <f>I598</f>
        <v>391927.21</v>
      </c>
      <c r="I650" s="140" t="s">
        <v>389</v>
      </c>
      <c r="J650" s="109">
        <f t="shared" si="51"/>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1"/>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1"/>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1"/>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1"/>
        <v>0</v>
      </c>
      <c r="K654" s="85"/>
      <c r="L654" s="88"/>
      <c r="M654" s="8"/>
    </row>
    <row r="655" spans="1:13" s="3" customFormat="1" ht="12.2" customHeight="1" x14ac:dyDescent="0.15">
      <c r="A655" s="22"/>
      <c r="B655" s="105"/>
      <c r="C655" s="105"/>
      <c r="D655" s="105"/>
      <c r="E655" s="105"/>
      <c r="F655" s="120" t="s">
        <v>668</v>
      </c>
      <c r="G655" s="109">
        <f>J179+J181</f>
        <v>50000</v>
      </c>
      <c r="H655" s="104">
        <f>K266+K347</f>
        <v>50000</v>
      </c>
      <c r="I655" s="140" t="s">
        <v>400</v>
      </c>
      <c r="J655" s="109">
        <f t="shared" si="51"/>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12888125.719999999</v>
      </c>
      <c r="G660" s="19">
        <f>(L229+L309+L359)</f>
        <v>13027698.5</v>
      </c>
      <c r="H660" s="19">
        <f>(L247+L328+L360)</f>
        <v>0</v>
      </c>
      <c r="I660" s="19">
        <f>SUM(F660:H660)</f>
        <v>25915824.219999999</v>
      </c>
      <c r="J660" s="13"/>
      <c r="K660" s="13"/>
      <c r="L660" s="13"/>
      <c r="M660" s="9"/>
    </row>
    <row r="661" spans="1:13" s="3" customFormat="1" ht="12.2" customHeight="1" x14ac:dyDescent="0.2">
      <c r="A661" s="1" t="s">
        <v>127</v>
      </c>
      <c r="F661" s="19">
        <f>(L358/IF(SUM(L358:L360)=0,1,SUM(L358:L360))*(SUM(G97:G110)))</f>
        <v>179757.69162591916</v>
      </c>
      <c r="G661" s="19">
        <f>(L359/IF(SUM(L358:L360)=0,1,SUM(L358:L360))*(SUM(G97:G110)))</f>
        <v>202767.13837408082</v>
      </c>
      <c r="H661" s="19">
        <f>(L360/IF(SUM(L358:L360)=0,1,SUM(L358:L360))*(SUM(G97:G110)))</f>
        <v>0</v>
      </c>
      <c r="I661" s="19">
        <f>SUM(F661:H661)</f>
        <v>382524.82999999996</v>
      </c>
      <c r="J661"/>
      <c r="K661" s="13"/>
      <c r="L661" s="13"/>
      <c r="M661" s="9"/>
    </row>
    <row r="662" spans="1:13" s="3" customFormat="1" ht="12.2" customHeight="1" x14ac:dyDescent="0.2">
      <c r="A662" s="1" t="s">
        <v>128</v>
      </c>
      <c r="F662" s="19">
        <f>(L208+L287)-(J208+J287)</f>
        <v>503199.07</v>
      </c>
      <c r="G662" s="19">
        <f>(L226+L306)-(J226+J306)</f>
        <v>391927.21</v>
      </c>
      <c r="H662" s="19">
        <f>(L244+L325)-(J244+J325)</f>
        <v>0</v>
      </c>
      <c r="I662" s="19">
        <f>SUM(F662:H662)</f>
        <v>895126.28</v>
      </c>
      <c r="J662"/>
      <c r="K662" s="13"/>
      <c r="L662" s="13"/>
      <c r="M662" s="8"/>
    </row>
    <row r="663" spans="1:13" s="3" customFormat="1" ht="12.2" customHeight="1" x14ac:dyDescent="0.15">
      <c r="A663" s="198" t="s">
        <v>129</v>
      </c>
      <c r="B663" s="169"/>
      <c r="C663" s="169"/>
      <c r="D663" s="169"/>
      <c r="E663" s="169"/>
      <c r="F663" s="199">
        <f>SUM(F575:F587)+SUM(H602:H604)+SUM(L611)</f>
        <v>66037.759999999995</v>
      </c>
      <c r="G663" s="199">
        <f>SUM(G575:G587)+SUM(I602:I604)+L612</f>
        <v>586063.72</v>
      </c>
      <c r="H663" s="199">
        <f>SUM(H575:H587)+SUM(J602:J604)+L613</f>
        <v>0</v>
      </c>
      <c r="I663" s="19">
        <f>SUM(F663:H663)</f>
        <v>652101.48</v>
      </c>
      <c r="J663" s="13"/>
      <c r="K663" s="13"/>
      <c r="L663" s="13"/>
      <c r="M663" s="9"/>
    </row>
    <row r="664" spans="1:13" s="3" customFormat="1" ht="12.2" customHeight="1" x14ac:dyDescent="0.15">
      <c r="A664" s="1" t="s">
        <v>130</v>
      </c>
      <c r="F664" s="19">
        <f>F660-SUM(F661:F663)</f>
        <v>12139131.19837408</v>
      </c>
      <c r="G664" s="19">
        <f>G660-SUM(G661:G663)</f>
        <v>11846940.431625919</v>
      </c>
      <c r="H664" s="19">
        <f>H660-SUM(H661:H663)</f>
        <v>0</v>
      </c>
      <c r="I664" s="19">
        <f>I660-SUM(I661:I663)</f>
        <v>23986071.629999999</v>
      </c>
      <c r="J664" s="13"/>
      <c r="K664" s="13"/>
      <c r="L664" s="13"/>
      <c r="M664" s="9"/>
    </row>
    <row r="665" spans="1:13" s="3" customFormat="1" ht="12.2" customHeight="1" x14ac:dyDescent="0.2">
      <c r="A665" s="1" t="s">
        <v>131</v>
      </c>
      <c r="F665" s="246">
        <v>672.34</v>
      </c>
      <c r="G665" s="247">
        <v>641.63</v>
      </c>
      <c r="H665" s="247"/>
      <c r="I665" s="19">
        <f>SUM(F665:H665)</f>
        <v>1313.97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18055.05</v>
      </c>
      <c r="G667" s="19">
        <f>ROUND(G664/G665,2)</f>
        <v>18463.82</v>
      </c>
      <c r="H667" s="19" t="e">
        <f>ROUND(H664/H665,2)</f>
        <v>#DIV/0!</v>
      </c>
      <c r="I667" s="19">
        <f>ROUND(I664/I665,2)</f>
        <v>18254.66</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18055.05</v>
      </c>
      <c r="G672" s="19">
        <f>ROUND((G664+G669)/(G665+G670),2)</f>
        <v>18463.82</v>
      </c>
      <c r="H672" s="19" t="e">
        <f>ROUND((H664+H669)/(H665+H670),2)</f>
        <v>#DIV/0!</v>
      </c>
      <c r="I672" s="19">
        <f>ROUND((I664+I669)/(I665+I670),2)</f>
        <v>18254.66</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1" sqref="B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Amherst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6887226.6699999999</v>
      </c>
      <c r="C9" s="229">
        <f>'DOE25'!G197+'DOE25'!G215+'DOE25'!G233+'DOE25'!G276+'DOE25'!G295+'DOE25'!G314</f>
        <v>3662054.3600000003</v>
      </c>
    </row>
    <row r="10" spans="1:3" x14ac:dyDescent="0.2">
      <c r="A10" t="s">
        <v>775</v>
      </c>
      <c r="B10" s="240">
        <f>6552210.51+427.98</f>
        <v>6552638.4900000002</v>
      </c>
      <c r="C10" s="240">
        <f>C9*B10/B13</f>
        <v>3484148.1922371984</v>
      </c>
    </row>
    <row r="11" spans="1:3" x14ac:dyDescent="0.2">
      <c r="A11" t="s">
        <v>776</v>
      </c>
      <c r="B11" s="240">
        <v>187974.51</v>
      </c>
      <c r="C11" s="240">
        <f>C9*B11/B13</f>
        <v>99949.211329553014</v>
      </c>
    </row>
    <row r="12" spans="1:3" x14ac:dyDescent="0.2">
      <c r="A12" t="s">
        <v>777</v>
      </c>
      <c r="B12" s="240">
        <v>146613.67000000001</v>
      </c>
      <c r="C12" s="240">
        <f>C9*B12/B13</f>
        <v>77956.956433249114</v>
      </c>
    </row>
    <row r="13" spans="1:3" x14ac:dyDescent="0.2">
      <c r="A13" t="str">
        <f>IF(B9=B13,IF(C9=C13,"Check Total OK","Check Total Error"),"Check Total Error")</f>
        <v>Check Total OK</v>
      </c>
      <c r="B13" s="231">
        <f>SUM(B10:B12)</f>
        <v>6887226.6699999999</v>
      </c>
      <c r="C13" s="231">
        <f>SUM(C10:C12)</f>
        <v>3662054.3600000003</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2752761.52</v>
      </c>
      <c r="C18" s="229">
        <f>'DOE25'!G198+'DOE25'!G216+'DOE25'!G234+'DOE25'!G277+'DOE25'!G296+'DOE25'!G315</f>
        <v>1620909.46</v>
      </c>
    </row>
    <row r="19" spans="1:3" x14ac:dyDescent="0.2">
      <c r="A19" t="s">
        <v>775</v>
      </c>
      <c r="B19" s="240">
        <v>1168849.98</v>
      </c>
      <c r="C19" s="240">
        <f>C18*B19/B22</f>
        <v>688254.31340046145</v>
      </c>
    </row>
    <row r="20" spans="1:3" x14ac:dyDescent="0.2">
      <c r="A20" t="s">
        <v>776</v>
      </c>
      <c r="B20" s="240">
        <v>1419795.04</v>
      </c>
      <c r="C20" s="240">
        <f>C18*B20/B22</f>
        <v>836018.3745946429</v>
      </c>
    </row>
    <row r="21" spans="1:3" x14ac:dyDescent="0.2">
      <c r="A21" t="s">
        <v>777</v>
      </c>
      <c r="B21" s="240">
        <v>164116.5</v>
      </c>
      <c r="C21" s="240">
        <f>C18*B21/B22</f>
        <v>96636.772004895654</v>
      </c>
    </row>
    <row r="22" spans="1:3" x14ac:dyDescent="0.2">
      <c r="A22" t="str">
        <f>IF(B18=B22,IF(C18=C22,"Check Total OK","Check Total Error"),"Check Total Error")</f>
        <v>Check Total OK</v>
      </c>
      <c r="B22" s="231">
        <f>SUM(B19:B21)</f>
        <v>2752761.52</v>
      </c>
      <c r="C22" s="231">
        <f>SUM(C19:C21)</f>
        <v>1620909.46</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134859.94</v>
      </c>
      <c r="C36" s="235">
        <f>'DOE25'!G200+'DOE25'!G218+'DOE25'!G236+'DOE25'!G279+'DOE25'!G298+'DOE25'!G317</f>
        <v>25698.89</v>
      </c>
    </row>
    <row r="37" spans="1:3" x14ac:dyDescent="0.2">
      <c r="A37" t="s">
        <v>775</v>
      </c>
      <c r="B37" s="240">
        <f>65129.17+4853.79</f>
        <v>69982.959999999992</v>
      </c>
      <c r="C37" s="240">
        <f>C36*B37/B40</f>
        <v>13335.942392636389</v>
      </c>
    </row>
    <row r="38" spans="1:3" x14ac:dyDescent="0.2">
      <c r="A38" t="s">
        <v>776</v>
      </c>
      <c r="B38" s="240">
        <v>20564.32</v>
      </c>
      <c r="C38" s="240">
        <f>C36*B38/B40</f>
        <v>3918.7337440962824</v>
      </c>
    </row>
    <row r="39" spans="1:3" x14ac:dyDescent="0.2">
      <c r="A39" t="s">
        <v>777</v>
      </c>
      <c r="B39" s="240">
        <v>44312.66</v>
      </c>
      <c r="C39" s="240">
        <f>C36*B39/B40</f>
        <v>8444.2138632673286</v>
      </c>
    </row>
    <row r="40" spans="1:3" x14ac:dyDescent="0.2">
      <c r="A40" t="str">
        <f>IF(B36=B40,IF(C36=C40,"Check Total OK","Check Total Error"),"Check Total Error")</f>
        <v>Check Total OK</v>
      </c>
      <c r="B40" s="231">
        <f>SUM(B37:B39)</f>
        <v>134859.94</v>
      </c>
      <c r="C40" s="231">
        <f>SUM(C37:C39)</f>
        <v>25698.89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Amherst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15762077.030000001</v>
      </c>
      <c r="D5" s="20">
        <f>SUM('DOE25'!L197:L200)+SUM('DOE25'!L215:L218)+SUM('DOE25'!L233:L236)-F5-G5-H5</f>
        <v>15605332.490000002</v>
      </c>
      <c r="E5" s="243"/>
      <c r="F5" s="244"/>
      <c r="G5" s="53">
        <f>SUM('DOE25'!J197:J200)+SUM('DOE25'!J215:J218)+SUM('DOE25'!J233:J236)</f>
        <v>154665.04</v>
      </c>
      <c r="H5" s="53">
        <f>SUM('DOE25'!K197:K200)+SUM('DOE25'!K215:K218)+SUM('DOE25'!K233:K236)</f>
        <v>2079.5</v>
      </c>
      <c r="I5" s="256"/>
    </row>
    <row r="6" spans="1:9" x14ac:dyDescent="0.2">
      <c r="A6" s="32">
        <v>2100</v>
      </c>
      <c r="B6" t="s">
        <v>796</v>
      </c>
      <c r="C6" s="276">
        <f t="shared" si="0"/>
        <v>3138942.21</v>
      </c>
      <c r="D6" s="20">
        <f>'DOE25'!L202+'DOE25'!L220+'DOE25'!L238-F6-G6-H6</f>
        <v>3138942.21</v>
      </c>
      <c r="E6" s="243"/>
      <c r="F6" s="244"/>
      <c r="G6" s="53">
        <f>'DOE25'!J202+'DOE25'!J220+'DOE25'!J238</f>
        <v>0</v>
      </c>
      <c r="H6" s="53">
        <f>'DOE25'!K202+'DOE25'!K220+'DOE25'!K238</f>
        <v>0</v>
      </c>
      <c r="I6" s="256"/>
    </row>
    <row r="7" spans="1:9" x14ac:dyDescent="0.2">
      <c r="A7" s="32">
        <v>2200</v>
      </c>
      <c r="B7" t="s">
        <v>821</v>
      </c>
      <c r="C7" s="276">
        <f t="shared" si="0"/>
        <v>502393.32</v>
      </c>
      <c r="D7" s="20">
        <f>'DOE25'!L203+'DOE25'!L221+'DOE25'!L239-F7-G7-H7</f>
        <v>502393.32</v>
      </c>
      <c r="E7" s="243"/>
      <c r="F7" s="244"/>
      <c r="G7" s="53">
        <f>'DOE25'!J203+'DOE25'!J221+'DOE25'!J239</f>
        <v>0</v>
      </c>
      <c r="H7" s="53">
        <f>'DOE25'!K203+'DOE25'!K221+'DOE25'!K239</f>
        <v>0</v>
      </c>
      <c r="I7" s="256"/>
    </row>
    <row r="8" spans="1:9" x14ac:dyDescent="0.2">
      <c r="A8" s="32">
        <v>2300</v>
      </c>
      <c r="B8" t="s">
        <v>797</v>
      </c>
      <c r="C8" s="276">
        <f t="shared" si="0"/>
        <v>1219468.17</v>
      </c>
      <c r="D8" s="243"/>
      <c r="E8" s="20">
        <f>'DOE25'!L204+'DOE25'!L222+'DOE25'!L240-F8-G8-H8-D9-D11</f>
        <v>1213784.43</v>
      </c>
      <c r="F8" s="244"/>
      <c r="G8" s="53">
        <f>'DOE25'!J204+'DOE25'!J222+'DOE25'!J240</f>
        <v>0</v>
      </c>
      <c r="H8" s="53">
        <f>'DOE25'!K204+'DOE25'!K222+'DOE25'!K240</f>
        <v>5683.74</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1526382.4</v>
      </c>
      <c r="D12" s="20">
        <f>'DOE25'!L205+'DOE25'!L223+'DOE25'!L241-F12-G12-H12</f>
        <v>1516791</v>
      </c>
      <c r="E12" s="243"/>
      <c r="F12" s="244"/>
      <c r="G12" s="53">
        <f>'DOE25'!J205+'DOE25'!J223+'DOE25'!J241</f>
        <v>5018.3999999999996</v>
      </c>
      <c r="H12" s="53">
        <f>'DOE25'!K205+'DOE25'!K223+'DOE25'!K241</f>
        <v>4573</v>
      </c>
      <c r="I12" s="256"/>
    </row>
    <row r="13" spans="1:9" x14ac:dyDescent="0.2">
      <c r="A13" s="32">
        <v>2500</v>
      </c>
      <c r="B13" t="s">
        <v>798</v>
      </c>
      <c r="C13" s="276">
        <f t="shared" si="0"/>
        <v>753.93000000000006</v>
      </c>
      <c r="D13" s="243"/>
      <c r="E13" s="20">
        <f>'DOE25'!L206+'DOE25'!L224+'DOE25'!L242-F13-G13-H13</f>
        <v>753.93000000000006</v>
      </c>
      <c r="F13" s="244"/>
      <c r="G13" s="53">
        <f>'DOE25'!J206+'DOE25'!J224+'DOE25'!J242</f>
        <v>0</v>
      </c>
      <c r="H13" s="53">
        <f>'DOE25'!K206+'DOE25'!K224+'DOE25'!K242</f>
        <v>0</v>
      </c>
      <c r="I13" s="256"/>
    </row>
    <row r="14" spans="1:9" x14ac:dyDescent="0.2">
      <c r="A14" s="32">
        <v>2600</v>
      </c>
      <c r="B14" t="s">
        <v>819</v>
      </c>
      <c r="C14" s="276">
        <f t="shared" si="0"/>
        <v>1645445.45</v>
      </c>
      <c r="D14" s="20">
        <f>'DOE25'!L207+'DOE25'!L225+'DOE25'!L243-F14-G14-H14</f>
        <v>1636590.51</v>
      </c>
      <c r="E14" s="243"/>
      <c r="F14" s="244"/>
      <c r="G14" s="53">
        <f>'DOE25'!J207+'DOE25'!J225+'DOE25'!J243</f>
        <v>8661.9399999999987</v>
      </c>
      <c r="H14" s="53">
        <f>'DOE25'!K207+'DOE25'!K225+'DOE25'!K243</f>
        <v>193</v>
      </c>
      <c r="I14" s="256"/>
    </row>
    <row r="15" spans="1:9" x14ac:dyDescent="0.2">
      <c r="A15" s="32">
        <v>2700</v>
      </c>
      <c r="B15" t="s">
        <v>799</v>
      </c>
      <c r="C15" s="276">
        <f t="shared" si="0"/>
        <v>895126.28</v>
      </c>
      <c r="D15" s="20">
        <f>'DOE25'!L208+'DOE25'!L226+'DOE25'!L244-F15-G15-H15</f>
        <v>895126.28</v>
      </c>
      <c r="E15" s="243"/>
      <c r="F15" s="244"/>
      <c r="G15" s="53">
        <f>'DOE25'!J208+'DOE25'!J226+'DOE25'!J244</f>
        <v>0</v>
      </c>
      <c r="H15" s="53">
        <f>'DOE25'!K208+'DOE25'!K226+'DOE25'!K244</f>
        <v>0</v>
      </c>
      <c r="I15" s="256"/>
    </row>
    <row r="16" spans="1:9" x14ac:dyDescent="0.2">
      <c r="A16" s="32">
        <v>2800</v>
      </c>
      <c r="B16" t="s">
        <v>800</v>
      </c>
      <c r="C16" s="276">
        <f t="shared" si="0"/>
        <v>345217.31</v>
      </c>
      <c r="D16" s="243"/>
      <c r="E16" s="20">
        <f>'DOE25'!L209+'DOE25'!L227+'DOE25'!L245-F16-G16-H16</f>
        <v>324919.37</v>
      </c>
      <c r="F16" s="244"/>
      <c r="G16" s="53">
        <f>'DOE25'!J209+'DOE25'!J227+'DOE25'!J245</f>
        <v>20297.939999999999</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647818.12</v>
      </c>
      <c r="D22" s="243"/>
      <c r="E22" s="243"/>
      <c r="F22" s="243"/>
      <c r="G22" s="53">
        <f>'DOE25'!L255+'DOE25'!L336</f>
        <v>647818.12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483513.51</v>
      </c>
      <c r="D25" s="243"/>
      <c r="E25" s="243"/>
      <c r="F25" s="255"/>
      <c r="G25" s="253"/>
      <c r="H25" s="253"/>
      <c r="I25" s="254">
        <f>'DOE25'!L260+'DOE25'!L261+'DOE25'!L341+'DOE25'!L342</f>
        <v>483513.51</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353981.32</v>
      </c>
      <c r="D29" s="284">
        <f>'DOE25'!L358+'DOE25'!L359+'DOE25'!L360-'DOE25'!I367-F29-G29-H29</f>
        <v>353781.32</v>
      </c>
      <c r="E29" s="243"/>
      <c r="F29" s="244"/>
      <c r="G29" s="53">
        <f>'DOE25'!J358+'DOE25'!J359+'DOE25'!J360</f>
        <v>0</v>
      </c>
      <c r="H29" s="53">
        <f>'DOE25'!K358+'DOE25'!K359+'DOE25'!K360</f>
        <v>200</v>
      </c>
      <c r="I29" s="256"/>
    </row>
    <row r="30" spans="1:9" x14ac:dyDescent="0.2">
      <c r="A30" s="32"/>
      <c r="C30" s="277"/>
      <c r="D30" s="20"/>
      <c r="E30" s="281"/>
      <c r="F30" s="271"/>
      <c r="G30" s="53"/>
      <c r="H30" s="53"/>
      <c r="I30" s="256"/>
    </row>
    <row r="31" spans="1:9" x14ac:dyDescent="0.2">
      <c r="A31" s="32" t="s">
        <v>818</v>
      </c>
      <c r="B31" t="s">
        <v>817</v>
      </c>
      <c r="C31" s="276">
        <f>SUM(D31:I31)</f>
        <v>374796.06999999995</v>
      </c>
      <c r="D31" s="20">
        <f>'DOE25'!L290+'DOE25'!L309+'DOE25'!L328+'DOE25'!L333+'DOE25'!L334+'DOE25'!L335-F31-G31-H31</f>
        <v>369814.61999999994</v>
      </c>
      <c r="E31" s="243"/>
      <c r="F31" s="244"/>
      <c r="G31" s="53">
        <f>'DOE25'!J290+'DOE25'!J309+'DOE25'!J328+'DOE25'!J333+'DOE25'!J334+'DOE25'!J335</f>
        <v>4981.45</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24018771.750000007</v>
      </c>
      <c r="E33" s="245">
        <f t="shared" si="1"/>
        <v>1539457.73</v>
      </c>
      <c r="F33" s="245">
        <f t="shared" si="1"/>
        <v>0</v>
      </c>
      <c r="G33" s="245">
        <f t="shared" si="1"/>
        <v>841442.8899999999</v>
      </c>
      <c r="H33" s="245">
        <f t="shared" si="1"/>
        <v>12729.24</v>
      </c>
      <c r="I33" s="245">
        <f t="shared" si="1"/>
        <v>483513.51</v>
      </c>
    </row>
    <row r="35" spans="1:9" ht="12" thickBot="1" x14ac:dyDescent="0.25">
      <c r="B35" s="251" t="s">
        <v>831</v>
      </c>
      <c r="D35" s="252">
        <f>E33</f>
        <v>1539457.73</v>
      </c>
      <c r="E35" s="248"/>
    </row>
    <row r="36" spans="1:9" ht="12" thickTop="1" x14ac:dyDescent="0.2">
      <c r="B36" t="s">
        <v>810</v>
      </c>
      <c r="D36" s="20">
        <f>D33</f>
        <v>24018771.750000007</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R725"/>
  <sheetViews>
    <sheetView topLeftCell="A16" zoomScaleNormal="100" workbookViewId="0">
      <selection sqref="A1:H52"/>
    </sheetView>
  </sheetViews>
  <sheetFormatPr defaultRowHeight="11.25" x14ac:dyDescent="0.2"/>
  <cols>
    <col min="1" max="1" width="35.6640625" customWidth="1"/>
    <col min="2" max="2" width="22.33203125" customWidth="1"/>
    <col min="3" max="3" width="22" customWidth="1"/>
    <col min="4" max="5" width="14.6640625" customWidth="1"/>
    <col min="6" max="6" width="14"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Amherst School District</v>
      </c>
      <c r="B2" s="126">
        <f>'DOE25'!B2</f>
        <v>17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12650709.629999999</v>
      </c>
      <c r="G4" s="303">
        <f>'DOE25'!L211+'DOE25'!L290</f>
        <v>12650709.629999999</v>
      </c>
      <c r="H4" s="304">
        <f>F4-G4</f>
        <v>0</v>
      </c>
      <c r="I4" s="310" t="str">
        <f>IF(H4=0,"","Does not match DOE25 page 7 and 11 Totals!!")</f>
        <v/>
      </c>
      <c r="N4"/>
    </row>
    <row r="5" spans="1:18" x14ac:dyDescent="0.2">
      <c r="A5" s="21" t="s">
        <v>926</v>
      </c>
      <c r="B5" s="305">
        <f>IFERROR(VLOOKUP(A5,'School Tables'!$C$3:$D$368,2,FALSE),"")</f>
        <v>21750</v>
      </c>
      <c r="C5" s="297" t="str">
        <f>IFERROR(INDEX('School Tables'!$B$3:$B$368,MATCH('School Level Expenditures'!B5,'School Tables'!$D$3:$D$368,0)),"")</f>
        <v>Amherst</v>
      </c>
      <c r="D5" s="294">
        <f>'DOE25'!L211-56798.07+(1044.94+3300+844.28)</f>
        <v>12364146.68</v>
      </c>
      <c r="E5" s="294">
        <f>'DOE25'!L290+(56798.07)-(1044.94+3300+844.28)</f>
        <v>286562.95</v>
      </c>
      <c r="F5" s="313">
        <f>D5+E5</f>
        <v>12650709.629999999</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12759892.539999997</v>
      </c>
      <c r="G24" s="303">
        <f>'DOE25'!L229+'DOE25'!L309</f>
        <v>12759892.539999999</v>
      </c>
      <c r="H24" s="304">
        <f>F24-G24</f>
        <v>0</v>
      </c>
      <c r="I24" s="310" t="str">
        <f>IF(H24=0,"","Does not match DOE25 page 8 and 12 Totals!!")</f>
        <v/>
      </c>
      <c r="N24"/>
    </row>
    <row r="25" spans="1:14" x14ac:dyDescent="0.2">
      <c r="A25" s="21" t="s">
        <v>925</v>
      </c>
      <c r="B25" s="305">
        <f>IFERROR(VLOOKUP(A25,'School Tables'!$I$3:$J$80,2,FALSE),"")</f>
        <v>21745</v>
      </c>
      <c r="C25" s="297" t="str">
        <f t="array" ref="C25">IFERROR(INDEX('School Tables'!$H$3:$H$80,MATCH('School Level Expenditures'!B25,'School Tables'!$J$3:$J$80,0)),"")</f>
        <v>Amherst</v>
      </c>
      <c r="D25" s="294">
        <f>'DOE25'!L229-(100974.35)+(171.03+4955.06+500+3300+223.88+330.92+328.4+479.91)</f>
        <v>12529365.419999998</v>
      </c>
      <c r="E25" s="294">
        <f>'DOE25'!L309+(100974.35)-(171.03+4955.06+500+3300+223.88+330.92+328.4+479.91)</f>
        <v>230527.12</v>
      </c>
      <c r="F25" s="308">
        <f>D25+E25</f>
        <v>12759892.539999997</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8XcB38CBNlTnOP5F0NjCOaKrvJSUnkN4fbreJX0w7ywMUiaWEC2AGpRCArxzkYT/gQRJvXB1wlwgrPbHDkUbSA==" saltValue="m13RJOYiXDz1+FR6YGiGaQ==" spinCount="100000"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0"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Amherst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340987.1</v>
      </c>
      <c r="D8" s="95">
        <f>'DOE25'!G9</f>
        <v>0</v>
      </c>
      <c r="E8" s="95">
        <f>'DOE25'!H9</f>
        <v>0</v>
      </c>
      <c r="F8" s="95">
        <f>'DOE25'!I9</f>
        <v>0</v>
      </c>
      <c r="G8" s="95">
        <f>'DOE25'!J9</f>
        <v>83371.390000000014</v>
      </c>
      <c r="H8" s="124"/>
      <c r="I8" s="124"/>
    </row>
    <row r="9" spans="1:9" x14ac:dyDescent="0.2">
      <c r="A9" s="1" t="s">
        <v>140</v>
      </c>
      <c r="B9" s="6">
        <v>110</v>
      </c>
      <c r="C9" s="95">
        <f>'DOE25'!F10</f>
        <v>641598.31000000006</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48306.89</v>
      </c>
      <c r="D11" s="95">
        <f>'DOE25'!G12</f>
        <v>29569.42</v>
      </c>
      <c r="E11" s="95">
        <f>'DOE25'!H12</f>
        <v>0</v>
      </c>
      <c r="F11" s="95">
        <f>'DOE25'!I12</f>
        <v>0</v>
      </c>
      <c r="G11" s="95">
        <f>'DOE25'!J12</f>
        <v>372.88</v>
      </c>
      <c r="H11" s="124"/>
      <c r="I11" s="124"/>
    </row>
    <row r="12" spans="1:9" x14ac:dyDescent="0.2">
      <c r="A12" s="1" t="s">
        <v>143</v>
      </c>
      <c r="B12" s="6">
        <v>140</v>
      </c>
      <c r="C12" s="95">
        <f>'DOE25'!F13</f>
        <v>202902.27000000002</v>
      </c>
      <c r="D12" s="95">
        <f>'DOE25'!G13</f>
        <v>13746.38</v>
      </c>
      <c r="E12" s="95">
        <f>'DOE25'!H13</f>
        <v>89761.4</v>
      </c>
      <c r="F12" s="95">
        <f>'DOE25'!I13</f>
        <v>0</v>
      </c>
      <c r="G12" s="95">
        <f>'DOE25'!J13</f>
        <v>279139.23</v>
      </c>
      <c r="H12" s="124"/>
      <c r="I12" s="124"/>
    </row>
    <row r="13" spans="1:9" x14ac:dyDescent="0.2">
      <c r="A13" s="1" t="s">
        <v>144</v>
      </c>
      <c r="B13" s="6">
        <v>150</v>
      </c>
      <c r="C13" s="95">
        <f>'DOE25'!F14</f>
        <v>2602.1</v>
      </c>
      <c r="D13" s="95">
        <f>'DOE25'!G14</f>
        <v>7.2</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1236396.6700000002</v>
      </c>
      <c r="D18" s="41">
        <f>SUM(D8:D17)</f>
        <v>43322.999999999993</v>
      </c>
      <c r="E18" s="41">
        <f>SUM(E8:E17)</f>
        <v>89761.4</v>
      </c>
      <c r="F18" s="41">
        <f>SUM(F8:F17)</f>
        <v>0</v>
      </c>
      <c r="G18" s="41">
        <f>SUM(G8:G17)</f>
        <v>362883.5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78249.19</v>
      </c>
      <c r="F21" s="95">
        <f>'DOE25'!I22</f>
        <v>0</v>
      </c>
      <c r="G21" s="95">
        <f>'DOE25'!J22</f>
        <v>0</v>
      </c>
      <c r="H21" s="124"/>
      <c r="I21" s="124"/>
    </row>
    <row r="22" spans="1:9" x14ac:dyDescent="0.2">
      <c r="A22" s="1" t="s">
        <v>151</v>
      </c>
      <c r="B22" s="6">
        <v>410</v>
      </c>
      <c r="C22" s="95">
        <f>'DOE25'!F23</f>
        <v>6611.09</v>
      </c>
      <c r="D22" s="95">
        <f>'DOE25'!G23</f>
        <v>9761.68</v>
      </c>
      <c r="E22" s="95">
        <f>'DOE25'!H23</f>
        <v>0</v>
      </c>
      <c r="F22" s="95">
        <f>'DOE25'!I23</f>
        <v>0</v>
      </c>
      <c r="G22" s="95">
        <f>'DOE25'!J23</f>
        <v>0</v>
      </c>
      <c r="H22" s="124"/>
      <c r="I22" s="124"/>
    </row>
    <row r="23" spans="1:9" x14ac:dyDescent="0.2">
      <c r="A23" s="1" t="s">
        <v>152</v>
      </c>
      <c r="B23" s="6">
        <v>420</v>
      </c>
      <c r="C23" s="95">
        <f>'DOE25'!F24</f>
        <v>125937.28000000001</v>
      </c>
      <c r="D23" s="95">
        <f>'DOE25'!G24</f>
        <v>1085.79</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68756.94</v>
      </c>
      <c r="D27" s="95">
        <f>'DOE25'!G28</f>
        <v>0</v>
      </c>
      <c r="E27" s="95">
        <f>'DOE25'!H28</f>
        <v>0</v>
      </c>
      <c r="F27" s="95">
        <f>'DOE25'!I28</f>
        <v>0</v>
      </c>
      <c r="G27" s="24" t="s">
        <v>288</v>
      </c>
      <c r="H27" s="124"/>
      <c r="I27" s="124"/>
    </row>
    <row r="28" spans="1:9" x14ac:dyDescent="0.2">
      <c r="A28" s="1" t="s">
        <v>157</v>
      </c>
      <c r="B28" s="6">
        <v>470</v>
      </c>
      <c r="C28" s="95">
        <f>'DOE25'!F29</f>
        <v>49765.93</v>
      </c>
      <c r="D28" s="95">
        <f>'DOE25'!G29</f>
        <v>0</v>
      </c>
      <c r="E28" s="95">
        <f>'DOE25'!H29</f>
        <v>0</v>
      </c>
      <c r="F28" s="95">
        <f>'DOE25'!I29</f>
        <v>0</v>
      </c>
      <c r="G28" s="24" t="s">
        <v>288</v>
      </c>
      <c r="H28" s="124"/>
      <c r="I28" s="124"/>
    </row>
    <row r="29" spans="1:9" x14ac:dyDescent="0.2">
      <c r="A29" s="1" t="s">
        <v>158</v>
      </c>
      <c r="B29" s="6">
        <v>480</v>
      </c>
      <c r="C29" s="95">
        <f>'DOE25'!F30</f>
        <v>2939.74</v>
      </c>
      <c r="D29" s="95">
        <f>'DOE25'!G30</f>
        <v>22076.880000000001</v>
      </c>
      <c r="E29" s="95">
        <f>'DOE25'!H30</f>
        <v>11512.21</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83371.390000000014</v>
      </c>
      <c r="H30" s="124"/>
      <c r="I30" s="124"/>
    </row>
    <row r="31" spans="1:9" ht="12" thickTop="1" x14ac:dyDescent="0.2">
      <c r="A31" s="38" t="s">
        <v>160</v>
      </c>
      <c r="B31" s="2"/>
      <c r="C31" s="41">
        <f>SUM(C21:C30)</f>
        <v>254010.98</v>
      </c>
      <c r="D31" s="41">
        <f>SUM(D21:D30)</f>
        <v>32924.350000000006</v>
      </c>
      <c r="E31" s="41">
        <f>SUM(E21:E30)</f>
        <v>89761.4</v>
      </c>
      <c r="F31" s="41">
        <f>SUM(F21:F30)</f>
        <v>0</v>
      </c>
      <c r="G31" s="41">
        <f>SUM(G21:G30)</f>
        <v>83371.390000000014</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134994</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10398.650000000001</v>
      </c>
      <c r="E47" s="95">
        <f>'DOE25'!H48</f>
        <v>0</v>
      </c>
      <c r="F47" s="95">
        <f>'DOE25'!I48</f>
        <v>0</v>
      </c>
      <c r="G47" s="95">
        <f>'DOE25'!J48</f>
        <v>279512.11</v>
      </c>
      <c r="H47" s="124"/>
      <c r="I47" s="124"/>
    </row>
    <row r="48" spans="1:9" x14ac:dyDescent="0.2">
      <c r="A48" s="1" t="s">
        <v>882</v>
      </c>
      <c r="B48" s="6">
        <v>753</v>
      </c>
      <c r="C48" s="95">
        <f>'DOE25'!F49</f>
        <v>25830.01</v>
      </c>
      <c r="D48" s="95">
        <f>'DOE25'!G49</f>
        <v>0</v>
      </c>
      <c r="E48" s="95">
        <f>'DOE25'!H49</f>
        <v>0</v>
      </c>
      <c r="F48" s="95">
        <f>'DOE25'!I49</f>
        <v>0</v>
      </c>
      <c r="G48" s="95">
        <f>'DOE25'!J49</f>
        <v>0</v>
      </c>
      <c r="H48" s="124"/>
      <c r="I48" s="124"/>
    </row>
    <row r="49" spans="1:9" ht="12" thickBot="1" x14ac:dyDescent="0.25">
      <c r="A49" s="29" t="s">
        <v>883</v>
      </c>
      <c r="B49" s="71">
        <v>770</v>
      </c>
      <c r="C49" s="95">
        <f>'DOE25'!F50</f>
        <v>771561.68</v>
      </c>
      <c r="D49" s="24" t="s">
        <v>288</v>
      </c>
      <c r="E49" s="24" t="s">
        <v>288</v>
      </c>
      <c r="F49" s="24" t="s">
        <v>288</v>
      </c>
      <c r="G49" s="24" t="s">
        <v>288</v>
      </c>
      <c r="H49" s="124"/>
      <c r="I49" s="124"/>
    </row>
    <row r="50" spans="1:9" ht="12.75" thickTop="1" thickBot="1" x14ac:dyDescent="0.25">
      <c r="A50" s="38" t="s">
        <v>884</v>
      </c>
      <c r="B50" s="48"/>
      <c r="C50" s="41">
        <f>SUM(C34:C49)</f>
        <v>982385.69000000006</v>
      </c>
      <c r="D50" s="41">
        <f>SUM(D34:D49)</f>
        <v>10398.650000000001</v>
      </c>
      <c r="E50" s="41">
        <f>SUM(E34:E49)</f>
        <v>0</v>
      </c>
      <c r="F50" s="41">
        <f>SUM(F34:F49)</f>
        <v>0</v>
      </c>
      <c r="G50" s="41">
        <f>SUM(G34:G49)</f>
        <v>279512.11</v>
      </c>
      <c r="H50" s="124"/>
      <c r="I50" s="124"/>
    </row>
    <row r="51" spans="1:9" ht="12" thickTop="1" x14ac:dyDescent="0.2">
      <c r="A51" s="38" t="s">
        <v>885</v>
      </c>
      <c r="B51" s="2"/>
      <c r="C51" s="41">
        <f>C50+C31</f>
        <v>1236396.6700000002</v>
      </c>
      <c r="D51" s="41">
        <f>D50+D31</f>
        <v>43323.000000000007</v>
      </c>
      <c r="E51" s="41">
        <f>E50+E31</f>
        <v>89761.4</v>
      </c>
      <c r="F51" s="41">
        <f>F50+F31</f>
        <v>0</v>
      </c>
      <c r="G51" s="41">
        <f>G50+G31</f>
        <v>362883.5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20091994</v>
      </c>
      <c r="D56" s="95">
        <f>'DOE25'!G60</f>
        <v>0</v>
      </c>
      <c r="E56" s="95">
        <f>'DOE25'!H60</f>
        <v>0</v>
      </c>
      <c r="F56" s="95">
        <f>'DOE25'!I60</f>
        <v>0</v>
      </c>
      <c r="G56" s="95">
        <f>'DOE25'!J60</f>
        <v>0</v>
      </c>
      <c r="H56"/>
      <c r="I56"/>
    </row>
    <row r="57" spans="1:9" x14ac:dyDescent="0.2">
      <c r="A57" s="1" t="s">
        <v>164</v>
      </c>
      <c r="B57" s="6" t="s">
        <v>165</v>
      </c>
      <c r="C57" s="95">
        <f>'DOE25'!F79</f>
        <v>1004942.41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24260.89</v>
      </c>
      <c r="D59" s="95">
        <f>'DOE25'!G96</f>
        <v>0</v>
      </c>
      <c r="E59" s="95">
        <f>'DOE25'!H96</f>
        <v>0</v>
      </c>
      <c r="F59" s="95">
        <f>'DOE25'!I96</f>
        <v>0</v>
      </c>
      <c r="G59" s="95">
        <f>'DOE25'!J96</f>
        <v>5752.64</v>
      </c>
      <c r="H59"/>
      <c r="I59"/>
    </row>
    <row r="60" spans="1:9" x14ac:dyDescent="0.2">
      <c r="A60" s="1" t="s">
        <v>170</v>
      </c>
      <c r="B60" s="118" t="s">
        <v>171</v>
      </c>
      <c r="C60" s="24" t="s">
        <v>288</v>
      </c>
      <c r="D60" s="95">
        <f>'DOE25'!G97</f>
        <v>382360.83</v>
      </c>
      <c r="E60" s="24" t="s">
        <v>288</v>
      </c>
      <c r="F60" s="24" t="s">
        <v>288</v>
      </c>
      <c r="G60" s="24" t="s">
        <v>288</v>
      </c>
      <c r="H60"/>
      <c r="I60"/>
    </row>
    <row r="61" spans="1:9" ht="12" thickBot="1" x14ac:dyDescent="0.25">
      <c r="A61" s="1" t="s">
        <v>172</v>
      </c>
      <c r="B61" s="118" t="s">
        <v>173</v>
      </c>
      <c r="C61" s="95">
        <f>SUM('DOE25'!F98:F110)</f>
        <v>264911.23000000004</v>
      </c>
      <c r="D61" s="95">
        <f>SUM('DOE25'!G98:G110)</f>
        <v>164</v>
      </c>
      <c r="E61" s="95">
        <f>SUM('DOE25'!H98:H110)</f>
        <v>15478.42</v>
      </c>
      <c r="F61" s="95">
        <f>SUM('DOE25'!I98:I110)</f>
        <v>0</v>
      </c>
      <c r="G61" s="95">
        <f>SUM('DOE25'!J98:J110)</f>
        <v>1030.9100000000001</v>
      </c>
      <c r="H61"/>
      <c r="I61"/>
    </row>
    <row r="62" spans="1:9" ht="12.75" thickTop="1" thickBot="1" x14ac:dyDescent="0.25">
      <c r="A62" s="29" t="s">
        <v>174</v>
      </c>
      <c r="B62" s="6"/>
      <c r="C62" s="130">
        <f>SUM(C57:C61)</f>
        <v>1294114.53</v>
      </c>
      <c r="D62" s="130">
        <f>SUM(D57:D61)</f>
        <v>382524.83</v>
      </c>
      <c r="E62" s="130">
        <f>SUM(E57:E61)</f>
        <v>15478.42</v>
      </c>
      <c r="F62" s="130">
        <f>SUM(F57:F61)</f>
        <v>0</v>
      </c>
      <c r="G62" s="130">
        <f>SUM(G57:G61)</f>
        <v>6783.55</v>
      </c>
      <c r="H62"/>
      <c r="I62"/>
    </row>
    <row r="63" spans="1:9" ht="12" thickTop="1" x14ac:dyDescent="0.2">
      <c r="A63" s="29" t="s">
        <v>175</v>
      </c>
      <c r="B63" s="6"/>
      <c r="C63" s="22">
        <f>C56+C62</f>
        <v>21386108.530000001</v>
      </c>
      <c r="D63" s="22">
        <f>D56+D62</f>
        <v>382524.83</v>
      </c>
      <c r="E63" s="22">
        <f>E56+E62</f>
        <v>15478.42</v>
      </c>
      <c r="F63" s="22">
        <f>F56+F62</f>
        <v>0</v>
      </c>
      <c r="G63" s="22">
        <f>G56+G62</f>
        <v>6783.55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2293331.3199999998</v>
      </c>
      <c r="D66" s="24" t="s">
        <v>288</v>
      </c>
      <c r="E66" s="24" t="s">
        <v>288</v>
      </c>
      <c r="F66" s="24" t="s">
        <v>288</v>
      </c>
      <c r="G66" s="24" t="s">
        <v>288</v>
      </c>
      <c r="H66"/>
      <c r="I66"/>
    </row>
    <row r="67" spans="1:9" x14ac:dyDescent="0.2">
      <c r="A67" s="1" t="s">
        <v>770</v>
      </c>
      <c r="B67" s="6">
        <v>3112</v>
      </c>
      <c r="C67" s="95">
        <f>'DOE25'!F118</f>
        <v>2433532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0</v>
      </c>
      <c r="G69" s="95">
        <f>'DOE25'!J120</f>
        <v>0</v>
      </c>
      <c r="H69"/>
      <c r="I69"/>
    </row>
    <row r="70" spans="1:9" ht="12" thickTop="1" x14ac:dyDescent="0.2">
      <c r="A70" s="29" t="s">
        <v>252</v>
      </c>
      <c r="B70" s="2"/>
      <c r="C70" s="139">
        <f>SUM(C66:C69)</f>
        <v>4728819.41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140915.70000000001</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120799.36</v>
      </c>
      <c r="D74" s="24"/>
      <c r="E74" s="24"/>
      <c r="F74" s="24"/>
      <c r="G74" s="24"/>
      <c r="H74"/>
      <c r="I74"/>
    </row>
    <row r="75" spans="1:9" x14ac:dyDescent="0.2">
      <c r="A75" s="1" t="s">
        <v>256</v>
      </c>
      <c r="B75" s="6">
        <v>3230</v>
      </c>
      <c r="C75" s="95">
        <f>'DOE25'!F126</f>
        <v>263076.38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4678.87</v>
      </c>
      <c r="E77" s="95">
        <f>SUM('DOE25'!H131:H135)</f>
        <v>0</v>
      </c>
      <c r="F77" s="95">
        <f>SUM('DOE25'!I131:I135)</f>
        <v>0</v>
      </c>
      <c r="G77" s="95">
        <f>SUM('DOE25'!J131:J135)</f>
        <v>0</v>
      </c>
      <c r="H77"/>
      <c r="I77"/>
    </row>
    <row r="78" spans="1:9" ht="12.75" thickTop="1" thickBot="1" x14ac:dyDescent="0.25">
      <c r="A78" s="29" t="s">
        <v>259</v>
      </c>
      <c r="B78" s="6"/>
      <c r="C78" s="130">
        <f>SUM(C72:C77)</f>
        <v>524791.43999999994</v>
      </c>
      <c r="D78" s="130">
        <f>SUM(D72:D77)</f>
        <v>4678.87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5253610.8499999996</v>
      </c>
      <c r="D81" s="130">
        <f>SUM(D79:D80)+D78+D70</f>
        <v>4678.87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157772.42000000001</v>
      </c>
      <c r="D88" s="95">
        <f>SUM('DOE25'!G153:G161)</f>
        <v>75195.509999999995</v>
      </c>
      <c r="E88" s="95">
        <f>SUM('DOE25'!H153:H161)</f>
        <v>359317.65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157772.42000000001</v>
      </c>
      <c r="D91" s="131">
        <f>SUM(D85:D90)</f>
        <v>75195.509999999995</v>
      </c>
      <c r="E91" s="131">
        <f>SUM(E85:E90)</f>
        <v>359317.65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50000</v>
      </c>
    </row>
    <row r="104" spans="1:7" ht="12.75" thickTop="1" thickBot="1" x14ac:dyDescent="0.25">
      <c r="A104" s="33" t="s">
        <v>761</v>
      </c>
      <c r="C104" s="86">
        <f>C63+C81+C91+C103</f>
        <v>26797491.800000004</v>
      </c>
      <c r="D104" s="86">
        <f>D63+D81+D91+D103</f>
        <v>462399.21</v>
      </c>
      <c r="E104" s="86">
        <f>E63+E81+E91+E103</f>
        <v>374796.07</v>
      </c>
      <c r="F104" s="86">
        <f>F63+F81+F91+F103</f>
        <v>0</v>
      </c>
      <c r="G104" s="86">
        <f>G63+G81+G103</f>
        <v>56783.55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10991426.190000001</v>
      </c>
      <c r="D109" s="24" t="s">
        <v>288</v>
      </c>
      <c r="E109" s="95">
        <f>('DOE25'!L276)+('DOE25'!L295)+('DOE25'!L314)</f>
        <v>1703.22</v>
      </c>
      <c r="F109" s="24" t="s">
        <v>288</v>
      </c>
      <c r="G109" s="24" t="s">
        <v>288</v>
      </c>
    </row>
    <row r="110" spans="1:7" x14ac:dyDescent="0.2">
      <c r="A110" t="s">
        <v>198</v>
      </c>
      <c r="B110" s="32" t="s">
        <v>199</v>
      </c>
      <c r="C110" s="95">
        <f>('DOE25'!L198)+('DOE25'!L216)+('DOE25'!L234)</f>
        <v>4597865.25</v>
      </c>
      <c r="D110" s="24" t="s">
        <v>288</v>
      </c>
      <c r="E110" s="95">
        <f>('DOE25'!L277)+('DOE25'!L296)+('DOE25'!L315)</f>
        <v>283713.44999999995</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172785.58999999997</v>
      </c>
      <c r="D112" s="24" t="s">
        <v>288</v>
      </c>
      <c r="E112" s="95">
        <f>+('DOE25'!L279)+('DOE25'!L298)+('DOE25'!L317)</f>
        <v>9700.0500000000011</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15762077.030000001</v>
      </c>
      <c r="D115" s="86">
        <f>SUM(D109:D114)</f>
        <v>0</v>
      </c>
      <c r="E115" s="86">
        <f>SUM(E109:E114)</f>
        <v>295116.71999999991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3138942.21</v>
      </c>
      <c r="D118" s="24" t="s">
        <v>288</v>
      </c>
      <c r="E118" s="95">
        <f>+('DOE25'!L281)+('DOE25'!L300)+('DOE25'!L319)</f>
        <v>35691.760000000002</v>
      </c>
      <c r="F118" s="24" t="s">
        <v>288</v>
      </c>
      <c r="G118" s="24" t="s">
        <v>288</v>
      </c>
    </row>
    <row r="119" spans="1:7" x14ac:dyDescent="0.2">
      <c r="A119" t="s">
        <v>208</v>
      </c>
      <c r="B119" s="32" t="s">
        <v>209</v>
      </c>
      <c r="C119" s="95">
        <f>('DOE25'!L203)+('DOE25'!L221)+('DOE25'!L239)</f>
        <v>502393.32</v>
      </c>
      <c r="D119" s="24" t="s">
        <v>288</v>
      </c>
      <c r="E119" s="95">
        <f>+('DOE25'!L282)+('DOE25'!L301)+('DOE25'!L320)</f>
        <v>37987.589999999997</v>
      </c>
      <c r="F119" s="24" t="s">
        <v>288</v>
      </c>
      <c r="G119" s="24" t="s">
        <v>288</v>
      </c>
    </row>
    <row r="120" spans="1:7" x14ac:dyDescent="0.2">
      <c r="A120" t="s">
        <v>210</v>
      </c>
      <c r="B120" s="32" t="s">
        <v>211</v>
      </c>
      <c r="C120" s="95">
        <f>('DOE25'!L204)+('DOE25'!L222)+('DOE25'!L240)</f>
        <v>1219468.17</v>
      </c>
      <c r="D120" s="24" t="s">
        <v>288</v>
      </c>
      <c r="E120" s="95">
        <f>+('DOE25'!L283)+('DOE25'!L302)+('DOE25'!L321)</f>
        <v>0</v>
      </c>
      <c r="F120" s="24" t="s">
        <v>288</v>
      </c>
      <c r="G120" s="24" t="s">
        <v>288</v>
      </c>
    </row>
    <row r="121" spans="1:7" x14ac:dyDescent="0.2">
      <c r="A121" t="s">
        <v>212</v>
      </c>
      <c r="B121" s="32" t="s">
        <v>213</v>
      </c>
      <c r="C121" s="95">
        <f>('DOE25'!L205)+('DOE25'!L223)+('DOE25'!L241)</f>
        <v>1526382.4</v>
      </c>
      <c r="D121" s="24" t="s">
        <v>288</v>
      </c>
      <c r="E121" s="95">
        <f>+('DOE25'!L284)+('DOE25'!L303)+('DOE25'!L322)</f>
        <v>0</v>
      </c>
      <c r="F121" s="24" t="s">
        <v>288</v>
      </c>
      <c r="G121" s="24" t="s">
        <v>288</v>
      </c>
    </row>
    <row r="122" spans="1:7" x14ac:dyDescent="0.2">
      <c r="A122" t="s">
        <v>214</v>
      </c>
      <c r="B122" s="32" t="s">
        <v>215</v>
      </c>
      <c r="C122" s="95">
        <f>('DOE25'!L206)+('DOE25'!L224)+('DOE25'!L242)</f>
        <v>753.93000000000006</v>
      </c>
      <c r="D122" s="24" t="s">
        <v>288</v>
      </c>
      <c r="E122" s="95">
        <f>+('DOE25'!L285)+('DOE25'!L304)+('DOE25'!L323)</f>
        <v>0</v>
      </c>
      <c r="F122" s="24" t="s">
        <v>288</v>
      </c>
      <c r="G122" s="24" t="s">
        <v>288</v>
      </c>
    </row>
    <row r="123" spans="1:7" x14ac:dyDescent="0.2">
      <c r="A123" t="s">
        <v>216</v>
      </c>
      <c r="B123" s="32" t="s">
        <v>217</v>
      </c>
      <c r="C123" s="95">
        <f>('DOE25'!L207)+('DOE25'!L225)+('DOE25'!L243)</f>
        <v>1645445.45</v>
      </c>
      <c r="D123" s="24" t="s">
        <v>288</v>
      </c>
      <c r="E123" s="95">
        <f>+('DOE25'!L286)+('DOE25'!L305)+('DOE25'!L324)</f>
        <v>0</v>
      </c>
      <c r="F123" s="24" t="s">
        <v>288</v>
      </c>
      <c r="G123" s="24" t="s">
        <v>288</v>
      </c>
    </row>
    <row r="124" spans="1:7" x14ac:dyDescent="0.2">
      <c r="A124" t="s">
        <v>218</v>
      </c>
      <c r="B124" s="32" t="s">
        <v>219</v>
      </c>
      <c r="C124" s="95">
        <f>('DOE25'!L208)+('DOE25'!L226)+('DOE25'!L244+'DOE25'!L254)</f>
        <v>895126.28</v>
      </c>
      <c r="D124" s="24" t="s">
        <v>288</v>
      </c>
      <c r="E124" s="95">
        <f>+('DOE25'!L287)+('DOE25'!L306)+('DOE25'!L325)</f>
        <v>0</v>
      </c>
      <c r="F124" s="24" t="s">
        <v>288</v>
      </c>
      <c r="G124" s="24" t="s">
        <v>288</v>
      </c>
    </row>
    <row r="125" spans="1:7" x14ac:dyDescent="0.2">
      <c r="A125" t="s">
        <v>220</v>
      </c>
      <c r="B125" s="32" t="s">
        <v>221</v>
      </c>
      <c r="C125" s="95">
        <f>('DOE25'!L209)+('DOE25'!L227)+('DOE25'!L245)</f>
        <v>345217.31</v>
      </c>
      <c r="D125" s="24" t="s">
        <v>288</v>
      </c>
      <c r="E125" s="95">
        <f>+('DOE25'!L288)+('DOE25'!L307)+('DOE25'!L326)</f>
        <v>6000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505222.05</v>
      </c>
      <c r="E127" s="24" t="s">
        <v>288</v>
      </c>
      <c r="F127" s="24" t="s">
        <v>288</v>
      </c>
      <c r="G127" s="24" t="s">
        <v>288</v>
      </c>
    </row>
    <row r="128" spans="1:7" ht="12.75" thickTop="1" thickBot="1" x14ac:dyDescent="0.25">
      <c r="A128" s="33" t="s">
        <v>226</v>
      </c>
      <c r="C128" s="86">
        <f>SUM(C118:C127)</f>
        <v>9273729.0700000003</v>
      </c>
      <c r="D128" s="86">
        <f>SUM(D118:D127)</f>
        <v>505222.05</v>
      </c>
      <c r="E128" s="86">
        <f>SUM(E118:E127)</f>
        <v>79679.350000000006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647818.12</v>
      </c>
      <c r="D130" s="24" t="s">
        <v>288</v>
      </c>
      <c r="E130" s="129">
        <f>'DOE25'!L336</f>
        <v>0</v>
      </c>
      <c r="F130" s="129">
        <f>SUM('DOE25'!L374:'DOE25'!L380)</f>
        <v>0</v>
      </c>
      <c r="G130" s="24" t="s">
        <v>288</v>
      </c>
    </row>
    <row r="131" spans="1:7" x14ac:dyDescent="0.2">
      <c r="A131" t="s">
        <v>229</v>
      </c>
      <c r="B131" s="32">
        <v>5110</v>
      </c>
      <c r="C131" s="95">
        <f>'DOE25'!L260</f>
        <v>380000</v>
      </c>
      <c r="D131" s="24" t="s">
        <v>288</v>
      </c>
      <c r="E131" s="129">
        <f>'DOE25'!L341</f>
        <v>0</v>
      </c>
      <c r="F131" s="24" t="s">
        <v>288</v>
      </c>
      <c r="G131" s="24" t="s">
        <v>288</v>
      </c>
    </row>
    <row r="132" spans="1:7" x14ac:dyDescent="0.2">
      <c r="A132" t="s">
        <v>230</v>
      </c>
      <c r="B132" s="32">
        <v>5120</v>
      </c>
      <c r="C132" s="95">
        <f>'DOE25'!L261</f>
        <v>103513.51</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55752.639999999999</v>
      </c>
      <c r="D139" s="24" t="s">
        <v>288</v>
      </c>
      <c r="E139" s="24" t="s">
        <v>288</v>
      </c>
      <c r="F139" s="24" t="s">
        <v>288</v>
      </c>
      <c r="G139" s="24" t="s">
        <v>288</v>
      </c>
    </row>
    <row r="140" spans="1:7" x14ac:dyDescent="0.2">
      <c r="A140" t="s">
        <v>240</v>
      </c>
      <c r="B140" s="32">
        <v>5253</v>
      </c>
      <c r="C140" s="95">
        <f>'DOE25'!L407</f>
        <v>1030.9099999999999</v>
      </c>
      <c r="D140" s="24" t="s">
        <v>288</v>
      </c>
      <c r="E140" s="24" t="s">
        <v>288</v>
      </c>
      <c r="F140" s="24" t="s">
        <v>288</v>
      </c>
      <c r="G140" s="24" t="s">
        <v>288</v>
      </c>
    </row>
    <row r="141" spans="1:7" x14ac:dyDescent="0.2">
      <c r="A141" t="s">
        <v>762</v>
      </c>
      <c r="B141" s="32">
        <v>5254</v>
      </c>
      <c r="C141" s="95">
        <f>('DOE25'!L266+'DOE25'!K347) - (C138+C139+C140)</f>
        <v>-6783.5500000000029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1181331.6299999997</v>
      </c>
      <c r="D144" s="141">
        <f>SUM(D130:D143)</f>
        <v>0</v>
      </c>
      <c r="E144" s="141">
        <f>SUM(E130:E143)</f>
        <v>0</v>
      </c>
      <c r="F144" s="141">
        <f>SUM(F130:F143)</f>
        <v>0</v>
      </c>
      <c r="G144" s="141">
        <f>SUM(G130:G143)</f>
        <v>0</v>
      </c>
    </row>
    <row r="145" spans="1:9" ht="12.75" thickTop="1" thickBot="1" x14ac:dyDescent="0.25">
      <c r="A145" s="33" t="s">
        <v>244</v>
      </c>
      <c r="C145" s="86">
        <f>(C115+C128+C144)</f>
        <v>26217137.73</v>
      </c>
      <c r="D145" s="86">
        <f>(D115+D128+D144)</f>
        <v>505222.05</v>
      </c>
      <c r="E145" s="86">
        <f>(E115+E128+E144)</f>
        <v>374796.06999999995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20</v>
      </c>
      <c r="D151" s="153">
        <f>'DOE25'!H490</f>
        <v>0</v>
      </c>
      <c r="E151" s="153">
        <f>'DOE25'!I490</f>
        <v>0</v>
      </c>
      <c r="F151" s="153">
        <f>'DOE25'!J490</f>
        <v>0</v>
      </c>
      <c r="G151" s="24" t="s">
        <v>288</v>
      </c>
    </row>
    <row r="152" spans="1:9" x14ac:dyDescent="0.2">
      <c r="A152" s="136" t="s">
        <v>28</v>
      </c>
      <c r="B152" s="152" t="str">
        <f>'DOE25'!F491</f>
        <v>12/11</v>
      </c>
      <c r="C152" s="152" t="str">
        <f>'DOE25'!G491</f>
        <v>07/08</v>
      </c>
      <c r="D152" s="152">
        <f>'DOE25'!H491</f>
        <v>0</v>
      </c>
      <c r="E152" s="152">
        <f>'DOE25'!I491</f>
        <v>0</v>
      </c>
      <c r="F152" s="152">
        <f>'DOE25'!J491</f>
        <v>0</v>
      </c>
      <c r="G152" s="24" t="s">
        <v>288</v>
      </c>
    </row>
    <row r="153" spans="1:9" x14ac:dyDescent="0.2">
      <c r="A153" s="136" t="s">
        <v>29</v>
      </c>
      <c r="B153" s="152" t="str">
        <f>'DOE25'!F492</f>
        <v>7/21</v>
      </c>
      <c r="C153" s="152" t="str">
        <f>'DOE25'!G492</f>
        <v>8/28</v>
      </c>
      <c r="D153" s="152">
        <f>'DOE25'!H492</f>
        <v>0</v>
      </c>
      <c r="E153" s="152">
        <f>'DOE25'!I492</f>
        <v>0</v>
      </c>
      <c r="F153" s="152">
        <f>'DOE25'!J492</f>
        <v>0</v>
      </c>
      <c r="G153" s="24" t="s">
        <v>288</v>
      </c>
    </row>
    <row r="154" spans="1:9" x14ac:dyDescent="0.2">
      <c r="A154" s="136" t="s">
        <v>30</v>
      </c>
      <c r="B154" s="137">
        <f>'DOE25'!F493</f>
        <v>1717000</v>
      </c>
      <c r="C154" s="137">
        <f>'DOE25'!G493</f>
        <v>3883620</v>
      </c>
      <c r="D154" s="137">
        <f>'DOE25'!H493</f>
        <v>0</v>
      </c>
      <c r="E154" s="137">
        <f>'DOE25'!I493</f>
        <v>0</v>
      </c>
      <c r="F154" s="137">
        <f>'DOE25'!J493</f>
        <v>0</v>
      </c>
      <c r="G154" s="24" t="s">
        <v>288</v>
      </c>
    </row>
    <row r="155" spans="1:9" x14ac:dyDescent="0.2">
      <c r="A155" s="136" t="s">
        <v>31</v>
      </c>
      <c r="B155" s="137">
        <f>'DOE25'!F494</f>
        <v>1.62</v>
      </c>
      <c r="C155" s="137">
        <f>'DOE25'!G494</f>
        <v>4.24</v>
      </c>
      <c r="D155" s="137">
        <f>'DOE25'!H494</f>
        <v>0</v>
      </c>
      <c r="E155" s="137">
        <f>'DOE25'!I494</f>
        <v>0</v>
      </c>
      <c r="F155" s="137">
        <f>'DOE25'!J494</f>
        <v>0</v>
      </c>
      <c r="G155" s="24" t="s">
        <v>288</v>
      </c>
    </row>
    <row r="156" spans="1:9" x14ac:dyDescent="0.2">
      <c r="A156" s="22" t="s">
        <v>32</v>
      </c>
      <c r="B156" s="137">
        <f>'DOE25'!F495</f>
        <v>720000</v>
      </c>
      <c r="C156" s="137">
        <f>'DOE25'!G495</f>
        <v>2130000</v>
      </c>
      <c r="D156" s="137">
        <f>'DOE25'!H495</f>
        <v>0</v>
      </c>
      <c r="E156" s="137">
        <f>'DOE25'!I495</f>
        <v>0</v>
      </c>
      <c r="F156" s="137">
        <f>'DOE25'!J495</f>
        <v>0</v>
      </c>
      <c r="G156" s="138">
        <f>SUM(B156:F156)</f>
        <v>2850000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185000</v>
      </c>
      <c r="C158" s="137">
        <f>'DOE25'!G497</f>
        <v>195000</v>
      </c>
      <c r="D158" s="137">
        <f>'DOE25'!H497</f>
        <v>0</v>
      </c>
      <c r="E158" s="137">
        <f>'DOE25'!I497</f>
        <v>0</v>
      </c>
      <c r="F158" s="137">
        <f>'DOE25'!J497</f>
        <v>0</v>
      </c>
      <c r="G158" s="138">
        <f t="shared" si="0"/>
        <v>380000</v>
      </c>
    </row>
    <row r="159" spans="1:9" x14ac:dyDescent="0.2">
      <c r="A159" s="22" t="s">
        <v>35</v>
      </c>
      <c r="B159" s="137">
        <f>'DOE25'!F498</f>
        <v>535000</v>
      </c>
      <c r="C159" s="137">
        <f>'DOE25'!G498</f>
        <v>1935000</v>
      </c>
      <c r="D159" s="137">
        <f>'DOE25'!H498</f>
        <v>0</v>
      </c>
      <c r="E159" s="137">
        <f>'DOE25'!I498</f>
        <v>0</v>
      </c>
      <c r="F159" s="137">
        <f>'DOE25'!J498</f>
        <v>0</v>
      </c>
      <c r="G159" s="138">
        <f t="shared" si="0"/>
        <v>2470000</v>
      </c>
    </row>
    <row r="160" spans="1:9" x14ac:dyDescent="0.2">
      <c r="A160" s="22" t="s">
        <v>36</v>
      </c>
      <c r="B160" s="137">
        <f>'DOE25'!F499</f>
        <v>24825</v>
      </c>
      <c r="C160" s="137">
        <f>'DOE25'!G499</f>
        <v>293682.18000000005</v>
      </c>
      <c r="D160" s="137">
        <f>'DOE25'!H499</f>
        <v>0</v>
      </c>
      <c r="E160" s="137">
        <f>'DOE25'!I499</f>
        <v>0</v>
      </c>
      <c r="F160" s="137">
        <f>'DOE25'!J499</f>
        <v>0</v>
      </c>
      <c r="G160" s="138">
        <f t="shared" si="0"/>
        <v>318507.18000000005</v>
      </c>
    </row>
    <row r="161" spans="1:7" x14ac:dyDescent="0.2">
      <c r="A161" s="22" t="s">
        <v>37</v>
      </c>
      <c r="B161" s="137">
        <f>'DOE25'!F500</f>
        <v>559825</v>
      </c>
      <c r="C161" s="137">
        <f>'DOE25'!G500</f>
        <v>2228682.1800000002</v>
      </c>
      <c r="D161" s="137">
        <f>'DOE25'!H500</f>
        <v>0</v>
      </c>
      <c r="E161" s="137">
        <f>'DOE25'!I500</f>
        <v>0</v>
      </c>
      <c r="F161" s="137">
        <f>'DOE25'!J500</f>
        <v>0</v>
      </c>
      <c r="G161" s="138">
        <f t="shared" si="0"/>
        <v>2788507.18</v>
      </c>
    </row>
    <row r="162" spans="1:7" x14ac:dyDescent="0.2">
      <c r="A162" s="22" t="s">
        <v>38</v>
      </c>
      <c r="B162" s="137">
        <f>'DOE25'!F501</f>
        <v>180000</v>
      </c>
      <c r="C162" s="137">
        <f>'DOE25'!G501</f>
        <v>195000</v>
      </c>
      <c r="D162" s="137">
        <f>'DOE25'!H501</f>
        <v>0</v>
      </c>
      <c r="E162" s="137">
        <f>'DOE25'!I501</f>
        <v>0</v>
      </c>
      <c r="F162" s="137">
        <f>'DOE25'!J501</f>
        <v>0</v>
      </c>
      <c r="G162" s="138">
        <f t="shared" si="0"/>
        <v>375000</v>
      </c>
    </row>
    <row r="163" spans="1:7" x14ac:dyDescent="0.2">
      <c r="A163" s="22" t="s">
        <v>39</v>
      </c>
      <c r="B163" s="137">
        <f>'DOE25'!F502</f>
        <v>14250</v>
      </c>
      <c r="C163" s="137">
        <f>'DOE25'!G502</f>
        <v>67562.759999999995</v>
      </c>
      <c r="D163" s="137">
        <f>'DOE25'!H502</f>
        <v>0</v>
      </c>
      <c r="E163" s="137">
        <f>'DOE25'!I502</f>
        <v>0</v>
      </c>
      <c r="F163" s="137">
        <f>'DOE25'!J502</f>
        <v>0</v>
      </c>
      <c r="G163" s="138">
        <f t="shared" si="0"/>
        <v>81812.759999999995</v>
      </c>
    </row>
    <row r="164" spans="1:7" x14ac:dyDescent="0.2">
      <c r="A164" s="22" t="s">
        <v>246</v>
      </c>
      <c r="B164" s="137">
        <f>'DOE25'!F503</f>
        <v>194250</v>
      </c>
      <c r="C164" s="137">
        <f>'DOE25'!G503</f>
        <v>262562.76</v>
      </c>
      <c r="D164" s="137">
        <f>'DOE25'!H503</f>
        <v>0</v>
      </c>
      <c r="E164" s="137">
        <f>'DOE25'!I503</f>
        <v>0</v>
      </c>
      <c r="F164" s="137">
        <f>'DOE25'!J503</f>
        <v>0</v>
      </c>
      <c r="G164" s="138">
        <f t="shared" si="0"/>
        <v>456812.76</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Amherst School District</v>
      </c>
    </row>
    <row r="3" spans="1:4" x14ac:dyDescent="0.2">
      <c r="B3" s="188" t="s">
        <v>1602</v>
      </c>
    </row>
    <row r="4" spans="1:4" x14ac:dyDescent="0.2">
      <c r="B4" t="s">
        <v>61</v>
      </c>
      <c r="C4" s="179">
        <f>IF('DOE25'!F665+'DOE25'!F670=0,0,ROUND('DOE25'!F672,0))</f>
        <v>18055</v>
      </c>
    </row>
    <row r="5" spans="1:4" x14ac:dyDescent="0.2">
      <c r="B5" t="s">
        <v>700</v>
      </c>
      <c r="C5" s="179">
        <f>IF('DOE25'!G665+'DOE25'!G670=0,0,ROUND('DOE25'!G672,0))</f>
        <v>18464</v>
      </c>
    </row>
    <row r="6" spans="1:4" x14ac:dyDescent="0.2">
      <c r="B6" t="s">
        <v>62</v>
      </c>
      <c r="C6" s="179">
        <f>IF('DOE25'!H665+'DOE25'!H670=0,0,ROUND('DOE25'!H672,0))</f>
        <v>0</v>
      </c>
    </row>
    <row r="7" spans="1:4" x14ac:dyDescent="0.2">
      <c r="B7" t="s">
        <v>701</v>
      </c>
      <c r="C7" s="179">
        <f>IF('DOE25'!I665+'DOE25'!I670=0,0,ROUND('DOE25'!I672,0))</f>
        <v>18255</v>
      </c>
    </row>
    <row r="9" spans="1:4" x14ac:dyDescent="0.2">
      <c r="A9" s="187" t="s">
        <v>94</v>
      </c>
      <c r="B9" s="188" t="s">
        <v>1603</v>
      </c>
      <c r="C9" s="181" t="s">
        <v>720</v>
      </c>
      <c r="D9" s="181" t="s">
        <v>721</v>
      </c>
    </row>
    <row r="10" spans="1:4" x14ac:dyDescent="0.2">
      <c r="A10">
        <v>1100</v>
      </c>
      <c r="B10" t="s">
        <v>702</v>
      </c>
      <c r="C10" s="179">
        <f>ROUND('DOE25'!L197+'DOE25'!L215+'DOE25'!L233+'DOE25'!L276+'DOE25'!L295+'DOE25'!L314,0)</f>
        <v>10993129</v>
      </c>
      <c r="D10" s="182">
        <f>ROUND((C10/$C$28)*100,1)</f>
        <v>42.9</v>
      </c>
    </row>
    <row r="11" spans="1:4" x14ac:dyDescent="0.2">
      <c r="A11">
        <v>1200</v>
      </c>
      <c r="B11" t="s">
        <v>703</v>
      </c>
      <c r="C11" s="179">
        <f>ROUND('DOE25'!L198+'DOE25'!L216+'DOE25'!L234+'DOE25'!L277+'DOE25'!L296+'DOE25'!L315,0)</f>
        <v>4881579</v>
      </c>
      <c r="D11" s="182">
        <f>ROUND((C11/$C$28)*100,1)</f>
        <v>19</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182486</v>
      </c>
      <c r="D13" s="182">
        <f>ROUND((C13/$C$28)*100,1)</f>
        <v>0.7</v>
      </c>
    </row>
    <row r="14" spans="1:4" x14ac:dyDescent="0.2">
      <c r="D14" s="182"/>
    </row>
    <row r="15" spans="1:4" x14ac:dyDescent="0.2">
      <c r="A15">
        <v>2100</v>
      </c>
      <c r="B15" t="s">
        <v>706</v>
      </c>
      <c r="C15" s="179">
        <f>ROUND('DOE25'!L202+'DOE25'!L220+'DOE25'!L238+'DOE25'!L281+'DOE25'!L300+'DOE25'!L319,0)</f>
        <v>3174634</v>
      </c>
      <c r="D15" s="182">
        <f t="shared" ref="D15:D27" si="0">ROUND((C15/$C$28)*100,1)</f>
        <v>12.4</v>
      </c>
    </row>
    <row r="16" spans="1:4" x14ac:dyDescent="0.2">
      <c r="A16">
        <v>2200</v>
      </c>
      <c r="B16" t="s">
        <v>707</v>
      </c>
      <c r="C16" s="179">
        <f>ROUND('DOE25'!L203+'DOE25'!L221+'DOE25'!L239+'DOE25'!L282+'DOE25'!L301+'DOE25'!L320,0)</f>
        <v>540381</v>
      </c>
      <c r="D16" s="182">
        <f t="shared" si="0"/>
        <v>2.1</v>
      </c>
    </row>
    <row r="17" spans="1:4" x14ac:dyDescent="0.2">
      <c r="A17" s="183" t="s">
        <v>723</v>
      </c>
      <c r="B17" t="s">
        <v>738</v>
      </c>
      <c r="C17" s="179">
        <f>ROUND('DOE25'!L204+'DOE25'!L209+'DOE25'!L222+'DOE25'!L227+'DOE25'!L240+'DOE25'!L245+'DOE25'!L283+'DOE25'!L288+'DOE25'!L302+'DOE25'!L307+'DOE25'!L321+'DOE25'!L326,0)</f>
        <v>1570685</v>
      </c>
      <c r="D17" s="182">
        <f t="shared" si="0"/>
        <v>6.1</v>
      </c>
    </row>
    <row r="18" spans="1:4" x14ac:dyDescent="0.2">
      <c r="A18">
        <v>2400</v>
      </c>
      <c r="B18" t="s">
        <v>711</v>
      </c>
      <c r="C18" s="179">
        <f>ROUND('DOE25'!L205+'DOE25'!L223+'DOE25'!L241+'DOE25'!L284+'DOE25'!L303+'DOE25'!L322,0)</f>
        <v>1526382</v>
      </c>
      <c r="D18" s="182">
        <f t="shared" si="0"/>
        <v>6</v>
      </c>
    </row>
    <row r="19" spans="1:4" x14ac:dyDescent="0.2">
      <c r="A19">
        <v>2500</v>
      </c>
      <c r="B19" t="s">
        <v>708</v>
      </c>
      <c r="C19" s="179">
        <f>ROUND('DOE25'!L206+'DOE25'!L224+'DOE25'!L242+'DOE25'!L285+'DOE25'!L304+'DOE25'!L323,0)</f>
        <v>754</v>
      </c>
      <c r="D19" s="182">
        <f t="shared" si="0"/>
        <v>0</v>
      </c>
    </row>
    <row r="20" spans="1:4" x14ac:dyDescent="0.2">
      <c r="A20">
        <v>2600</v>
      </c>
      <c r="B20" t="s">
        <v>709</v>
      </c>
      <c r="C20" s="179">
        <f>ROUND('DOE25'!L207+'DOE25'!L225+'DOE25'!L243+'DOE25'!L286+'DOE25'!L305+'DOE25'!L324,0)</f>
        <v>1645445</v>
      </c>
      <c r="D20" s="182">
        <f t="shared" si="0"/>
        <v>6.4</v>
      </c>
    </row>
    <row r="21" spans="1:4" x14ac:dyDescent="0.2">
      <c r="A21">
        <v>2700</v>
      </c>
      <c r="B21" t="s">
        <v>710</v>
      </c>
      <c r="C21" s="179">
        <f>ROUND('DOE25'!L208+'DOE25'!L226+'DOE25'!L244+'DOE25'!L287+'DOE25'!L306+'DOE25'!L325,0)</f>
        <v>895126</v>
      </c>
      <c r="D21" s="182">
        <f t="shared" si="0"/>
        <v>3.5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103514</v>
      </c>
      <c r="D25" s="182">
        <f t="shared" si="0"/>
        <v>0.4</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122697.16999999998</v>
      </c>
      <c r="D27" s="182">
        <f t="shared" si="0"/>
        <v>0.5</v>
      </c>
    </row>
    <row r="28" spans="1:4" x14ac:dyDescent="0.2">
      <c r="B28" s="187" t="s">
        <v>719</v>
      </c>
      <c r="C28" s="180">
        <f>SUM(C10:C27)</f>
        <v>25636812.170000002</v>
      </c>
      <c r="D28" s="184">
        <f>ROUND(SUM(D10:D27),0)</f>
        <v>100</v>
      </c>
    </row>
    <row r="29" spans="1:4" x14ac:dyDescent="0.2">
      <c r="A29">
        <v>4000</v>
      </c>
      <c r="B29" t="s">
        <v>724</v>
      </c>
      <c r="C29" s="179">
        <f>ROUND('DOE25'!L255+'DOE25'!L336+'DOE25'!L374+'DOE25'!L375+'DOE25'!L376+'DOE25'!L377+'DOE25'!L378+'DOE25'!L379+'DOE25'!L380,0)</f>
        <v>647818</v>
      </c>
    </row>
    <row r="30" spans="1:4" x14ac:dyDescent="0.2">
      <c r="B30" s="187" t="s">
        <v>725</v>
      </c>
      <c r="C30" s="180">
        <f>SUM(C28:C29)</f>
        <v>26284630.170000002</v>
      </c>
    </row>
    <row r="31" spans="1:4" x14ac:dyDescent="0.2">
      <c r="B31" s="33"/>
      <c r="C31" s="180"/>
    </row>
    <row r="32" spans="1:4" x14ac:dyDescent="0.2">
      <c r="A32">
        <v>5100</v>
      </c>
      <c r="B32" s="33" t="s">
        <v>726</v>
      </c>
      <c r="C32" s="180">
        <f>ROUND('DOE25'!L260+'DOE25'!L341,0)</f>
        <v>380000</v>
      </c>
    </row>
    <row r="34" spans="1:4" x14ac:dyDescent="0.2">
      <c r="A34" s="187" t="s">
        <v>94</v>
      </c>
      <c r="B34" s="188" t="s">
        <v>1604</v>
      </c>
      <c r="C34" s="181" t="s">
        <v>720</v>
      </c>
      <c r="D34" s="181" t="s">
        <v>721</v>
      </c>
    </row>
    <row r="35" spans="1:4" x14ac:dyDescent="0.2">
      <c r="A35">
        <v>1100</v>
      </c>
      <c r="B35" s="185" t="s">
        <v>727</v>
      </c>
      <c r="C35" s="179">
        <f>ROUND('DOE25'!F60+'DOE25'!G60+'DOE25'!H60+'DOE25'!I60+'DOE25'!J60,0)</f>
        <v>20091994</v>
      </c>
      <c r="D35" s="182">
        <f t="shared" ref="D35:D40" si="1">ROUND((C35/$C$41)*100,1)</f>
        <v>73.7</v>
      </c>
    </row>
    <row r="36" spans="1:4" x14ac:dyDescent="0.2">
      <c r="B36" s="185" t="s">
        <v>739</v>
      </c>
      <c r="C36" s="179">
        <f>SUM('DOE25'!F112:J112)-SUM('DOE25'!G97:G110)+('DOE25'!F174+'DOE25'!F175+'DOE25'!I174+'DOE25'!I175)-C35</f>
        <v>1316376.5000000037</v>
      </c>
      <c r="D36" s="182">
        <f t="shared" si="1"/>
        <v>4.8</v>
      </c>
    </row>
    <row r="37" spans="1:4" x14ac:dyDescent="0.2">
      <c r="A37" s="183" t="s">
        <v>835</v>
      </c>
      <c r="B37" s="185" t="s">
        <v>728</v>
      </c>
      <c r="C37" s="179">
        <f>ROUND('DOE25'!F117+'DOE25'!F118,0)</f>
        <v>4726863</v>
      </c>
      <c r="D37" s="182">
        <f t="shared" si="1"/>
        <v>17.3</v>
      </c>
    </row>
    <row r="38" spans="1:4" x14ac:dyDescent="0.2">
      <c r="A38" s="183" t="s">
        <v>734</v>
      </c>
      <c r="B38" s="185" t="s">
        <v>729</v>
      </c>
      <c r="C38" s="179">
        <f>ROUND(SUM('DOE25'!F140:J140)-SUM('DOE25'!F117:F119),0)</f>
        <v>531426</v>
      </c>
      <c r="D38" s="182">
        <f t="shared" si="1"/>
        <v>1.9</v>
      </c>
    </row>
    <row r="39" spans="1:4" x14ac:dyDescent="0.2">
      <c r="A39">
        <v>4000</v>
      </c>
      <c r="B39" s="185" t="s">
        <v>730</v>
      </c>
      <c r="C39" s="179">
        <f>ROUND('DOE25'!F169+'DOE25'!G169+'DOE25'!H169+'DOE25'!I169,0)</f>
        <v>592286</v>
      </c>
      <c r="D39" s="182">
        <f t="shared" si="1"/>
        <v>2.2000000000000002</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27258945.500000004</v>
      </c>
      <c r="D41" s="184">
        <f>SUM(D35:D40)</f>
        <v>99.9</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X28" sqref="X28"/>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Amherst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2019-10-31T12:13:40Z</cp:lastPrinted>
  <dcterms:created xsi:type="dcterms:W3CDTF">1997-12-04T19:04:30Z</dcterms:created>
  <dcterms:modified xsi:type="dcterms:W3CDTF">2019-11-22T14:15:44Z</dcterms:modified>
</cp:coreProperties>
</file>