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iterateDelta="4.1486142249243762E-271"/>
  <extLst>
    <ext xmlns:mx="http://schemas.microsoft.com/office/mac/excel/2008/main" uri="{7523E5D3-25F3-A5E0-1632-64F254C22452}">
      <mx:ArchID Flags="2"/>
    </ext>
  </extLst>
</workbook>
</file>

<file path=xl/calcChain.xml><?xml version="1.0" encoding="utf-8"?>
<calcChain xmlns="http://schemas.openxmlformats.org/spreadsheetml/2006/main">
  <c r="D11" i="13" l="1"/>
  <c r="C11" i="13" s="1"/>
  <c r="F29" i="13"/>
  <c r="F33" i="13" s="1"/>
  <c r="F15" i="13"/>
  <c r="H591" i="1"/>
  <c r="H592" i="1"/>
  <c r="K533" i="1"/>
  <c r="J533" i="1"/>
  <c r="I533" i="1"/>
  <c r="H533" i="1"/>
  <c r="L533" i="1" s="1"/>
  <c r="H551" i="1" s="1"/>
  <c r="G533" i="1"/>
  <c r="F533" i="1"/>
  <c r="K532" i="1"/>
  <c r="J532" i="1"/>
  <c r="I532" i="1"/>
  <c r="H532" i="1"/>
  <c r="G532" i="1"/>
  <c r="F532" i="1"/>
  <c r="K531" i="1"/>
  <c r="J531" i="1"/>
  <c r="I531" i="1"/>
  <c r="H531" i="1"/>
  <c r="G531" i="1"/>
  <c r="F531" i="1"/>
  <c r="H542" i="1"/>
  <c r="H541" i="1"/>
  <c r="H522" i="1"/>
  <c r="G522" i="1"/>
  <c r="F522" i="1"/>
  <c r="H521" i="1"/>
  <c r="I521" i="1"/>
  <c r="G521" i="1"/>
  <c r="F521" i="1"/>
  <c r="J523" i="1"/>
  <c r="J521" i="1"/>
  <c r="K527" i="1"/>
  <c r="I527" i="1"/>
  <c r="H527" i="1"/>
  <c r="G527" i="1"/>
  <c r="F527" i="1"/>
  <c r="J522" i="1"/>
  <c r="I522" i="1"/>
  <c r="L522" i="1" s="1"/>
  <c r="F550" i="1" s="1"/>
  <c r="K526" i="1"/>
  <c r="I526" i="1"/>
  <c r="H526" i="1"/>
  <c r="G526" i="1"/>
  <c r="F526" i="1"/>
  <c r="F135" i="1"/>
  <c r="D6" i="14"/>
  <c r="C20" i="12"/>
  <c r="C19" i="12"/>
  <c r="B19" i="12"/>
  <c r="B21" i="12"/>
  <c r="B20" i="12"/>
  <c r="B22" i="12" s="1"/>
  <c r="B11" i="12"/>
  <c r="B13" i="12" s="1"/>
  <c r="C11" i="12"/>
  <c r="C12" i="12"/>
  <c r="C10" i="12"/>
  <c r="B12" i="12"/>
  <c r="B10" i="12"/>
  <c r="I604" i="1"/>
  <c r="J203" i="1"/>
  <c r="G7" i="13" s="1"/>
  <c r="I202" i="1"/>
  <c r="G202" i="1"/>
  <c r="G220" i="1"/>
  <c r="F197" i="1"/>
  <c r="H207" i="1"/>
  <c r="H225" i="1"/>
  <c r="J225" i="1"/>
  <c r="I225" i="1"/>
  <c r="G225" i="1"/>
  <c r="F225" i="1"/>
  <c r="H244" i="1"/>
  <c r="H226" i="1"/>
  <c r="L226" i="1" s="1"/>
  <c r="H208" i="1"/>
  <c r="L208" i="1" s="1"/>
  <c r="J207" i="1"/>
  <c r="I207" i="1"/>
  <c r="G207" i="1"/>
  <c r="F207" i="1"/>
  <c r="I206" i="1"/>
  <c r="H206" i="1"/>
  <c r="G206" i="1"/>
  <c r="F206" i="1"/>
  <c r="I224" i="1"/>
  <c r="H224" i="1"/>
  <c r="G224" i="1"/>
  <c r="F224" i="1"/>
  <c r="H242" i="1"/>
  <c r="I242" i="1"/>
  <c r="F242" i="1"/>
  <c r="G242" i="1"/>
  <c r="K240" i="1"/>
  <c r="J240" i="1"/>
  <c r="I240" i="1"/>
  <c r="H240" i="1"/>
  <c r="G240" i="1"/>
  <c r="F240" i="1"/>
  <c r="K222" i="1"/>
  <c r="J222" i="1"/>
  <c r="I222" i="1"/>
  <c r="H222" i="1"/>
  <c r="G222" i="1"/>
  <c r="F222" i="1"/>
  <c r="G204" i="1"/>
  <c r="F204" i="1"/>
  <c r="K204" i="1"/>
  <c r="J204" i="1"/>
  <c r="G8" i="13" s="1"/>
  <c r="I204" i="1"/>
  <c r="H204" i="1"/>
  <c r="F221" i="1"/>
  <c r="G221" i="1"/>
  <c r="H221" i="1"/>
  <c r="J221" i="1"/>
  <c r="K221" i="1"/>
  <c r="K203" i="1"/>
  <c r="I203" i="1"/>
  <c r="H203" i="1"/>
  <c r="G203" i="1"/>
  <c r="F203" i="1"/>
  <c r="K220" i="1"/>
  <c r="K202" i="1"/>
  <c r="I220" i="1"/>
  <c r="H220" i="1"/>
  <c r="H202" i="1"/>
  <c r="F220" i="1"/>
  <c r="F202" i="1"/>
  <c r="L202" i="1" s="1"/>
  <c r="F216" i="1"/>
  <c r="I216" i="1"/>
  <c r="H216" i="1"/>
  <c r="G216" i="1"/>
  <c r="F198" i="1"/>
  <c r="J198" i="1"/>
  <c r="H198" i="1"/>
  <c r="G198" i="1"/>
  <c r="I215" i="1"/>
  <c r="I197" i="1"/>
  <c r="G197" i="1"/>
  <c r="G215" i="1"/>
  <c r="F215" i="1"/>
  <c r="K223" i="1"/>
  <c r="J223" i="1"/>
  <c r="I223" i="1"/>
  <c r="H223" i="1"/>
  <c r="G223" i="1"/>
  <c r="F223" i="1"/>
  <c r="I221" i="1"/>
  <c r="K218" i="1"/>
  <c r="H5" i="13" s="1"/>
  <c r="I218" i="1"/>
  <c r="G218" i="1"/>
  <c r="F218" i="1"/>
  <c r="L218" i="1" s="1"/>
  <c r="J216" i="1"/>
  <c r="K215" i="1"/>
  <c r="J215" i="1"/>
  <c r="H215" i="1"/>
  <c r="H229" i="1" s="1"/>
  <c r="K205" i="1"/>
  <c r="H12" i="13" s="1"/>
  <c r="J205" i="1"/>
  <c r="I205" i="1"/>
  <c r="H205" i="1"/>
  <c r="G205" i="1"/>
  <c r="F205" i="1"/>
  <c r="I198" i="1"/>
  <c r="H197" i="1"/>
  <c r="J591" i="1"/>
  <c r="H604" i="1"/>
  <c r="H595" i="1"/>
  <c r="F582" i="1"/>
  <c r="G582" i="1"/>
  <c r="H577" i="1"/>
  <c r="H575" i="1"/>
  <c r="H543" i="1"/>
  <c r="L543" i="1" s="1"/>
  <c r="H523" i="1"/>
  <c r="J234" i="1"/>
  <c r="H234" i="1"/>
  <c r="H233" i="1"/>
  <c r="L233" i="1" s="1"/>
  <c r="F28" i="1"/>
  <c r="C27" i="2" s="1"/>
  <c r="F22" i="1"/>
  <c r="H296" i="1"/>
  <c r="G296" i="1"/>
  <c r="F296" i="1"/>
  <c r="I301" i="1"/>
  <c r="H301" i="1"/>
  <c r="G301" i="1"/>
  <c r="F301" i="1"/>
  <c r="H282" i="1"/>
  <c r="H277" i="1"/>
  <c r="I282" i="1"/>
  <c r="I290" i="1" s="1"/>
  <c r="F282" i="1"/>
  <c r="H276" i="1"/>
  <c r="I276" i="1"/>
  <c r="G276" i="1"/>
  <c r="F276" i="1"/>
  <c r="G277" i="1"/>
  <c r="F277" i="1"/>
  <c r="G282" i="1"/>
  <c r="H155" i="1"/>
  <c r="G468" i="1"/>
  <c r="H359" i="1"/>
  <c r="H358" i="1"/>
  <c r="L358" i="1" s="1"/>
  <c r="B8" i="14"/>
  <c r="C8" i="14" s="1"/>
  <c r="B5" i="14"/>
  <c r="F42" i="14"/>
  <c r="B38" i="14"/>
  <c r="C38" i="14" s="1" a="1"/>
  <c r="C38" i="14" s="1"/>
  <c r="B39" i="14"/>
  <c r="C39" i="14" s="1" a="1"/>
  <c r="C39" i="14" s="1"/>
  <c r="B40" i="14"/>
  <c r="C40" i="14" a="1"/>
  <c r="C40" i="14" s="1"/>
  <c r="B41" i="14"/>
  <c r="C41" i="14" s="1" a="1"/>
  <c r="C41" i="14"/>
  <c r="B42" i="14"/>
  <c r="C42" i="14" s="1" a="1"/>
  <c r="C42" i="14" s="1"/>
  <c r="B37" i="14"/>
  <c r="C37" i="14" s="1" a="1"/>
  <c r="C37" i="14" s="1"/>
  <c r="F38" i="14"/>
  <c r="F39" i="14"/>
  <c r="F36" i="14" s="1"/>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s="1"/>
  <c r="B27" i="14"/>
  <c r="C27" i="14" s="1" a="1"/>
  <c r="C27" i="14"/>
  <c r="B28" i="14"/>
  <c r="C28" i="14" s="1" a="1"/>
  <c r="C28" i="14" s="1"/>
  <c r="B29" i="14"/>
  <c r="C29" i="14" s="1" a="1"/>
  <c r="C29" i="14" s="1"/>
  <c r="B30" i="14"/>
  <c r="C30" i="14" a="1"/>
  <c r="C30" i="14" s="1"/>
  <c r="B31" i="14"/>
  <c r="C31" i="14" s="1" a="1"/>
  <c r="C31" i="14"/>
  <c r="B32" i="14"/>
  <c r="C32" i="14" s="1" a="1"/>
  <c r="C32" i="14" s="1"/>
  <c r="B25" i="14"/>
  <c r="C25" i="14" s="1" a="1"/>
  <c r="C25" i="14" s="1"/>
  <c r="F5" i="14"/>
  <c r="B6" i="14"/>
  <c r="C6" i="14"/>
  <c r="B7" i="14"/>
  <c r="C7" i="14" s="1"/>
  <c r="B9" i="14"/>
  <c r="C9" i="14" s="1"/>
  <c r="B10" i="14"/>
  <c r="C10" i="14" s="1"/>
  <c r="B11" i="14"/>
  <c r="C11" i="14" s="1"/>
  <c r="B12" i="14"/>
  <c r="C12" i="14" s="1"/>
  <c r="B13" i="14"/>
  <c r="C13" i="14" s="1"/>
  <c r="B14" i="14"/>
  <c r="C14" i="14" s="1"/>
  <c r="B15" i="14"/>
  <c r="C15" i="14"/>
  <c r="B16" i="14"/>
  <c r="C16" i="14" s="1"/>
  <c r="B17" i="14"/>
  <c r="C17" i="14" s="1"/>
  <c r="B18" i="14"/>
  <c r="C18" i="14" s="1"/>
  <c r="B19" i="14"/>
  <c r="C19" i="14" s="1"/>
  <c r="B20" i="14"/>
  <c r="C20" i="14" s="1"/>
  <c r="C5" i="14"/>
  <c r="F24" i="14"/>
  <c r="B2" i="14"/>
  <c r="A2" i="14"/>
  <c r="C45" i="2"/>
  <c r="G51" i="1"/>
  <c r="F51" i="1"/>
  <c r="C37" i="10"/>
  <c r="F40" i="2"/>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c r="I458" i="1"/>
  <c r="J39" i="1" s="1"/>
  <c r="G38" i="2" s="1"/>
  <c r="C68" i="2"/>
  <c r="B2" i="13"/>
  <c r="L204" i="1"/>
  <c r="L222" i="1"/>
  <c r="D39" i="13"/>
  <c r="G13" i="13"/>
  <c r="H13" i="13"/>
  <c r="L224" i="1"/>
  <c r="L242" i="1"/>
  <c r="G16" i="13"/>
  <c r="H16" i="13"/>
  <c r="L209" i="1"/>
  <c r="L227" i="1"/>
  <c r="L245" i="1"/>
  <c r="C125" i="2" s="1"/>
  <c r="G5" i="13"/>
  <c r="L198" i="1"/>
  <c r="L199" i="1"/>
  <c r="L200" i="1"/>
  <c r="L205" i="1"/>
  <c r="L207" i="1"/>
  <c r="L216" i="1"/>
  <c r="L217" i="1"/>
  <c r="L234" i="1"/>
  <c r="C110" i="2" s="1"/>
  <c r="L235" i="1"/>
  <c r="L236" i="1"/>
  <c r="L238" i="1"/>
  <c r="L239" i="1"/>
  <c r="C119" i="2" s="1"/>
  <c r="L241" i="1"/>
  <c r="L243" i="1"/>
  <c r="L244" i="1"/>
  <c r="G6" i="13"/>
  <c r="H6" i="13"/>
  <c r="L221" i="1"/>
  <c r="G12" i="13"/>
  <c r="G14" i="13"/>
  <c r="H14" i="13"/>
  <c r="L286" i="1"/>
  <c r="L305" i="1"/>
  <c r="L324" i="1"/>
  <c r="G15" i="13"/>
  <c r="H15" i="13"/>
  <c r="G17" i="13"/>
  <c r="D17" i="13" s="1"/>
  <c r="C17" i="13" s="1"/>
  <c r="H17" i="13"/>
  <c r="L251" i="1"/>
  <c r="G18" i="13"/>
  <c r="H18" i="13"/>
  <c r="L252" i="1"/>
  <c r="G19" i="13"/>
  <c r="H19" i="13"/>
  <c r="L253" i="1"/>
  <c r="G29" i="13"/>
  <c r="H29" i="13"/>
  <c r="L359" i="1"/>
  <c r="L360" i="1"/>
  <c r="G661" i="1" s="1"/>
  <c r="I367" i="1"/>
  <c r="J290" i="1"/>
  <c r="J309" i="1"/>
  <c r="J328" i="1"/>
  <c r="K290" i="1"/>
  <c r="K309" i="1"/>
  <c r="K328" i="1"/>
  <c r="L276" i="1"/>
  <c r="L277" i="1"/>
  <c r="L278" i="1"/>
  <c r="L279" i="1"/>
  <c r="L281" i="1"/>
  <c r="L283" i="1"/>
  <c r="L284" i="1"/>
  <c r="E121" i="2" s="1"/>
  <c r="L285" i="1"/>
  <c r="L287" i="1"/>
  <c r="L288" i="1"/>
  <c r="L300" i="1"/>
  <c r="L319" i="1"/>
  <c r="L304" i="1"/>
  <c r="L323" i="1"/>
  <c r="L295" i="1"/>
  <c r="L296" i="1"/>
  <c r="L297" i="1"/>
  <c r="L298" i="1"/>
  <c r="L302" i="1"/>
  <c r="E120" i="2" s="1"/>
  <c r="L303" i="1"/>
  <c r="L306" i="1"/>
  <c r="L307" i="1"/>
  <c r="L314" i="1"/>
  <c r="L315" i="1"/>
  <c r="L316" i="1"/>
  <c r="L317" i="1"/>
  <c r="L320" i="1"/>
  <c r="L321" i="1"/>
  <c r="L322" i="1"/>
  <c r="L325" i="1"/>
  <c r="H662" i="1" s="1"/>
  <c r="L326" i="1"/>
  <c r="L333" i="1"/>
  <c r="L334" i="1"/>
  <c r="L335" i="1"/>
  <c r="L260" i="1"/>
  <c r="L261" i="1"/>
  <c r="C132" i="2"/>
  <c r="L341" i="1"/>
  <c r="E131" i="2" s="1"/>
  <c r="L342" i="1"/>
  <c r="L255" i="1"/>
  <c r="C130" i="2" s="1"/>
  <c r="L336" i="1"/>
  <c r="C10" i="13"/>
  <c r="C9" i="13"/>
  <c r="L361" i="1"/>
  <c r="B4" i="12"/>
  <c r="B36" i="12"/>
  <c r="C36" i="12"/>
  <c r="B40" i="12"/>
  <c r="C40" i="12"/>
  <c r="A40" i="12" s="1"/>
  <c r="B27" i="12"/>
  <c r="C27" i="12"/>
  <c r="B31" i="12"/>
  <c r="C31" i="12"/>
  <c r="A31" i="12" s="1"/>
  <c r="C9" i="12"/>
  <c r="C13" i="12"/>
  <c r="B18" i="12"/>
  <c r="C18" i="12"/>
  <c r="C22" i="12"/>
  <c r="B1" i="12"/>
  <c r="L387" i="1"/>
  <c r="L388" i="1"/>
  <c r="L393" i="1" s="1"/>
  <c r="L389" i="1"/>
  <c r="L390" i="1"/>
  <c r="L391" i="1"/>
  <c r="L392" i="1"/>
  <c r="L395" i="1"/>
  <c r="L396" i="1"/>
  <c r="L397" i="1"/>
  <c r="L398" i="1"/>
  <c r="L399" i="1"/>
  <c r="L400" i="1"/>
  <c r="L403" i="1"/>
  <c r="L404" i="1"/>
  <c r="L405" i="1"/>
  <c r="L406" i="1"/>
  <c r="L266" i="1"/>
  <c r="J60" i="1"/>
  <c r="G56" i="2" s="1"/>
  <c r="G59" i="2"/>
  <c r="G61" i="2"/>
  <c r="G62" i="2" s="1"/>
  <c r="F2" i="11"/>
  <c r="L613" i="1"/>
  <c r="H663" i="1"/>
  <c r="L612" i="1"/>
  <c r="L611" i="1"/>
  <c r="F663" i="1"/>
  <c r="C40" i="10"/>
  <c r="F60" i="1"/>
  <c r="F79" i="1"/>
  <c r="F94" i="1"/>
  <c r="F111" i="1"/>
  <c r="G60" i="1"/>
  <c r="H60" i="1"/>
  <c r="E56" i="2" s="1"/>
  <c r="I60" i="1"/>
  <c r="C57" i="2"/>
  <c r="G111" i="1"/>
  <c r="G112" i="1"/>
  <c r="H79" i="1"/>
  <c r="H94" i="1"/>
  <c r="H111" i="1"/>
  <c r="I111" i="1"/>
  <c r="I112" i="1" s="1"/>
  <c r="J111" i="1"/>
  <c r="F121" i="1"/>
  <c r="F136" i="1"/>
  <c r="G121" i="1"/>
  <c r="G136" i="1"/>
  <c r="H121" i="1"/>
  <c r="H136" i="1"/>
  <c r="I121" i="1"/>
  <c r="I136" i="1"/>
  <c r="J121" i="1"/>
  <c r="J140" i="1" s="1"/>
  <c r="J136" i="1"/>
  <c r="F147" i="1"/>
  <c r="C85" i="2" s="1"/>
  <c r="F162" i="1"/>
  <c r="F169" i="1"/>
  <c r="G147" i="1"/>
  <c r="G162" i="1"/>
  <c r="H147" i="1"/>
  <c r="H162" i="1"/>
  <c r="H169" i="1" s="1"/>
  <c r="I147" i="1"/>
  <c r="I162" i="1"/>
  <c r="C12" i="10"/>
  <c r="L250" i="1"/>
  <c r="C113" i="2" s="1"/>
  <c r="L332" i="1"/>
  <c r="L254" i="1"/>
  <c r="L268" i="1"/>
  <c r="L269" i="1"/>
  <c r="L349" i="1"/>
  <c r="E142" i="2" s="1"/>
  <c r="L350" i="1"/>
  <c r="C26" i="10"/>
  <c r="I665" i="1"/>
  <c r="I670" i="1"/>
  <c r="G662" i="1"/>
  <c r="I669" i="1"/>
  <c r="C42" i="10"/>
  <c r="C32" i="10"/>
  <c r="L374" i="1"/>
  <c r="L375" i="1"/>
  <c r="L376" i="1"/>
  <c r="L377" i="1"/>
  <c r="L378" i="1"/>
  <c r="L379" i="1"/>
  <c r="L380" i="1"/>
  <c r="F130" i="2"/>
  <c r="F144" i="2" s="1"/>
  <c r="B2" i="10"/>
  <c r="L344" i="1"/>
  <c r="L345" i="1"/>
  <c r="L346" i="1"/>
  <c r="L351" i="1" s="1"/>
  <c r="L347" i="1"/>
  <c r="K351" i="1"/>
  <c r="L521" i="1"/>
  <c r="L523" i="1"/>
  <c r="F551" i="1" s="1"/>
  <c r="L527" i="1"/>
  <c r="G550" i="1" s="1"/>
  <c r="L528" i="1"/>
  <c r="G551" i="1"/>
  <c r="L531" i="1"/>
  <c r="L536" i="1"/>
  <c r="I549" i="1"/>
  <c r="L541" i="1"/>
  <c r="J549" i="1" s="1"/>
  <c r="L532" i="1"/>
  <c r="H550" i="1" s="1"/>
  <c r="K550" i="1" s="1"/>
  <c r="L537" i="1"/>
  <c r="I550" i="1" s="1"/>
  <c r="L538" i="1"/>
  <c r="I551" i="1" s="1"/>
  <c r="L542" i="1"/>
  <c r="J550" i="1" s="1"/>
  <c r="J551" i="1"/>
  <c r="J552" i="1"/>
  <c r="E132" i="2"/>
  <c r="K270" i="1"/>
  <c r="J270" i="1"/>
  <c r="I270" i="1"/>
  <c r="H270" i="1"/>
  <c r="G270" i="1"/>
  <c r="F270" i="1"/>
  <c r="C131" i="2"/>
  <c r="A1" i="2"/>
  <c r="A2" i="2"/>
  <c r="C8" i="2"/>
  <c r="D8" i="2"/>
  <c r="E8" i="2"/>
  <c r="F8" i="2"/>
  <c r="I439" i="1"/>
  <c r="J9" i="1" s="1"/>
  <c r="G8" i="2" s="1"/>
  <c r="C9" i="2"/>
  <c r="D9" i="2"/>
  <c r="E9" i="2"/>
  <c r="F9" i="2"/>
  <c r="I440" i="1"/>
  <c r="C10" i="2"/>
  <c r="C11" i="2"/>
  <c r="D11" i="2"/>
  <c r="D18" i="2" s="1"/>
  <c r="E11" i="2"/>
  <c r="F11" i="2"/>
  <c r="I441" i="1"/>
  <c r="J12" i="1"/>
  <c r="G11" i="2" s="1"/>
  <c r="C12" i="2"/>
  <c r="D12" i="2"/>
  <c r="E12" i="2"/>
  <c r="F12" i="2"/>
  <c r="I442" i="1"/>
  <c r="J13" i="1"/>
  <c r="G12" i="2" s="1"/>
  <c r="C13" i="2"/>
  <c r="D13" i="2"/>
  <c r="E13" i="2"/>
  <c r="F13" i="2"/>
  <c r="I443" i="1"/>
  <c r="J14" i="1" s="1"/>
  <c r="G13" i="2" s="1"/>
  <c r="F14" i="2"/>
  <c r="C15" i="2"/>
  <c r="D15" i="2"/>
  <c r="E15" i="2"/>
  <c r="F15" i="2"/>
  <c r="C16" i="2"/>
  <c r="D16" i="2"/>
  <c r="E16" i="2"/>
  <c r="F16" i="2"/>
  <c r="I444" i="1"/>
  <c r="J17" i="1" s="1"/>
  <c r="C17" i="2"/>
  <c r="C18" i="2" s="1"/>
  <c r="D17" i="2"/>
  <c r="E17" i="2"/>
  <c r="F17" i="2"/>
  <c r="I445" i="1"/>
  <c r="J18" i="1" s="1"/>
  <c r="G17" i="2" s="1"/>
  <c r="C21" i="2"/>
  <c r="D21" i="2"/>
  <c r="E21" i="2"/>
  <c r="E22" i="2"/>
  <c r="E23" i="2"/>
  <c r="E24" i="2"/>
  <c r="E27" i="2"/>
  <c r="E28" i="2"/>
  <c r="E29" i="2"/>
  <c r="E30" i="2"/>
  <c r="E31" i="2"/>
  <c r="F21" i="2"/>
  <c r="I448" i="1"/>
  <c r="J22" i="1"/>
  <c r="C22" i="2"/>
  <c r="D22" i="2"/>
  <c r="F22" i="2"/>
  <c r="I449" i="1"/>
  <c r="J23" i="1"/>
  <c r="G22" i="2" s="1"/>
  <c r="C23" i="2"/>
  <c r="D23" i="2"/>
  <c r="F23" i="2"/>
  <c r="I450" i="1"/>
  <c r="C24" i="2"/>
  <c r="D24" i="2"/>
  <c r="F24" i="2"/>
  <c r="C25" i="2"/>
  <c r="F25" i="2"/>
  <c r="C26" i="2"/>
  <c r="F26" i="2"/>
  <c r="D27" i="2"/>
  <c r="F27" i="2"/>
  <c r="C28" i="2"/>
  <c r="D28" i="2"/>
  <c r="F28" i="2"/>
  <c r="C29" i="2"/>
  <c r="D29" i="2"/>
  <c r="F29" i="2"/>
  <c r="C30" i="2"/>
  <c r="D30" i="2"/>
  <c r="F30" i="2"/>
  <c r="I451" i="1"/>
  <c r="J31" i="1"/>
  <c r="G30" i="2" s="1"/>
  <c r="C34" i="2"/>
  <c r="D34" i="2"/>
  <c r="E34" i="2"/>
  <c r="F34" i="2"/>
  <c r="C35" i="2"/>
  <c r="D35" i="2"/>
  <c r="E35" i="2"/>
  <c r="F35" i="2"/>
  <c r="I454" i="1"/>
  <c r="J49" i="1" s="1"/>
  <c r="G48" i="2"/>
  <c r="I456" i="1"/>
  <c r="J43" i="1" s="1"/>
  <c r="I457" i="1"/>
  <c r="J37" i="1"/>
  <c r="G36" i="2" s="1"/>
  <c r="G50" i="2" s="1"/>
  <c r="I459" i="1"/>
  <c r="J48" i="1" s="1"/>
  <c r="G47" i="2" s="1"/>
  <c r="C49" i="2"/>
  <c r="C50" i="2" s="1"/>
  <c r="D56" i="2"/>
  <c r="D63" i="2" s="1"/>
  <c r="F56" i="2"/>
  <c r="E57" i="2"/>
  <c r="E58" i="2"/>
  <c r="E62" i="2" s="1"/>
  <c r="E63" i="2" s="1"/>
  <c r="E104" i="2" s="1"/>
  <c r="E59" i="2"/>
  <c r="E61" i="2"/>
  <c r="C59" i="2"/>
  <c r="D59" i="2"/>
  <c r="D60" i="2"/>
  <c r="D61" i="2"/>
  <c r="D62" i="2"/>
  <c r="F59" i="2"/>
  <c r="C61" i="2"/>
  <c r="F61" i="2"/>
  <c r="C66" i="2"/>
  <c r="C67" i="2"/>
  <c r="C69" i="2"/>
  <c r="C70" i="2"/>
  <c r="D69" i="2"/>
  <c r="D70" i="2" s="1"/>
  <c r="D81" i="2" s="1"/>
  <c r="E69" i="2"/>
  <c r="E70" i="2"/>
  <c r="F69" i="2"/>
  <c r="F70" i="2" s="1"/>
  <c r="G69" i="2"/>
  <c r="G70" i="2"/>
  <c r="C72" i="2"/>
  <c r="F72" i="2"/>
  <c r="F73" i="2"/>
  <c r="F76" i="2"/>
  <c r="F78" i="2" s="1"/>
  <c r="F77" i="2"/>
  <c r="C73" i="2"/>
  <c r="C74" i="2"/>
  <c r="C75" i="2"/>
  <c r="C76" i="2"/>
  <c r="C77" i="2"/>
  <c r="C79" i="2"/>
  <c r="C80" i="2"/>
  <c r="E76" i="2"/>
  <c r="D77" i="2"/>
  <c r="D78" i="2" s="1"/>
  <c r="E77" i="2"/>
  <c r="G77" i="2"/>
  <c r="G78" i="2" s="1"/>
  <c r="G81" i="2" s="1"/>
  <c r="D79" i="2"/>
  <c r="E79" i="2"/>
  <c r="E80" i="2"/>
  <c r="E81" i="2" s="1"/>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E113" i="2"/>
  <c r="C114" i="2"/>
  <c r="D115" i="2"/>
  <c r="F115" i="2"/>
  <c r="G115" i="2"/>
  <c r="E123" i="2"/>
  <c r="E124" i="2"/>
  <c r="E125" i="2"/>
  <c r="F128" i="2"/>
  <c r="G128" i="2"/>
  <c r="D134" i="2"/>
  <c r="D144" i="2" s="1"/>
  <c r="E134" i="2"/>
  <c r="F134" i="2"/>
  <c r="K419" i="1"/>
  <c r="K427" i="1"/>
  <c r="K433" i="1"/>
  <c r="L263" i="1"/>
  <c r="C135" i="2"/>
  <c r="E135" i="2"/>
  <c r="L264" i="1"/>
  <c r="C136" i="2" s="1"/>
  <c r="L265" i="1"/>
  <c r="C137" i="2" s="1"/>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G156" i="2" s="1"/>
  <c r="E156" i="2"/>
  <c r="F156" i="2"/>
  <c r="B157" i="2"/>
  <c r="C157" i="2"/>
  <c r="D157" i="2"/>
  <c r="E157" i="2"/>
  <c r="F157" i="2"/>
  <c r="B158" i="2"/>
  <c r="C158" i="2"/>
  <c r="D158" i="2"/>
  <c r="G158" i="2" s="1"/>
  <c r="E158" i="2"/>
  <c r="F158" i="2"/>
  <c r="B159" i="2"/>
  <c r="C159" i="2"/>
  <c r="G159" i="2" s="1"/>
  <c r="D159" i="2"/>
  <c r="E159" i="2"/>
  <c r="F159" i="2"/>
  <c r="B160" i="2"/>
  <c r="C160" i="2"/>
  <c r="D160" i="2"/>
  <c r="E160" i="2"/>
  <c r="F160" i="2"/>
  <c r="F500" i="1"/>
  <c r="B161" i="2" s="1"/>
  <c r="G500" i="1"/>
  <c r="C161" i="2" s="1"/>
  <c r="H500" i="1"/>
  <c r="D161" i="2" s="1"/>
  <c r="G161" i="2" s="1"/>
  <c r="I500" i="1"/>
  <c r="E161" i="2" s="1"/>
  <c r="J500" i="1"/>
  <c r="F161" i="2" s="1"/>
  <c r="B162" i="2"/>
  <c r="C162" i="2"/>
  <c r="D162" i="2"/>
  <c r="E162" i="2"/>
  <c r="G162" i="2" s="1"/>
  <c r="F162" i="2"/>
  <c r="B163" i="2"/>
  <c r="C163" i="2"/>
  <c r="D163" i="2"/>
  <c r="G163" i="2" s="1"/>
  <c r="E163" i="2"/>
  <c r="F163" i="2"/>
  <c r="F503" i="1"/>
  <c r="B164" i="2"/>
  <c r="G503" i="1"/>
  <c r="C164" i="2" s="1"/>
  <c r="H503" i="1"/>
  <c r="D164" i="2"/>
  <c r="I503" i="1"/>
  <c r="E164" i="2" s="1"/>
  <c r="J503" i="1"/>
  <c r="F164" i="2"/>
  <c r="F19" i="1"/>
  <c r="G617" i="1" s="1"/>
  <c r="G19" i="1"/>
  <c r="H19" i="1"/>
  <c r="I19" i="1"/>
  <c r="G620" i="1" s="1"/>
  <c r="F32" i="1"/>
  <c r="F52" i="1"/>
  <c r="H617" i="1"/>
  <c r="J617" i="1" s="1"/>
  <c r="G32" i="1"/>
  <c r="H32" i="1"/>
  <c r="I32" i="1"/>
  <c r="G52" i="1"/>
  <c r="H618" i="1" s="1"/>
  <c r="H51" i="1"/>
  <c r="H52" i="1"/>
  <c r="H619" i="1"/>
  <c r="I51" i="1"/>
  <c r="I52" i="1" s="1"/>
  <c r="H620" i="1" s="1"/>
  <c r="F177" i="1"/>
  <c r="F183" i="1"/>
  <c r="F192" i="1" s="1"/>
  <c r="F188" i="1"/>
  <c r="I177" i="1"/>
  <c r="G183" i="1"/>
  <c r="G192" i="1" s="1"/>
  <c r="H183" i="1"/>
  <c r="I183" i="1"/>
  <c r="J183" i="1"/>
  <c r="J192" i="1"/>
  <c r="G188" i="1"/>
  <c r="H188" i="1"/>
  <c r="I188" i="1"/>
  <c r="I192" i="1" s="1"/>
  <c r="I193" i="1" s="1"/>
  <c r="G630" i="1" s="1"/>
  <c r="J630" i="1" s="1"/>
  <c r="H211" i="1"/>
  <c r="I211" i="1"/>
  <c r="J211" i="1"/>
  <c r="K229" i="1"/>
  <c r="K247" i="1"/>
  <c r="K256" i="1"/>
  <c r="F229" i="1"/>
  <c r="G229" i="1"/>
  <c r="I229" i="1"/>
  <c r="I247" i="1"/>
  <c r="I256" i="1"/>
  <c r="J229" i="1"/>
  <c r="F247" i="1"/>
  <c r="G247" i="1"/>
  <c r="H247" i="1"/>
  <c r="J247" i="1"/>
  <c r="F256" i="1"/>
  <c r="G256" i="1"/>
  <c r="H256" i="1"/>
  <c r="J256" i="1"/>
  <c r="F290" i="1"/>
  <c r="F338" i="1" s="1"/>
  <c r="F352" i="1" s="1"/>
  <c r="G290" i="1"/>
  <c r="H290" i="1"/>
  <c r="F309" i="1"/>
  <c r="G309" i="1"/>
  <c r="H309" i="1"/>
  <c r="I309" i="1"/>
  <c r="F328" i="1"/>
  <c r="G328" i="1"/>
  <c r="H328" i="1"/>
  <c r="I328" i="1"/>
  <c r="F337" i="1"/>
  <c r="G337" i="1"/>
  <c r="H337" i="1"/>
  <c r="I337" i="1"/>
  <c r="J337" i="1"/>
  <c r="K337" i="1"/>
  <c r="K338" i="1" s="1"/>
  <c r="K352" i="1" s="1"/>
  <c r="F362" i="1"/>
  <c r="G362" i="1"/>
  <c r="H362" i="1"/>
  <c r="I362" i="1"/>
  <c r="J362" i="1"/>
  <c r="K362" i="1"/>
  <c r="I368" i="1"/>
  <c r="F369" i="1"/>
  <c r="G369" i="1"/>
  <c r="H369" i="1"/>
  <c r="I369" i="1"/>
  <c r="H634" i="1" s="1"/>
  <c r="L381" i="1"/>
  <c r="F382" i="1"/>
  <c r="G382" i="1"/>
  <c r="H382" i="1"/>
  <c r="I382" i="1"/>
  <c r="J382" i="1"/>
  <c r="K382" i="1"/>
  <c r="F393" i="1"/>
  <c r="G393" i="1"/>
  <c r="H393" i="1"/>
  <c r="I393" i="1"/>
  <c r="F401" i="1"/>
  <c r="F408" i="1" s="1"/>
  <c r="H643" i="1" s="1"/>
  <c r="G401" i="1"/>
  <c r="H401" i="1"/>
  <c r="I401" i="1"/>
  <c r="F407" i="1"/>
  <c r="G407" i="1"/>
  <c r="H407" i="1"/>
  <c r="I407" i="1"/>
  <c r="G408" i="1"/>
  <c r="H408" i="1"/>
  <c r="I408" i="1"/>
  <c r="L413" i="1"/>
  <c r="L419" i="1" s="1"/>
  <c r="L414" i="1"/>
  <c r="L415" i="1"/>
  <c r="L416" i="1"/>
  <c r="L417" i="1"/>
  <c r="L418" i="1"/>
  <c r="F419" i="1"/>
  <c r="G419" i="1"/>
  <c r="H419" i="1"/>
  <c r="H434" i="1" s="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c r="J639" i="1" s="1"/>
  <c r="G446" i="1"/>
  <c r="H446" i="1"/>
  <c r="F452" i="1"/>
  <c r="G452" i="1"/>
  <c r="G461" i="1" s="1"/>
  <c r="H452" i="1"/>
  <c r="F460" i="1"/>
  <c r="G460" i="1"/>
  <c r="H460" i="1"/>
  <c r="F461" i="1"/>
  <c r="H639" i="1" s="1"/>
  <c r="H461" i="1"/>
  <c r="H641" i="1" s="1"/>
  <c r="J641" i="1" s="1"/>
  <c r="F470" i="1"/>
  <c r="F476" i="1" s="1"/>
  <c r="H622" i="1" s="1"/>
  <c r="F474" i="1"/>
  <c r="G622" i="1"/>
  <c r="G470" i="1"/>
  <c r="H470" i="1"/>
  <c r="I470" i="1"/>
  <c r="I476" i="1" s="1"/>
  <c r="H625" i="1" s="1"/>
  <c r="J470" i="1"/>
  <c r="J476" i="1" s="1"/>
  <c r="J474" i="1"/>
  <c r="H626" i="1"/>
  <c r="G474" i="1"/>
  <c r="G476" i="1" s="1"/>
  <c r="H623" i="1" s="1"/>
  <c r="H474" i="1"/>
  <c r="I474" i="1"/>
  <c r="K495" i="1"/>
  <c r="K496" i="1"/>
  <c r="K497" i="1"/>
  <c r="K498" i="1"/>
  <c r="K499" i="1"/>
  <c r="K501" i="1"/>
  <c r="K502" i="1"/>
  <c r="F517" i="1"/>
  <c r="G517" i="1"/>
  <c r="H517" i="1"/>
  <c r="I517" i="1"/>
  <c r="F524" i="1"/>
  <c r="G524" i="1"/>
  <c r="H524" i="1"/>
  <c r="I524" i="1"/>
  <c r="J524" i="1"/>
  <c r="K524" i="1"/>
  <c r="K529" i="1"/>
  <c r="K534" i="1"/>
  <c r="K539" i="1"/>
  <c r="K544" i="1"/>
  <c r="F529" i="1"/>
  <c r="G529" i="1"/>
  <c r="H529" i="1"/>
  <c r="H534" i="1"/>
  <c r="H539" i="1"/>
  <c r="H544" i="1"/>
  <c r="H545" i="1"/>
  <c r="I529" i="1"/>
  <c r="I545" i="1" s="1"/>
  <c r="J529" i="1"/>
  <c r="F534" i="1"/>
  <c r="F545" i="1" s="1"/>
  <c r="G534" i="1"/>
  <c r="I534" i="1"/>
  <c r="J534" i="1"/>
  <c r="F539" i="1"/>
  <c r="G539" i="1"/>
  <c r="I539" i="1"/>
  <c r="J539" i="1"/>
  <c r="J544" i="1"/>
  <c r="J545" i="1" s="1"/>
  <c r="F544" i="1"/>
  <c r="G544" i="1"/>
  <c r="I544" i="1"/>
  <c r="L557" i="1"/>
  <c r="L558" i="1"/>
  <c r="L559" i="1"/>
  <c r="F560" i="1"/>
  <c r="G560" i="1"/>
  <c r="H560" i="1"/>
  <c r="I560" i="1"/>
  <c r="I565" i="1"/>
  <c r="I571" i="1" s="1"/>
  <c r="I570" i="1"/>
  <c r="J560" i="1"/>
  <c r="K560" i="1"/>
  <c r="K571" i="1" s="1"/>
  <c r="L562" i="1"/>
  <c r="L563" i="1"/>
  <c r="L564" i="1"/>
  <c r="L565" i="1"/>
  <c r="F565" i="1"/>
  <c r="G565" i="1"/>
  <c r="H565" i="1"/>
  <c r="H570" i="1"/>
  <c r="H571" i="1" s="1"/>
  <c r="J565" i="1"/>
  <c r="K565" i="1"/>
  <c r="L567" i="1"/>
  <c r="L570" i="1" s="1"/>
  <c r="L568" i="1"/>
  <c r="L569" i="1"/>
  <c r="F570" i="1"/>
  <c r="G570" i="1"/>
  <c r="G571" i="1" s="1"/>
  <c r="J570" i="1"/>
  <c r="K570" i="1"/>
  <c r="I575" i="1"/>
  <c r="I576" i="1"/>
  <c r="I577" i="1"/>
  <c r="I578" i="1"/>
  <c r="I579" i="1"/>
  <c r="I580" i="1"/>
  <c r="I581" i="1"/>
  <c r="I582" i="1"/>
  <c r="I583" i="1"/>
  <c r="I584" i="1"/>
  <c r="I585" i="1"/>
  <c r="I586" i="1"/>
  <c r="I587" i="1"/>
  <c r="K591" i="1"/>
  <c r="K592" i="1"/>
  <c r="K593" i="1"/>
  <c r="K594" i="1"/>
  <c r="K595" i="1"/>
  <c r="K596" i="1"/>
  <c r="K597" i="1"/>
  <c r="K598" i="1"/>
  <c r="G647" i="1" s="1"/>
  <c r="J647" i="1" s="1"/>
  <c r="H647" i="1"/>
  <c r="H598" i="1"/>
  <c r="H649" i="1" s="1"/>
  <c r="I598" i="1"/>
  <c r="H650" i="1"/>
  <c r="J650" i="1" s="1"/>
  <c r="J598" i="1"/>
  <c r="H651" i="1" s="1"/>
  <c r="K602" i="1"/>
  <c r="K603" i="1"/>
  <c r="K605" i="1" s="1"/>
  <c r="G648" i="1" s="1"/>
  <c r="K604" i="1"/>
  <c r="H605" i="1"/>
  <c r="I605" i="1"/>
  <c r="J605" i="1"/>
  <c r="F614" i="1"/>
  <c r="G614" i="1"/>
  <c r="H614" i="1"/>
  <c r="I614" i="1"/>
  <c r="J614" i="1"/>
  <c r="K614" i="1"/>
  <c r="G618" i="1"/>
  <c r="G619" i="1"/>
  <c r="J619" i="1" s="1"/>
  <c r="G623" i="1"/>
  <c r="G624" i="1"/>
  <c r="J624" i="1" s="1"/>
  <c r="H627" i="1"/>
  <c r="H628" i="1"/>
  <c r="H629" i="1"/>
  <c r="H630" i="1"/>
  <c r="H631" i="1"/>
  <c r="H632" i="1"/>
  <c r="H633" i="1"/>
  <c r="G634" i="1"/>
  <c r="H635" i="1"/>
  <c r="H636" i="1"/>
  <c r="H637" i="1"/>
  <c r="H638" i="1"/>
  <c r="G640" i="1"/>
  <c r="H640" i="1"/>
  <c r="J640" i="1"/>
  <c r="G641" i="1"/>
  <c r="G643" i="1"/>
  <c r="G644" i="1"/>
  <c r="H644" i="1"/>
  <c r="J644" i="1"/>
  <c r="G645" i="1"/>
  <c r="J645" i="1" s="1"/>
  <c r="H645" i="1"/>
  <c r="G650" i="1"/>
  <c r="G651" i="1"/>
  <c r="G652" i="1"/>
  <c r="H652" i="1"/>
  <c r="G653" i="1"/>
  <c r="H653" i="1"/>
  <c r="J653" i="1" s="1"/>
  <c r="G654" i="1"/>
  <c r="J654" i="1" s="1"/>
  <c r="H654" i="1"/>
  <c r="H655" i="1"/>
  <c r="L256" i="1"/>
  <c r="C91" i="2"/>
  <c r="D31" i="2"/>
  <c r="D51" i="2" s="1"/>
  <c r="D50" i="2"/>
  <c r="F18" i="2"/>
  <c r="E103" i="2"/>
  <c r="D91" i="2"/>
  <c r="E78" i="2"/>
  <c r="J257" i="1"/>
  <c r="J271" i="1" s="1"/>
  <c r="H112" i="1"/>
  <c r="J571" i="1"/>
  <c r="I169" i="1"/>
  <c r="H476" i="1"/>
  <c r="H624" i="1"/>
  <c r="J623" i="1"/>
  <c r="G338" i="1"/>
  <c r="G352" i="1" s="1"/>
  <c r="F571" i="1"/>
  <c r="H257" i="1"/>
  <c r="H271" i="1" s="1"/>
  <c r="H140" i="1"/>
  <c r="J651" i="1"/>
  <c r="L560" i="1"/>
  <c r="H192" i="1"/>
  <c r="J655" i="1"/>
  <c r="G545" i="1"/>
  <c r="I25" i="13"/>
  <c r="C25" i="13" s="1"/>
  <c r="K500" i="1"/>
  <c r="I460" i="1"/>
  <c r="H338" i="1"/>
  <c r="H352" i="1" s="1"/>
  <c r="E109" i="2"/>
  <c r="C56" i="2"/>
  <c r="F662" i="1"/>
  <c r="I662" i="1"/>
  <c r="C25" i="10"/>
  <c r="C21" i="10"/>
  <c r="D19" i="13"/>
  <c r="C19" i="13" s="1"/>
  <c r="L539" i="1"/>
  <c r="K503" i="1"/>
  <c r="L382" i="1"/>
  <c r="G636" i="1"/>
  <c r="J636" i="1"/>
  <c r="C142" i="2"/>
  <c r="C111" i="2"/>
  <c r="H661" i="1"/>
  <c r="D29" i="13"/>
  <c r="C29" i="13"/>
  <c r="C35" i="10"/>
  <c r="G649" i="1"/>
  <c r="J649" i="1"/>
  <c r="L544" i="1"/>
  <c r="J338" i="1"/>
  <c r="J352" i="1" s="1"/>
  <c r="D127" i="2"/>
  <c r="D128" i="2"/>
  <c r="D145" i="2"/>
  <c r="C124" i="2"/>
  <c r="E16" i="13"/>
  <c r="C16" i="13" s="1"/>
  <c r="F62" i="2"/>
  <c r="F63" i="2" s="1"/>
  <c r="C23" i="10"/>
  <c r="G160" i="2"/>
  <c r="G103" i="2"/>
  <c r="F103" i="2"/>
  <c r="C103" i="2"/>
  <c r="F91" i="2"/>
  <c r="E50" i="2"/>
  <c r="E51" i="2"/>
  <c r="C31" i="2"/>
  <c r="E18" i="2"/>
  <c r="F50" i="2"/>
  <c r="H31" i="13"/>
  <c r="I338" i="1"/>
  <c r="I352" i="1" s="1"/>
  <c r="L407" i="1"/>
  <c r="C140" i="2" s="1"/>
  <c r="L571" i="1"/>
  <c r="E91" i="2"/>
  <c r="G21" i="2"/>
  <c r="J434" i="1"/>
  <c r="F434" i="1"/>
  <c r="K434" i="1"/>
  <c r="G134" i="2"/>
  <c r="G144" i="2" s="1"/>
  <c r="G31" i="13"/>
  <c r="G169" i="1"/>
  <c r="G140" i="1"/>
  <c r="F140" i="1"/>
  <c r="G63" i="2"/>
  <c r="G104" i="2" s="1"/>
  <c r="G42" i="2"/>
  <c r="G16" i="2"/>
  <c r="J620" i="1"/>
  <c r="D103" i="2"/>
  <c r="I140" i="1"/>
  <c r="A22" i="12"/>
  <c r="J652" i="1"/>
  <c r="I434" i="1"/>
  <c r="G434" i="1"/>
  <c r="I33" i="13"/>
  <c r="C51" i="2"/>
  <c r="G193" i="1"/>
  <c r="G628" i="1" s="1"/>
  <c r="J628" i="1" s="1"/>
  <c r="C38" i="10"/>
  <c r="L203" i="1"/>
  <c r="G211" i="1"/>
  <c r="G257" i="1"/>
  <c r="G271" i="1" s="1"/>
  <c r="J643" i="1" l="1"/>
  <c r="K545" i="1"/>
  <c r="F145" i="2"/>
  <c r="F31" i="2"/>
  <c r="F51" i="2" s="1"/>
  <c r="H549" i="1"/>
  <c r="H552" i="1" s="1"/>
  <c r="L534" i="1"/>
  <c r="C11" i="10"/>
  <c r="C138" i="2"/>
  <c r="L408" i="1"/>
  <c r="E130" i="2"/>
  <c r="C29" i="10"/>
  <c r="G22" i="13"/>
  <c r="C22" i="13" s="1"/>
  <c r="E114" i="2"/>
  <c r="E115" i="2" s="1"/>
  <c r="C24" i="10"/>
  <c r="J618" i="1"/>
  <c r="G164" i="2"/>
  <c r="C78" i="2"/>
  <c r="C81" i="2" s="1"/>
  <c r="K551" i="1"/>
  <c r="H193" i="1"/>
  <c r="G629" i="1" s="1"/>
  <c r="J629" i="1" s="1"/>
  <c r="J634" i="1"/>
  <c r="G157" i="2"/>
  <c r="G145" i="2"/>
  <c r="F549" i="1"/>
  <c r="L524" i="1"/>
  <c r="G663" i="1"/>
  <c r="I663" i="1" s="1"/>
  <c r="L614" i="1"/>
  <c r="L401" i="1"/>
  <c r="C139" i="2" s="1"/>
  <c r="G33" i="13"/>
  <c r="H648" i="1"/>
  <c r="J648" i="1" s="1"/>
  <c r="J51" i="1"/>
  <c r="J622" i="1"/>
  <c r="L337" i="1"/>
  <c r="F81" i="2"/>
  <c r="F104" i="2" s="1"/>
  <c r="D104" i="2"/>
  <c r="J24" i="1"/>
  <c r="I452" i="1"/>
  <c r="I461" i="1" s="1"/>
  <c r="H642" i="1" s="1"/>
  <c r="J10" i="1"/>
  <c r="I446" i="1"/>
  <c r="G642" i="1" s="1"/>
  <c r="I552" i="1"/>
  <c r="C39" i="10"/>
  <c r="L427" i="1"/>
  <c r="L434" i="1" s="1"/>
  <c r="G638" i="1" s="1"/>
  <c r="J638" i="1" s="1"/>
  <c r="L270" i="1"/>
  <c r="G625" i="1"/>
  <c r="J625" i="1" s="1"/>
  <c r="I257" i="1"/>
  <c r="I271" i="1" s="1"/>
  <c r="E137" i="2"/>
  <c r="F112" i="1"/>
  <c r="F193" i="1" s="1"/>
  <c r="G627" i="1" s="1"/>
  <c r="J627" i="1" s="1"/>
  <c r="C58" i="2"/>
  <c r="C62" i="2" s="1"/>
  <c r="C63" i="2" s="1"/>
  <c r="L328" i="1"/>
  <c r="E118" i="2"/>
  <c r="F4" i="14"/>
  <c r="L282" i="1"/>
  <c r="L301" i="1"/>
  <c r="L309" i="1" s="1"/>
  <c r="L223" i="1"/>
  <c r="C121" i="2" s="1"/>
  <c r="L215" i="1"/>
  <c r="L220" i="1"/>
  <c r="H7" i="13"/>
  <c r="L240" i="1"/>
  <c r="C17" i="10" s="1"/>
  <c r="L206" i="1"/>
  <c r="D15" i="13"/>
  <c r="C15" i="13" s="1"/>
  <c r="L225" i="1"/>
  <c r="L526" i="1"/>
  <c r="E122" i="2"/>
  <c r="D18" i="13"/>
  <c r="C18" i="13" s="1"/>
  <c r="C20" i="10"/>
  <c r="L362" i="1"/>
  <c r="F661" i="1"/>
  <c r="I661" i="1" s="1"/>
  <c r="C13" i="10"/>
  <c r="C112" i="2"/>
  <c r="H8" i="13"/>
  <c r="K211" i="1"/>
  <c r="K257" i="1" s="1"/>
  <c r="K271" i="1" s="1"/>
  <c r="B9" i="12"/>
  <c r="A13" i="12" s="1"/>
  <c r="L197" i="1"/>
  <c r="F211" i="1"/>
  <c r="F257" i="1" s="1"/>
  <c r="F271" i="1" s="1"/>
  <c r="J112" i="1"/>
  <c r="J193" i="1" s="1"/>
  <c r="L529" i="1" l="1"/>
  <c r="L545" i="1" s="1"/>
  <c r="G549" i="1"/>
  <c r="G552" i="1" s="1"/>
  <c r="G9" i="2"/>
  <c r="G18" i="2" s="1"/>
  <c r="J19" i="1"/>
  <c r="G621" i="1" s="1"/>
  <c r="C120" i="2"/>
  <c r="D12" i="13"/>
  <c r="C12" i="13" s="1"/>
  <c r="E144" i="2"/>
  <c r="C10" i="10"/>
  <c r="C109" i="2"/>
  <c r="C115" i="2" s="1"/>
  <c r="L211" i="1"/>
  <c r="D14" i="13"/>
  <c r="C14" i="13" s="1"/>
  <c r="C123" i="2"/>
  <c r="D7" i="13"/>
  <c r="C7" i="13" s="1"/>
  <c r="H33" i="13"/>
  <c r="D5" i="13"/>
  <c r="C18" i="10"/>
  <c r="H646" i="1"/>
  <c r="G637" i="1"/>
  <c r="J637" i="1" s="1"/>
  <c r="C15" i="10"/>
  <c r="D6" i="13"/>
  <c r="C6" i="13" s="1"/>
  <c r="C118" i="2"/>
  <c r="E119" i="2"/>
  <c r="E128" i="2" s="1"/>
  <c r="E145" i="2" s="1"/>
  <c r="L290" i="1"/>
  <c r="C16" i="10"/>
  <c r="C104" i="2"/>
  <c r="G23" i="2"/>
  <c r="G31" i="2" s="1"/>
  <c r="G51" i="2" s="1"/>
  <c r="J32" i="1"/>
  <c r="F552" i="1"/>
  <c r="K549" i="1"/>
  <c r="K552" i="1" s="1"/>
  <c r="C141" i="2"/>
  <c r="C144" i="2" s="1"/>
  <c r="C36" i="10"/>
  <c r="G635" i="1"/>
  <c r="J635" i="1" s="1"/>
  <c r="C27" i="10"/>
  <c r="L247" i="1"/>
  <c r="E8" i="13"/>
  <c r="J52" i="1"/>
  <c r="H621" i="1" s="1"/>
  <c r="G626" i="1"/>
  <c r="J626" i="1" s="1"/>
  <c r="G631" i="1"/>
  <c r="J631" i="1" s="1"/>
  <c r="G646" i="1"/>
  <c r="E13" i="13"/>
  <c r="C13" i="13" s="1"/>
  <c r="C122" i="2"/>
  <c r="C19" i="10"/>
  <c r="L229" i="1"/>
  <c r="J642" i="1"/>
  <c r="C128" i="2" l="1"/>
  <c r="C145" i="2"/>
  <c r="G24" i="14"/>
  <c r="H24" i="14" s="1"/>
  <c r="I24" i="14" s="1"/>
  <c r="G660" i="1"/>
  <c r="G664" i="1" s="1"/>
  <c r="J646" i="1"/>
  <c r="C8" i="13"/>
  <c r="E33" i="13"/>
  <c r="D35" i="13" s="1"/>
  <c r="C41" i="10"/>
  <c r="L338" i="1"/>
  <c r="L352" i="1" s="1"/>
  <c r="G633" i="1" s="1"/>
  <c r="J633" i="1" s="1"/>
  <c r="D31" i="13"/>
  <c r="C31" i="13" s="1"/>
  <c r="C5" i="13"/>
  <c r="D16" i="10"/>
  <c r="C28" i="10"/>
  <c r="D10" i="10"/>
  <c r="J621" i="1"/>
  <c r="H656" i="1"/>
  <c r="D19" i="10"/>
  <c r="H660" i="1"/>
  <c r="H664" i="1" s="1"/>
  <c r="G36" i="14"/>
  <c r="H36" i="14" s="1"/>
  <c r="I36" i="14" s="1"/>
  <c r="D18" i="10"/>
  <c r="G4" i="14"/>
  <c r="H4" i="14" s="1"/>
  <c r="I4" i="14" s="1"/>
  <c r="L257" i="1"/>
  <c r="L271" i="1" s="1"/>
  <c r="G632" i="1" s="1"/>
  <c r="J632" i="1" s="1"/>
  <c r="F660" i="1"/>
  <c r="F664" i="1" l="1"/>
  <c r="I660" i="1"/>
  <c r="I664" i="1" s="1"/>
  <c r="D33" i="13"/>
  <c r="D36" i="13" s="1"/>
  <c r="H667" i="1"/>
  <c r="H672" i="1"/>
  <c r="C6" i="10" s="1"/>
  <c r="D37" i="10"/>
  <c r="D40" i="10"/>
  <c r="D38" i="10"/>
  <c r="D35" i="10"/>
  <c r="D39" i="10"/>
  <c r="D22" i="10"/>
  <c r="D26" i="10"/>
  <c r="D23" i="10"/>
  <c r="D21" i="10"/>
  <c r="C30" i="10"/>
  <c r="D12" i="10"/>
  <c r="D25" i="10"/>
  <c r="D17" i="10"/>
  <c r="D13" i="10"/>
  <c r="D24" i="10"/>
  <c r="D20" i="10"/>
  <c r="D11" i="10"/>
  <c r="D28" i="10" s="1"/>
  <c r="D15" i="10"/>
  <c r="D36" i="10"/>
  <c r="G672" i="1"/>
  <c r="C5" i="10" s="1"/>
  <c r="G667" i="1"/>
  <c r="D27" i="10"/>
  <c r="D41" i="10" l="1"/>
  <c r="I667" i="1"/>
  <c r="I672" i="1"/>
  <c r="C7" i="10" s="1"/>
  <c r="F672" i="1"/>
  <c r="C4" i="10" s="1"/>
  <c r="F66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<sst xmlns="http://schemas.openxmlformats.org/spreadsheetml/2006/main" count="5516" uniqueCount="1613">
  <si>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</si>
  <si>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</si>
  <si>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</si>
  <si>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</si>
  <si>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</si>
  <si>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</si>
  <si>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</si>
  <si>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</si>
  <si>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</si>
  <si>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</si>
  <si>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</si>
  <si>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</si>
  <si>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</si>
  <si>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</si>
  <si>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</si>
  <si>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</si>
  <si>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</si>
  <si>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</si>
  <si>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</si>
  <si>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</si>
  <si>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</si>
  <si>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</si>
  <si>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</si>
  <si>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</si>
  <si>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</si>
  <si>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</si>
  <si>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</si>
  <si>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</si>
  <si>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</si>
  <si>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</si>
  <si>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</si>
  <si>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</si>
  <si>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</si>
  <si>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</si>
  <si>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</si>
  <si>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</si>
  <si>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</si>
  <si>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</si>
  <si>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</si>
  <si>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</si>
  <si>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</si>
  <si>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</si>
  <si>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</si>
  <si>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</si>
  <si>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</si>
  <si>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</si>
  <si>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</si>
  <si>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</si>
  <si>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</si>
  <si>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</si>
  <si>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</si>
  <si>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</si>
  <si>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</si>
  <si>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</si>
  <si>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</si>
  <si>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</si>
  <si>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</si>
  <si>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</si>
  <si>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</si>
  <si>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</si>
  <si>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</si>
  <si>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</si>
  <si>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</si>
  <si>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</si>
  <si>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</si>
  <si>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</si>
  <si>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</si>
  <si>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</si>
  <si>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</si>
  <si>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</si>
  <si>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</si>
  <si>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</si>
  <si>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</si>
  <si>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</si>
  <si>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</si>
  <si>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</si>
  <si>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</si>
  <si>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</si>
  <si>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</si>
  <si>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</si>
  <si>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</si>
  <si>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</si>
  <si>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</si>
  <si>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</si>
  <si>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</si>
  <si>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</si>
  <si>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</si>
  <si>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</si>
  <si>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</si>
  <si>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</si>
  <si>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</si>
  <si>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</si>
  <si>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</si>
  <si>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</si>
  <si>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</si>
  <si>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</si>
  <si>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</si>
  <si>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</si>
  <si>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</si>
  <si>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</si>
  <si>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</si>
  <si>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</si>
  <si>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</si>
  <si>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</si>
  <si>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</si>
  <si>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</si>
  <si>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</si>
  <si>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</si>
  <si>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</si>
  <si>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</si>
  <si>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</si>
  <si>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</si>
  <si>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</si>
  <si>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</si>
  <si>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</si>
  <si>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</si>
  <si>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</si>
  <si>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</si>
  <si>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</si>
  <si>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</si>
  <si>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</si>
  <si>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</si>
  <si>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</si>
  <si>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</si>
  <si>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</si>
  <si>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</si>
  <si>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</si>
  <si>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</si>
  <si>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</si>
  <si>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</si>
  <si>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</si>
  <si>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</si>
  <si>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</si>
  <si>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</si>
  <si>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</si>
  <si>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</si>
  <si>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</si>
  <si>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</si>
  <si>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</si>
  <si>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</si>
  <si>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</si>
  <si>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</si>
  <si>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</si>
  <si>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</si>
  <si>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</si>
  <si>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</si>
  <si>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</si>
  <si>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</si>
  <si>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</si>
  <si>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</si>
  <si>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</si>
  <si>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</si>
  <si>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</si>
  <si>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</si>
  <si>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</si>
  <si>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</si>
  <si>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</si>
  <si>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</si>
  <si>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</si>
  <si>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</si>
  <si>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</si>
  <si>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</si>
  <si>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</si>
  <si>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</si>
  <si>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</si>
  <si>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</si>
  <si>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</si>
  <si>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</si>
  <si>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</si>
  <si>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</si>
  <si>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</si>
  <si>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</si>
  <si>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</si>
  <si>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</si>
  <si>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</si>
  <si>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</si>
  <si>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</si>
  <si>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</si>
  <si>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</si>
  <si>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</si>
  <si>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</si>
  <si>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</si>
  <si>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</si>
  <si>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</si>
  <si>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</si>
  <si>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</si>
  <si>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</si>
  <si>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</si>
  <si>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</si>
  <si>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</si>
  <si>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</si>
  <si>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</si>
  <si>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</si>
  <si>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</si>
  <si>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</si>
  <si>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</si>
  <si>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</si>
  <si>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</si>
  <si>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</si>
  <si>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</si>
  <si>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</si>
  <si>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</si>
  <si>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</si>
  <si>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</si>
  <si>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</si>
  <si>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</si>
  <si>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</si>
  <si>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</si>
  <si>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</si>
  <si>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</si>
  <si>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</si>
  <si>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</si>
  <si>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</si>
  <si>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</si>
  <si>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</si>
  <si>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</si>
  <si>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</si>
  <si>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</si>
  <si>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</si>
  <si>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</si>
  <si>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</si>
  <si>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</si>
  <si>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</si>
  <si>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</si>
  <si>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</si>
  <si>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</si>
  <si>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</si>
  <si>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</si>
  <si>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</si>
  <si>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</si>
  <si>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</si>
  <si>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</si>
  <si>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</si>
  <si>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</si>
  <si>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</si>
  <si>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</si>
  <si>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</si>
  <si>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</si>
  <si>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</si>
  <si>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</si>
  <si>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</si>
  <si>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</si>
  <si>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</si>
  <si>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</si>
  <si>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</si>
  <si>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</si>
  <si>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</si>
  <si>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</si>
  <si>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</si>
  <si>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</si>
  <si>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</si>
  <si>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</si>
  <si>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</si>
  <si>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</si>
  <si>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</si>
  <si>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</si>
  <si>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</si>
  <si>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</si>
  <si>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</si>
  <si>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</si>
  <si>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</si>
  <si>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</si>
  <si>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</si>
  <si>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</si>
  <si>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</si>
  <si>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</si>
  <si>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</si>
  <si>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</si>
  <si>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</si>
  <si>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</si>
  <si>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</si>
  <si>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</si>
  <si>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</si>
  <si>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</si>
  <si>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</si>
  <si>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</si>
  <si>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</si>
  <si>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</si>
  <si>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</si>
  <si>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</si>
  <si>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</si>
  <si>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</si>
  <si>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</si>
  <si>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</si>
  <si>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</si>
  <si>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</si>
  <si>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</si>
  <si>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</si>
  <si>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</si>
  <si>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</si>
  <si>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</si>
  <si>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</si>
  <si>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</si>
  <si>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</si>
  <si>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</si>
  <si>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</si>
  <si>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</si>
  <si>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</si>
  <si>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</si>
  <si>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</si>
  <si>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</si>
  <si>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</si>
  <si>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</si>
  <si>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</si>
  <si>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</si>
  <si>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</si>
  <si>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</si>
  <si>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</si>
  <si>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</si>
  <si>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</si>
  <si>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</si>
  <si>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</si>
  <si>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</si>
  <si>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</si>
  <si>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</si>
  <si>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</si>
  <si>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</si>
  <si>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</si>
  <si>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</si>
  <si>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</si>
  <si>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</si>
  <si>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</si>
  <si>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</si>
  <si>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</si>
  <si>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</si>
  <si>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</si>
  <si>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</si>
  <si>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</si>
  <si>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</si>
  <si>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</si>
  <si>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</si>
  <si>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</si>
  <si>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</si>
  <si>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</si>
  <si>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</si>
  <si>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</si>
  <si>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</si>
  <si>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</si>
  <si>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</si>
  <si>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</si>
  <si>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</si>
  <si>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</si>
  <si>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</si>
  <si>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</si>
  <si>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</si>
  <si>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</si>
  <si>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</si>
  <si>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</si>
  <si>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</si>
  <si>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</si>
  <si>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</si>
  <si>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</si>
  <si>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</si>
  <si>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</si>
  <si>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</si>
  <si>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</si>
  <si>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</si>
  <si>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</si>
  <si>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</si>
  <si>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</si>
  <si>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</si>
  <si>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</si>
  <si>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</si>
  <si>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</si>
  <si>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</si>
  <si>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</si>
  <si>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</si>
  <si>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</si>
  <si>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</si>
  <si>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</si>
  <si>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</si>
  <si>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</si>
  <si>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</si>
  <si>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</si>
  <si>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</si>
  <si>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</si>
  <si>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</si>
  <si>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</si>
  <si>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</si>
  <si>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</si>
  <si>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</si>
  <si>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</si>
  <si>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</si>
  <si>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</si>
  <si>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</si>
  <si>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</si>
  <si>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</si>
  <si>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</si>
  <si>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</si>
  <si>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</si>
  <si>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</si>
  <si>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</si>
  <si>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</si>
  <si>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</si>
  <si>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</si>
  <si>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</si>
  <si>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</si>
  <si>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</si>
  <si>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</si>
  <si>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</si>
  <si>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</si>
  <si>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</si>
  <si>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</si>
  <si>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</si>
  <si>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</si>
  <si>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</si>
  <si>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</si>
  <si>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</si>
  <si>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</si>
  <si>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</si>
  <si>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</si>
  <si>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</si>
  <si>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</si>
  <si>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</si>
  <si>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</si>
  <si>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</si>
  <si>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</si>
  <si>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</si>
  <si>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</si>
  <si>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</si>
  <si>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</si>
  <si>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</si>
  <si>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</si>
  <si>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</si>
  <si>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</si>
  <si>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</si>
  <si>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</si>
  <si>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</si>
  <si>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</si>
  <si>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</si>
  <si>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</si>
  <si>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</si>
  <si>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</si>
  <si>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</si>
  <si>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</si>
  <si>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</si>
  <si>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</si>
  <si>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</si>
  <si>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</si>
  <si>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</si>
  <si>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</si>
  <si>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</si>
  <si>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</si>
  <si>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</si>
  <si>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</si>
  <si>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</si>
  <si>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</si>
  <si>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</si>
  <si>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</si>
  <si>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</si>
  <si>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</si>
  <si>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</si>
  <si>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</si>
  <si>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</si>
  <si>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</si>
  <si>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</si>
  <si>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</si>
  <si>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</si>
  <si>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</si>
  <si>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</si>
  <si>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</si>
  <si>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</si>
  <si>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</si>
  <si>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</si>
  <si>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</si>
  <si>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</si>
  <si>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</si>
  <si>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</si>
  <si>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</si>
  <si>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</si>
  <si>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</si>
  <si>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</si>
  <si>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</si>
  <si>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</si>
  <si>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</si>
  <si>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</si>
  <si>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</si>
  <si>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</si>
  <si>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</si>
  <si>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</si>
  <si>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</si>
  <si>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</si>
  <si>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</si>
  <si>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</si>
  <si>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</si>
  <si>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</si>
  <si>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</si>
  <si>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</si>
  <si>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</si>
  <si>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</si>
  <si>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</si>
  <si>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</si>
  <si>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</si>
  <si>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</si>
  <si>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</si>
  <si>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</si>
  <si>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</si>
  <si>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</si>
  <si>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</si>
  <si>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</si>
  <si>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</si>
  <si>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</si>
  <si>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</si>
  <si>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</si>
  <si>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</si>
  <si>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</si>
  <si>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</si>
  <si>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</si>
  <si>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</si>
  <si>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</si>
  <si>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</si>
  <si>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</si>
  <si>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</si>
  <si>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</si>
  <si>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</si>
  <si>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</si>
  <si>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</si>
  <si>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</si>
  <si>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</si>
  <si>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</si>
  <si>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</si>
  <si>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</si>
  <si>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</si>
  <si>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</si>
  <si>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</si>
  <si>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</si>
  <si>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</si>
  <si>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</si>
  <si>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</si>
  <si>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</si>
  <si>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</si>
  <si>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</si>
  <si>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</si>
  <si>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</si>
  <si>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</si>
  <si>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</si>
  <si>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</si>
  <si>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</si>
  <si>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</si>
  <si>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</si>
  <si>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</si>
  <si>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</si>
  <si>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</si>
  <si>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</si>
  <si>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</si>
  <si>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</si>
  <si>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</si>
  <si>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</si>
  <si>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</si>
  <si>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</si>
  <si>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</si>
  <si>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</si>
  <si>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</si>
  <si>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</si>
  <si>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</si>
  <si>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</si>
  <si>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</si>
  <si>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</si>
  <si>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</si>
  <si>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</si>
  <si>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</si>
  <si>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</si>
  <si>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</si>
  <si>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</si>
  <si>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</si>
  <si>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</si>
  <si>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</si>
  <si>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</si>
  <si>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</si>
  <si>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</si>
  <si>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</si>
  <si>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</si>
  <si>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</si>
  <si>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</si>
  <si>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</si>
  <si>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</si>
  <si>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</si>
  <si>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</si>
  <si>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</si>
  <si>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</si>
  <si>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</si>
  <si>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</si>
  <si>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</si>
  <si>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</si>
  <si>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</si>
  <si>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</si>
  <si>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</si>
  <si>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</si>
  <si>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</si>
  <si>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</si>
  <si>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</si>
  <si>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</si>
  <si>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</si>
  <si>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</si>
  <si>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</si>
  <si>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</si>
  <si>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</si>
  <si>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</si>
  <si>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</si>
  <si>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</si>
  <si>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</si>
  <si>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</si>
  <si>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</si>
  <si>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</si>
  <si>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</si>
  <si>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</si>
  <si>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</si>
  <si>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</si>
  <si>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</si>
  <si>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</si>
  <si>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</si>
  <si>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</si>
  <si>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</si>
  <si>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</si>
  <si>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</si>
  <si>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</si>
  <si>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</si>
  <si>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</si>
  <si>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</si>
  <si>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</si>
  <si>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</si>
  <si>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</si>
  <si>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</si>
  <si>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</si>
  <si>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</si>
  <si>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</si>
  <si>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</si>
  <si>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</si>
  <si>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</si>
  <si>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</si>
  <si>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</si>
  <si>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</si>
  <si>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</si>
  <si>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</si>
  <si>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</si>
  <si>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</si>
  <si>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</si>
  <si>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</si>
  <si>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</si>
  <si>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</si>
  <si>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</si>
  <si>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</si>
  <si>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</si>
  <si>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</si>
  <si>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</si>
  <si>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</si>
  <si>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</si>
  <si>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</si>
  <si>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</si>
  <si>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</si>
  <si>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</si>
  <si>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</si>
  <si>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</si>
  <si>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</si>
  <si>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</si>
  <si>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</si>
  <si>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</si>
  <si>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</si>
  <si>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</si>
  <si>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</si>
  <si>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</si>
  <si>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</si>
  <si>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</si>
  <si>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</si>
  <si>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</si>
  <si>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</si>
  <si>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</si>
  <si>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</si>
  <si>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</si>
  <si>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</si>
  <si>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</si>
  <si>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</si>
  <si>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</si>
  <si>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</si>
  <si>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</si>
  <si>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</si>
  <si>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</si>
  <si>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</si>
  <si>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</si>
  <si>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</si>
  <si>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</si>
  <si>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</si>
  <si>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</si>
  <si>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</si>
  <si>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</si>
  <si>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</si>
  <si>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</si>
  <si>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</si>
  <si>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</si>
  <si>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</si>
  <si>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</si>
  <si>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</si>
  <si>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</si>
  <si>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</si>
  <si>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</si>
  <si>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</si>
  <si>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</si>
  <si>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</si>
  <si>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</si>
  <si>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</si>
  <si>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</si>
  <si>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</si>
  <si>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</si>
  <si>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</si>
  <si>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</si>
  <si>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</si>
  <si>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</si>
  <si>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</si>
  <si>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</si>
  <si>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</si>
  <si>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</si>
  <si>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</si>
  <si>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</si>
  <si>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</si>
  <si>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</si>
  <si>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</si>
  <si>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</si>
  <si>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</si>
  <si>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</si>
  <si>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</si>
  <si>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</si>
  <si>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</si>
  <si>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</si>
  <si>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</si>
  <si>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</si>
  <si>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</si>
  <si>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</si>
  <si>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</si>
  <si>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</si>
  <si>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</si>
  <si>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</si>
  <si>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</si>
  <si>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</si>
  <si>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</si>
  <si>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</si>
  <si>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</si>
  <si>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</si>
  <si>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</si>
  <si>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</si>
  <si>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</si>
  <si>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</si>
  <si>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</si>
  <si>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</si>
  <si>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</si>
  <si>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</si>
  <si>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</si>
  <si>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</si>
  <si>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</si>
  <si>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</si>
  <si>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</si>
  <si>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</si>
  <si>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</si>
  <si>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</si>
  <si>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</si>
  <si>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</si>
  <si>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</si>
  <si>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</si>
  <si>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</si>
  <si>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</si>
  <si>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</si>
  <si>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</si>
  <si>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</si>
  <si>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</si>
  <si>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</si>
  <si>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</si>
  <si>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</si>
  <si>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</si>
  <si>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</si>
  <si>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</si>
  <si>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</si>
  <si>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</si>
  <si>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</si>
  <si>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</si>
  <si>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</si>
  <si>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</si>
  <si>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</si>
  <si>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</si>
  <si>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</si>
  <si>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</si>
  <si>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</si>
  <si>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</si>
  <si>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</si>
  <si>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</si>
  <si>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</si>
  <si>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</si>
  <si>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</si>
  <si>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</si>
  <si>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</si>
  <si>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</si>
  <si>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</si>
  <si>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</si>
  <si>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</si>
  <si>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</si>
  <si>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</si>
  <si>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</si>
  <si>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</si>
  <si>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</si>
  <si>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</si>
  <si>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</si>
  <si>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</si>
  <si>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</si>
  <si>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</si>
  <si>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</si>
  <si>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</si>
  <si>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</si>
  <si>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</si>
  <si>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</si>
  <si>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</si>
  <si>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</si>
  <si>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</si>
  <si>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</si>
  <si>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</si>
  <si>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</si>
  <si>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</si>
  <si>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</si>
  <si>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</si>
  <si>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</si>
  <si>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</si>
  <si>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</si>
  <si>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</si>
  <si>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</si>
  <si>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</si>
  <si>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</si>
  <si>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</si>
  <si>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</si>
  <si>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</si>
  <si>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</si>
  <si>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</si>
  <si>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</si>
  <si>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</si>
  <si>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</si>
  <si>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</si>
  <si>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</si>
  <si>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</si>
  <si>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</si>
  <si>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</si>
  <si>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</si>
  <si>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</si>
  <si>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</si>
  <si>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</si>
  <si>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</si>
  <si>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</si>
  <si>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</si>
  <si>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</si>
  <si>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</si>
  <si>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</si>
  <si>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</si>
  <si>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</si>
  <si>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</si>
  <si>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</si>
  <si>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</si>
  <si>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</si>
  <si>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</si>
  <si>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</si>
  <si>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</si>
  <si>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</si>
  <si>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</si>
  <si>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</si>
  <si>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</si>
  <si>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</si>
  <si>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</si>
  <si>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</si>
  <si>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</si>
  <si>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</si>
  <si>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</si>
  <si>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</si>
  <si>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</si>
  <si>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</si>
  <si>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</si>
  <si>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</si>
  <si>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</si>
  <si>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</si>
  <si>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</si>
  <si>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</si>
  <si>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</si>
  <si>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</si>
  <si>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</si>
  <si>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</si>
  <si>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</si>
  <si>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</si>
  <si>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</si>
  <si>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</si>
  <si>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</si>
  <si>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</si>
  <si>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</si>
  <si>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</si>
  <si>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</si>
  <si>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</si>
  <si>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</si>
  <si>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</si>
  <si>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</si>
  <si>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</si>
  <si>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</si>
  <si>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</si>
  <si>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</si>
  <si>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</si>
  <si>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</si>
  <si>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</si>
  <si>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</si>
  <si>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</si>
  <si>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</si>
  <si>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</si>
  <si>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</si>
  <si>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</si>
  <si>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</si>
  <si>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</si>
  <si>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</si>
  <si>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</si>
  <si>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</si>
  <si>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</si>
  <si>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</si>
  <si>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</si>
  <si>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</si>
  <si>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</si>
  <si>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</si>
  <si>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</si>
  <si>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</si>
  <si>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</si>
  <si>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</si>
  <si>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</si>
  <si>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</si>
  <si>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</si>
  <si>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</si>
  <si>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</si>
  <si>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</si>
  <si>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</si>
  <si>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</si>
  <si>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</si>
  <si>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</si>
  <si>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</si>
  <si>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</si>
  <si>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</si>
  <si>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</si>
  <si>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</si>
  <si>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</si>
  <si>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</si>
  <si>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</si>
  <si>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</si>
  <si>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</si>
  <si>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</si>
  <si>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</si>
  <si>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</si>
  <si>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</si>
  <si>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</si>
  <si>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</si>
  <si>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</si>
  <si>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</si>
  <si>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</si>
  <si>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</si>
  <si>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</si>
  <si>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</si>
  <si>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</si>
  <si>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</si>
  <si>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</si>
  <si>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</si>
  <si>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</si>
  <si>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</si>
  <si>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</si>
  <si>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</si>
  <si>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</si>
  <si>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</si>
  <si>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</si>
  <si>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</si>
  <si>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</si>
  <si>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</si>
  <si>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</si>
  <si>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</si>
  <si>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</si>
  <si>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</si>
  <si>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</si>
  <si>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</si>
  <si>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</si>
  <si>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</si>
  <si>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</si>
  <si>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</si>
  <si>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</si>
  <si>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</si>
  <si>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</si>
  <si>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</si>
  <si>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</si>
  <si>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</si>
  <si>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</si>
  <si>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</si>
  <si>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</si>
  <si>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</si>
  <si>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</si>
  <si>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</si>
  <si>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</si>
  <si>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</si>
  <si>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</si>
  <si>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</si>
  <si>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</si>
  <si>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</si>
  <si>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</si>
  <si>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</si>
  <si>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</si>
  <si>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</si>
  <si>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</si>
  <si>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</si>
  <si>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</si>
  <si>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</si>
  <si>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</si>
  <si>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</si>
  <si>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</si>
  <si>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</si>
  <si>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</si>
  <si>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</si>
  <si>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</si>
  <si>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</si>
  <si>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</si>
  <si>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</si>
  <si>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</si>
  <si>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</si>
  <si>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</si>
  <si>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</si>
  <si>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</si>
  <si>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</si>
  <si>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</si>
  <si>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</si>
  <si>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</si>
  <si>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</si>
  <si>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</si>
  <si>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</si>
  <si>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</si>
  <si>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</si>
  <si>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</si>
  <si>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</si>
  <si>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</si>
  <si>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</si>
  <si>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</si>
  <si>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</si>
  <si>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</si>
  <si>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</si>
  <si>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</si>
  <si>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</si>
  <si>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</si>
  <si>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</si>
  <si>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</si>
  <si>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</si>
  <si>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</si>
  <si>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</si>
  <si>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</si>
  <si>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</si>
  <si>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</si>
  <si>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</si>
  <si>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</si>
  <si>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</si>
  <si>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</si>
  <si>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</si>
  <si>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</si>
  <si>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</si>
  <si>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</si>
  <si>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</si>
  <si>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</si>
  <si>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</si>
  <si>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</si>
  <si>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</si>
  <si>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</si>
  <si>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</si>
  <si>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</si>
  <si>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</si>
  <si>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</si>
  <si>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</si>
  <si>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</si>
  <si>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</si>
  <si>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</si>
  <si>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</si>
  <si>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</si>
  <si>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</si>
  <si>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</si>
  <si>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</si>
  <si>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</si>
  <si>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</si>
  <si>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</si>
  <si>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</si>
  <si>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</si>
  <si>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</si>
  <si>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</si>
  <si>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</si>
  <si>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</si>
  <si>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</si>
  <si>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</si>
  <si>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</si>
  <si>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</si>
  <si>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</si>
  <si>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</si>
  <si>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</si>
  <si>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</si>
  <si>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</si>
  <si>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</si>
  <si>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</si>
  <si>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</si>
  <si>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</si>
  <si>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</si>
  <si>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</si>
  <si>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</si>
  <si>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</si>
  <si>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</si>
  <si>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</si>
  <si>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</si>
  <si>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</si>
  <si>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</si>
  <si>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</si>
  <si>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</si>
  <si>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</si>
  <si>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</si>
  <si>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</si>
  <si>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</si>
  <si>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</si>
  <si>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</si>
  <si>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</si>
  <si>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</si>
  <si>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</si>
  <si>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</si>
  <si>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</si>
  <si>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</si>
  <si>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</si>
  <si>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</si>
  <si>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</si>
  <si>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</si>
  <si>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</si>
  <si>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</si>
  <si>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</si>
  <si>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</si>
  <si>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</si>
  <si>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</si>
  <si>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</si>
  <si>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</si>
  <si>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</si>
  <si>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</si>
  <si>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</si>
  <si>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</si>
  <si>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</si>
  <si>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</si>
  <si>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</si>
  <si>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</si>
  <si>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</si>
  <si>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</si>
  <si>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</si>
  <si>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</si>
  <si>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</si>
  <si>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</si>
  <si>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</si>
  <si>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</si>
  <si>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</si>
  <si>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</si>
  <si>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</si>
  <si>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</si>
  <si>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</si>
  <si>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</si>
  <si>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</si>
  <si>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</si>
  <si>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</si>
  <si>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</si>
  <si>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</si>
  <si>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</si>
  <si>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</si>
  <si>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</si>
  <si>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</si>
  <si>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</si>
  <si>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</si>
  <si>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</si>
  <si>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</si>
  <si>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</si>
  <si>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</si>
  <si>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</si>
  <si>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</si>
  <si>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</si>
  <si>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</si>
  <si>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</si>
  <si>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</si>
  <si>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</si>
  <si>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</si>
  <si>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</si>
  <si>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</si>
  <si>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</si>
  <si>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</si>
  <si>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</si>
  <si>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</si>
  <si>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</si>
  <si>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</si>
  <si>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</si>
  <si>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</si>
  <si>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</si>
  <si>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</si>
  <si>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</si>
  <si>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</si>
  <si>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</si>
  <si>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</si>
  <si>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</si>
  <si>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</si>
  <si>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</si>
  <si>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</si>
  <si>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</si>
  <si>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</si>
  <si>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</si>
  <si>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</si>
  <si>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</si>
  <si>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</si>
  <si>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</si>
  <si>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</si>
  <si>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</si>
  <si>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</si>
  <si>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</si>
  <si>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</si>
  <si>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</si>
  <si>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</si>
  <si>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</si>
  <si>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</si>
  <si>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</si>
  <si>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</si>
  <si>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</si>
  <si>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</si>
  <si>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</si>
  <si>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</si>
  <si>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</si>
  <si>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</si>
  <si>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</si>
  <si>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</si>
  <si>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</si>
  <si>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</si>
  <si>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</si>
  <si>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</si>
  <si>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</si>
  <si>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</si>
  <si>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</si>
  <si>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</si>
  <si>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</si>
  <si>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</si>
  <si>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</si>
  <si>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</si>
  <si>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</si>
  <si>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</si>
  <si>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</si>
  <si>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</si>
  <si>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</si>
  <si>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</si>
  <si>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</si>
  <si>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</si>
  <si>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</si>
  <si>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</si>
  <si>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</si>
  <si>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</si>
  <si>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</si>
  <si>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</si>
  <si>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</si>
  <si>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</si>
  <si>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</si>
  <si>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</si>
  <si>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</si>
  <si>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</si>
  <si>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</si>
  <si>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</si>
  <si>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</si>
  <si>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</si>
  <si>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</si>
  <si>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</si>
  <si>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</si>
  <si>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</si>
  <si>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</si>
  <si>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</si>
  <si>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</si>
  <si>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</si>
  <si>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</si>
  <si>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</si>
  <si>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</si>
  <si>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</si>
  <si>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</si>
  <si>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</si>
  <si>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</si>
  <si>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</si>
  <si>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</si>
  <si>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</si>
  <si>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</si>
  <si>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</si>
  <si>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</si>
  <si>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</si>
  <si>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</si>
  <si>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</si>
  <si>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</si>
  <si>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</si>
  <si>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</si>
  <si>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</si>
  <si>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</si>
  <si>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</si>
  <si>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</si>
  <si>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</si>
  <si>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</si>
  <si>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</si>
  <si>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</si>
  <si>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</si>
  <si>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</si>
  <si>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</si>
  <si>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</si>
  <si>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</si>
  <si>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</si>
  <si>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</si>
  <si>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</si>
  <si>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</si>
  <si>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</si>
  <si>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</si>
  <si>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</si>
  <si>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</si>
  <si>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</si>
  <si>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</si>
  <si>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</si>
  <si>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</si>
  <si>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</si>
  <si>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</si>
  <si>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</si>
  <si>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</si>
  <si>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</si>
  <si>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</si>
  <si>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</si>
  <si>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</si>
  <si>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</si>
  <si>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</si>
  <si>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</si>
  <si>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</si>
  <si>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</si>
  <si>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</si>
  <si>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</si>
  <si>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</si>
  <si>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</si>
  <si>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</si>
  <si>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</si>
  <si>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</si>
  <si>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</si>
  <si>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</si>
  <si>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</si>
  <si>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</si>
  <si>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</si>
  <si>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</si>
  <si>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</si>
  <si>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</si>
  <si>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</si>
  <si>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</si>
  <si>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</si>
  <si>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</si>
  <si>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</si>
  <si>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</si>
  <si>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</si>
  <si>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</si>
  <si>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</si>
  <si>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</si>
  <si>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</si>
  <si>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</si>
  <si>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</si>
  <si>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</si>
  <si>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</si>
  <si>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</si>
  <si>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</si>
  <si>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</si>
  <si>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</si>
  <si>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</si>
  <si>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</si>
  <si>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</si>
  <si>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</si>
  <si>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</si>
  <si>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</si>
  <si>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</si>
  <si>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</si>
  <si>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</si>
  <si>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</si>
  <si>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</si>
  <si>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</si>
  <si>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</si>
  <si>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</si>
  <si>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</si>
  <si>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</si>
  <si>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</si>
  <si>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</si>
  <si>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</si>
  <si>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</si>
  <si>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</si>
  <si>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</si>
  <si>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</si>
  <si>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</si>
  <si>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</si>
  <si>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</si>
  <si>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</si>
  <si>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</si>
  <si>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</si>
  <si>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</si>
  <si>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</si>
  <si>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</si>
  <si>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</si>
  <si>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</si>
  <si>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</si>
  <si>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</si>
  <si>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</si>
  <si>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</si>
  <si>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</si>
  <si>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</si>
  <si>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</si>
  <si>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</si>
  <si>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</si>
  <si>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</si>
  <si>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</si>
  <si>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</si>
  <si>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</si>
  <si>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</si>
  <si>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</si>
  <si>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</si>
  <si>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</si>
  <si>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</si>
  <si>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</si>
  <si>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</si>
  <si>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</si>
  <si>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</si>
  <si>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</si>
  <si>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</si>
  <si>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</si>
  <si>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</si>
  <si>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</si>
  <si>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</si>
  <si>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</si>
  <si>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</si>
  <si>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</si>
  <si>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</si>
  <si>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</si>
  <si>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</si>
  <si>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</si>
  <si>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</si>
  <si>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</si>
  <si>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</si>
  <si>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</si>
  <si>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</si>
  <si>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</si>
  <si>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</si>
  <si>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</si>
  <si>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</si>
  <si>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</si>
  <si>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</si>
  <si>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</si>
  <si>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</si>
  <si>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</si>
  <si>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</si>
  <si>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</si>
  <si>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</si>
  <si>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</si>
  <si>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</si>
  <si>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</si>
  <si>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</si>
  <si>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</si>
  <si>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</si>
  <si>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</si>
  <si>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</si>
  <si>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</si>
  <si>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</si>
  <si>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</si>
  <si>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</si>
  <si>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</si>
  <si>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</si>
  <si>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</si>
  <si>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</si>
  <si>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</si>
  <si>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</si>
  <si>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</si>
  <si>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</si>
  <si>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</si>
  <si>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</si>
  <si>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</si>
  <si>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</si>
  <si>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</si>
  <si>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</si>
  <si>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</si>
  <si>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</si>
  <si>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</si>
  <si>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</si>
  <si>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</si>
  <si>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</si>
  <si>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</si>
  <si>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</si>
  <si>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</si>
  <si>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</si>
  <si>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</si>
  <si>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</si>
  <si>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</si>
  <si>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</si>
  <si>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</si>
  <si>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</si>
  <si>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</si>
  <si>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</si>
  <si>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</si>
  <si>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</si>
  <si>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</si>
  <si>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</si>
  <si>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</si>
  <si>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</si>
  <si>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</si>
  <si>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</si>
  <si>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</si>
  <si>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</si>
  <si>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</si>
  <si>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</si>
  <si>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</si>
  <si>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</si>
  <si>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</si>
  <si>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</si>
  <si>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</si>
  <si>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</si>
  <si>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</si>
  <si>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</si>
  <si>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</si>
  <si>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</si>
  <si>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</si>
  <si>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</si>
  <si>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</si>
  <si>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</si>
  <si>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</si>
  <si>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</si>
  <si>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</si>
  <si>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</si>
  <si>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</si>
  <si>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</si>
  <si>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</si>
  <si>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</si>
  <si>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</si>
  <si>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</si>
  <si>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</si>
  <si>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</si>
  <si>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</si>
  <si>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</si>
  <si>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</si>
  <si>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</si>
  <si>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</si>
  <si>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</si>
  <si>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</si>
  <si>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</si>
  <si>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</si>
  <si>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</si>
  <si>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</si>
  <si>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</si>
  <si>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</si>
  <si>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</si>
  <si>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</si>
  <si>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</si>
  <si>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</si>
  <si>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</si>
  <si>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</si>
  <si>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</si>
  <si>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</si>
  <si>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</si>
  <si>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</si>
  <si>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</si>
  <si>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</si>
  <si>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</si>
  <si>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</si>
  <si>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</si>
  <si>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</si>
  <si>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</si>
  <si>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</si>
  <si>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</si>
  <si>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</si>
  <si>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</si>
  <si>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</si>
  <si>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</si>
  <si>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</si>
  <si>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</si>
  <si>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</si>
  <si>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</si>
  <si>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</si>
  <si>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</si>
  <si>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</si>
  <si>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</si>
  <si>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</si>
  <si>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</si>
  <si>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</si>
  <si>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</si>
  <si>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</si>
  <si>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</si>
  <si>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</si>
  <si>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</si>
  <si>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</si>
  <si>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</si>
  <si>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</si>
  <si>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</si>
  <si>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</si>
  <si>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</si>
  <si>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</si>
  <si>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</si>
  <si>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</si>
  <si>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</si>
  <si>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</si>
  <si>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</si>
  <si>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</si>
  <si>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</si>
  <si>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</si>
  <si>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</si>
  <si>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</si>
  <si>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</si>
  <si>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</si>
  <si>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</si>
  <si>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</si>
  <si>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</si>
  <si>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</si>
  <si>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</si>
  <si>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</si>
  <si>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</si>
  <si>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</si>
  <si>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</si>
  <si>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</si>
  <si>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</si>
  <si>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</si>
  <si>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</si>
  <si>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</si>
  <si>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</si>
  <si>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</si>
  <si>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</si>
  <si>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12/02</t>
  </si>
  <si>
    <t>10/22</t>
  </si>
  <si>
    <t>Barrington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</si>
</sst>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5"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u/>
      <sz val="8"/>
      <color theme="10"/>
      <name val="Arial"/>
    </font>
    <font>
      <u/>
      <sz val="8"/>
      <color theme="11"/>
      <name val="Arial"/>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auto="1"/>
      </bottom>
      <diagonal/>
    </border>
    <border>
      <left/>
      <right/>
      <top/>
      <bottom style="medium">
        <color auto="1"/>
      </bottom>
      <diagonal/>
    </border>
    <border>
      <left/>
      <right/>
      <top style="double">
        <color auto="1"/>
      </top>
      <bottom/>
      <diagonal/>
    </border>
    <border>
      <left/>
      <right/>
      <top style="double">
        <color auto="1"/>
      </top>
      <bottom style="double">
        <color auto="1"/>
      </bottom>
      <diagonal/>
    </border>
    <border>
      <left/>
      <right/>
      <top style="thin">
        <color auto="1"/>
      </top>
      <bottom/>
      <diagonal/>
    </border>
    <border>
      <left/>
      <right/>
      <top/>
      <bottom style="double">
        <color auto="1"/>
      </bottom>
      <diagonal/>
    </border>
    <border>
      <left/>
      <right/>
      <top style="medium">
        <color auto="1"/>
      </top>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style="thin">
        <color auto="1"/>
      </top>
      <bottom/>
      <diagonal/>
    </border>
    <border>
      <left/>
      <right style="thin">
        <color auto="1"/>
      </right>
      <top/>
      <bottom style="thick">
        <color auto="1"/>
      </bottom>
      <diagonal/>
    </border>
    <border>
      <left/>
      <right style="thick">
        <color auto="1"/>
      </right>
      <top/>
      <bottom style="thick">
        <color auto="1"/>
      </bottom>
      <diagonal/>
    </border>
    <border>
      <left style="thick">
        <color auto="1"/>
      </left>
      <right/>
      <top style="thick">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5">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3" fillId="0" borderId="0" applyNumberFormat="0" applyFill="0" applyBorder="0" applyAlignment="0" applyProtection="0"/>
    <xf numFmtId="0" fontId="64" fillId="0" borderId="0" applyNumberFormat="0" applyFill="0" applyBorder="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5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50" zoomScaleNormal="150" zoomScalePageLayoutView="150" workbookViewId="0">
      <pane xSplit="5" ySplit="3" topLeftCell="F651" activePane="bottomRight" state="frozen"/>
      <selection pane="topRight" activeCell="F1" sqref="F1"/>
      <selection pane="bottomLeft" activeCell="A4" sqref="A4"/>
      <selection pane="bottomRight" activeCell="H669" sqref="H669"/>
    </sheetView>
  </sheetViews>
  <sheetFormatPr defaultColWidth="9"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1612</v>
      </c>
      <c r="B2" s="21">
        <v>33</v>
      </c>
      <c r="C2" s="21">
        <v>33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1255109.02</v>
      </c>
      <c r="G9" s="18"/>
      <c r="H9" s="18">
        <v>541139.81000000006</v>
      </c>
      <c r="I9" s="18"/>
      <c r="J9" s="67">
        <f>SUM(I439)</f>
        <v>1387867.59</v>
      </c>
      <c r="K9" s="24" t="s">
        <v>288</v>
      </c>
      <c r="L9" s="24" t="s">
        <v>288</v>
      </c>
      <c r="M9" s="8"/>
      <c r="N9" s="266"/>
    </row>
    <row r="10" spans="1:14" s="3" customFormat="1" ht="12.2" customHeight="1" x14ac:dyDescent="0.15">
      <c r="A10" s="1" t="s">
        <v>562</v>
      </c>
      <c r="B10" s="2" t="s">
        <v>289</v>
      </c>
      <c r="C10" s="6">
        <v>2</v>
      </c>
      <c r="D10" s="2" t="s">
        <v>428</v>
      </c>
      <c r="E10" s="6">
        <v>110</v>
      </c>
      <c r="F10" s="18">
        <v>6964.31</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103498.75</v>
      </c>
      <c r="G12" s="18">
        <v>48064.12</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t="s">
        <v>286</v>
      </c>
      <c r="G13" s="18">
        <v>5873.38</v>
      </c>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73622.53</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1439194.61</v>
      </c>
      <c r="G19" s="41">
        <f>SUM(G9:G18)</f>
        <v>53937.5</v>
      </c>
      <c r="H19" s="41">
        <f>SUM(H9:H18)</f>
        <v>541139.81000000006</v>
      </c>
      <c r="I19" s="41">
        <f>SUM(I9:I18)</f>
        <v>0</v>
      </c>
      <c r="J19" s="41">
        <f>SUM(J9:J18)</f>
        <v>1387867.59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137023.46+48064.12</f>
        <v>185087.58</v>
      </c>
      <c r="G22" s="18">
        <v>41031.25</v>
      </c>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t="s">
        <v>286</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137787.53+24479.92+45131.26+74033.93+6890.74-83.11+3067.68+51.5+3031.16+6964.31</f>
        <v>301354.92</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9015.2099999999991</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486442.5</v>
      </c>
      <c r="G32" s="41">
        <f>SUM(G22:G31)</f>
        <v>50046.46</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73622.53</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v>3891.04</v>
      </c>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452722</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541139.81000000006</v>
      </c>
      <c r="I48" s="18"/>
      <c r="J48" s="13">
        <f>SUM(I459)</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1387867.59</v>
      </c>
      <c r="K49" s="24"/>
      <c r="L49" s="24"/>
      <c r="M49" s="8"/>
      <c r="N49" s="266"/>
    </row>
    <row r="50" spans="1:14" s="3" customFormat="1" ht="12.2" customHeight="1" thickBot="1" x14ac:dyDescent="0.2">
      <c r="A50" s="29" t="s">
        <v>840</v>
      </c>
      <c r="B50" s="2" t="s">
        <v>289</v>
      </c>
      <c r="C50" s="71">
        <v>35</v>
      </c>
      <c r="D50" s="2" t="s">
        <v>653</v>
      </c>
      <c r="E50" s="6">
        <v>770</v>
      </c>
      <c r="F50" s="18">
        <v>276407.58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952752.1100000001</v>
      </c>
      <c r="G51" s="41">
        <f>SUM(G35:G50)</f>
        <v>3891.04</v>
      </c>
      <c r="H51" s="41">
        <f>SUM(H35:H50)</f>
        <v>541139.81000000006</v>
      </c>
      <c r="I51" s="41">
        <f>SUM(I35:I50)</f>
        <v>0</v>
      </c>
      <c r="J51" s="41">
        <f>SUM(J35:J50)</f>
        <v>1387867.59</v>
      </c>
      <c r="K51" s="45" t="s">
        <v>288</v>
      </c>
      <c r="L51" s="45" t="s">
        <v>288</v>
      </c>
      <c r="N51" s="264"/>
    </row>
    <row r="52" spans="1:14" s="3" customFormat="1" ht="12.2" customHeight="1" thickTop="1" x14ac:dyDescent="0.15">
      <c r="A52" s="38" t="s">
        <v>455</v>
      </c>
      <c r="B52" s="39" t="s">
        <v>289</v>
      </c>
      <c r="C52" s="6">
        <v>37</v>
      </c>
      <c r="D52" s="39" t="s">
        <v>653</v>
      </c>
      <c r="E52" s="39"/>
      <c r="F52" s="41">
        <f>F51+F32</f>
        <v>1439194.61</v>
      </c>
      <c r="G52" s="41">
        <f>G51+G32</f>
        <v>53937.5</v>
      </c>
      <c r="H52" s="41">
        <f>H51+H32</f>
        <v>541139.81000000006</v>
      </c>
      <c r="I52" s="41">
        <f>I51+I32</f>
        <v>0</v>
      </c>
      <c r="J52" s="41">
        <f>J51+J32</f>
        <v>1387867.59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16032076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16032076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62841</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14191.18</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77032.179999999993</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25383.59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198614.59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42941.04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42941.04</v>
      </c>
      <c r="G111" s="41">
        <f>SUM(G96:G110)</f>
        <v>198614.59</v>
      </c>
      <c r="H111" s="41">
        <f>SUM(H96:H110)</f>
        <v>0</v>
      </c>
      <c r="I111" s="41">
        <f>SUM(I96:I110)</f>
        <v>0</v>
      </c>
      <c r="J111" s="41">
        <f>SUM(J96:J110)</f>
        <v>25383.59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16152049.219999999</v>
      </c>
      <c r="G112" s="41">
        <f>G60+G111</f>
        <v>198614.59</v>
      </c>
      <c r="H112" s="41">
        <f>H60+H79+H94+H111</f>
        <v>0</v>
      </c>
      <c r="I112" s="41">
        <f>I60+I111</f>
        <v>0</v>
      </c>
      <c r="J112" s="41">
        <f>J60+J111</f>
        <v>25383.59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4034056.69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2076793.98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9819.57</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6120670.2400000002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231529.27</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t="s">
        <v>286</v>
      </c>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109715.76</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97431.78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3880.87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f>48015.97-9819.57</f>
        <v>38196.400000000001</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476873.20999999996</v>
      </c>
      <c r="G136" s="41">
        <f>SUM(G123:G135)</f>
        <v>3880.87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6597543.4500000002</v>
      </c>
      <c r="G140" s="41">
        <f>G121+SUM(G136:G137)</f>
        <v>3880.87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79307.3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53610.43+1599</f>
        <v>55209.43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82930.539999999994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312830.90000000002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169727.39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169727.39</v>
      </c>
      <c r="G162" s="41">
        <f>SUM(G150:G161)</f>
        <v>82930.539999999994</v>
      </c>
      <c r="H162" s="41">
        <f>SUM(H150:H161)</f>
        <v>447347.63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169727.39</v>
      </c>
      <c r="G169" s="41">
        <f>G147+G162+SUM(G163:G168)</f>
        <v>82930.539999999994</v>
      </c>
      <c r="H169" s="41">
        <f>H147+H162+SUM(H163:H168)</f>
        <v>447347.63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15233.32</v>
      </c>
      <c r="H179" s="18"/>
      <c r="I179" s="18"/>
      <c r="J179" s="18">
        <v>150000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v>100000</v>
      </c>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100000</v>
      </c>
      <c r="G183" s="41">
        <f>SUM(G179:G182)</f>
        <v>15233.32</v>
      </c>
      <c r="H183" s="41">
        <f>SUM(H179:H182)</f>
        <v>0</v>
      </c>
      <c r="I183" s="41">
        <f>SUM(I179:I182)</f>
        <v>0</v>
      </c>
      <c r="J183" s="41">
        <f>SUM(J179:J182)</f>
        <v>150000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100000</v>
      </c>
      <c r="G192" s="41">
        <f>G183+SUM(G188:G191)</f>
        <v>15233.32</v>
      </c>
      <c r="H192" s="41">
        <f>+H183+SUM(H188:H191)</f>
        <v>0</v>
      </c>
      <c r="I192" s="41">
        <f>I177+I183+SUM(I188:I191)</f>
        <v>0</v>
      </c>
      <c r="J192" s="41">
        <f>J183</f>
        <v>150000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23019320.059999999</v>
      </c>
      <c r="G193" s="47">
        <f>G112+G140+G169+G192</f>
        <v>300659.32</v>
      </c>
      <c r="H193" s="47">
        <f>H112+H140+H169+H192</f>
        <v>447347.63</v>
      </c>
      <c r="I193" s="47">
        <f>I112+I140+I169+I192</f>
        <v>0</v>
      </c>
      <c r="J193" s="47">
        <f>J112+J140+J192</f>
        <v>175383.59</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1408919.43+12529+40332.5+295949.94+127610.71+18132+90203.45</f>
        <v>1993677.0299999998</v>
      </c>
      <c r="G197" s="18">
        <f>449255+12189.14+900+3284.95+113989.56+245048.64+9178.31+9369.24+121703.12+2112.13+399+1033.36+32548.28+66207.67+44277.9</f>
        <v>1111496.3</v>
      </c>
      <c r="H197" s="18">
        <f>389.99+3693.28</f>
        <v>4083.2700000000004</v>
      </c>
      <c r="I197" s="18">
        <f>13642.1+979.64+12182+481.86+17096.82+990.31+4361.24+509.64+467.94+2745.57+4004.05+293.63+2848.13+195.87+3248.43+489.29+412.25+2329.83+29596.94</f>
        <v>96875.54</v>
      </c>
      <c r="J197" s="18"/>
      <c r="K197" s="18"/>
      <c r="L197" s="19">
        <f>SUM(F197:K197)</f>
        <v>3206132.14</v>
      </c>
      <c r="M197" s="8"/>
      <c r="N197" s="266"/>
    </row>
    <row r="198" spans="1:14" s="3" customFormat="1" ht="12.2" customHeight="1" x14ac:dyDescent="0.15">
      <c r="A198" s="1" t="s">
        <v>439</v>
      </c>
      <c r="B198" s="2" t="s">
        <v>341</v>
      </c>
      <c r="C198" s="2" t="s">
        <v>291</v>
      </c>
      <c r="D198" s="2" t="s">
        <v>431</v>
      </c>
      <c r="E198" s="6">
        <v>1200</v>
      </c>
      <c r="F198" s="18">
        <f>261005.64+286640.59+342+4716.75+41015.57+110823.63+1224+22407.5+14695.13+10000</f>
        <v>752870.80999999994</v>
      </c>
      <c r="G198" s="18">
        <f>203047.82+3448.1+774+1596.14+40771.71+77988.74+55936.29+237+528.95+13830.5+19489.62+1201.86</f>
        <v>418850.73</v>
      </c>
      <c r="H198" s="18">
        <f>55452.93+22580+2370.34+40555.63</f>
        <v>120958.9</v>
      </c>
      <c r="I198" s="18">
        <f>5711.66+2891.87+1464.06+408.02</f>
        <v>10475.609999999999</v>
      </c>
      <c r="J198" s="18">
        <f>1039.81+4672.8+562.97+3975.4+968.92</f>
        <v>11219.900000000001</v>
      </c>
      <c r="K198" s="18"/>
      <c r="L198" s="19">
        <f>SUM(F198:K198)</f>
        <v>1314375.95</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91499.98+60897.98+26346.62+61250.28+22750+71349.2+108843.84+50504.43</f>
        <v>493442.33</v>
      </c>
      <c r="G202" s="18">
        <f>4779.34+979.04+72+235+7163.24+15897.48+4208.72+1069.82+72+264.04+4550+10592.48+11719.72+36+66.04+1404.32+2993.85+36+152.47+4550.26+10653.7+5616.16+32339.85+51556.51+34179.33</f>
        <v>205187.37</v>
      </c>
      <c r="H202" s="18">
        <f>65+14997.49</f>
        <v>15062.49</v>
      </c>
      <c r="I202" s="18">
        <f>490.97+95.47+768.19+522.2+294.71+155.05+890.09+522.2+2031.23+841.01+184.79</f>
        <v>6795.9100000000008</v>
      </c>
      <c r="J202" s="18"/>
      <c r="K202" s="18">
        <f>4438.87</f>
        <v>4438.87</v>
      </c>
      <c r="L202" s="19">
        <f t="shared" ref="L202:L208" si="0">SUM(F202:K202)</f>
        <v>724926.97</v>
      </c>
      <c r="M202" s="8"/>
      <c r="N202" s="266"/>
    </row>
    <row r="203" spans="1:14" s="3" customFormat="1" ht="12.2" customHeight="1" x14ac:dyDescent="0.15">
      <c r="A203" s="1" t="s">
        <v>443</v>
      </c>
      <c r="B203" s="2" t="s">
        <v>341</v>
      </c>
      <c r="C203" s="2" t="s">
        <v>295</v>
      </c>
      <c r="D203" s="2" t="s">
        <v>431</v>
      </c>
      <c r="E203" s="6">
        <v>2200</v>
      </c>
      <c r="F203" s="18">
        <f>65834.08+53999.92+47064.68</f>
        <v>166898.68</v>
      </c>
      <c r="G203" s="18">
        <f>18631.58+485.98+36+163.9+4729.66+11451.1+25154.68+2123+36+134.58+3819.14+9392.58+17032.75</f>
        <v>93190.950000000012</v>
      </c>
      <c r="H203" s="18">
        <f>70843.28+15042.27</f>
        <v>85885.55</v>
      </c>
      <c r="I203" s="18">
        <f>731.93+6910.63+3669.51+2879.72+2649+988.83+1014.85</f>
        <v>18844.47</v>
      </c>
      <c r="J203" s="18">
        <f>739+16846.68+1105.15+6027.56+3125.67+80+1202.81+1682.07+3013.15</f>
        <v>33822.090000000004</v>
      </c>
      <c r="K203" s="18">
        <f>17706.18</f>
        <v>17706.18</v>
      </c>
      <c r="L203" s="19">
        <f t="shared" si="0"/>
        <v>416347.92000000004</v>
      </c>
      <c r="M203" s="8"/>
      <c r="N203" s="266"/>
    </row>
    <row r="204" spans="1:14" s="3" customFormat="1" ht="12.2" customHeight="1" x14ac:dyDescent="0.15">
      <c r="A204" s="1" t="s">
        <v>444</v>
      </c>
      <c r="B204" s="2" t="s">
        <v>341</v>
      </c>
      <c r="C204" s="2" t="s">
        <v>296</v>
      </c>
      <c r="D204" s="2" t="s">
        <v>431</v>
      </c>
      <c r="E204" s="6">
        <v>2300</v>
      </c>
      <c r="F204" s="18">
        <f>2213.33+89657.53+56800.87</f>
        <v>148671.73000000001</v>
      </c>
      <c r="G204" s="18">
        <f>82.88+67224.06+10659.47</f>
        <v>77966.41</v>
      </c>
      <c r="H204" s="18">
        <f>16480.54+6680.12</f>
        <v>23160.66</v>
      </c>
      <c r="I204" s="18">
        <f>1780.39</f>
        <v>1780.39</v>
      </c>
      <c r="J204" s="18">
        <f>905.46</f>
        <v>905.46</v>
      </c>
      <c r="K204" s="18">
        <f>3214.89+2404.72</f>
        <v>5619.61</v>
      </c>
      <c r="L204" s="19">
        <f t="shared" si="0"/>
        <v>258104.26</v>
      </c>
      <c r="M204" s="8"/>
      <c r="N204" s="266"/>
    </row>
    <row r="205" spans="1:14" s="3" customFormat="1" ht="12.2" customHeight="1" x14ac:dyDescent="0.15">
      <c r="A205" s="1" t="s">
        <v>445</v>
      </c>
      <c r="B205" s="2" t="s">
        <v>341</v>
      </c>
      <c r="C205" s="2" t="s">
        <v>297</v>
      </c>
      <c r="D205" s="2" t="s">
        <v>431</v>
      </c>
      <c r="E205" s="6">
        <v>2400</v>
      </c>
      <c r="F205" s="18">
        <f>96483.92+82599.92+69264+31969.6</f>
        <v>280317.44</v>
      </c>
      <c r="G205" s="18">
        <f>62801.98+2301.7+144+618.36+17653.74+38971.4+9969.9-0.12+36+79.56+1040+3638.18</f>
        <v>137254.69999999998</v>
      </c>
      <c r="H205" s="18">
        <f>945+7774.43+1500+184.5+179.85+3998.55+500+385+402.52</f>
        <v>15869.850000000002</v>
      </c>
      <c r="I205" s="18">
        <f>1002.05+8703.05+398.99+195.36</f>
        <v>10299.449999999999</v>
      </c>
      <c r="J205" s="18">
        <f>560+6229.23</f>
        <v>6789.23</v>
      </c>
      <c r="K205" s="18">
        <f>560</f>
        <v>560</v>
      </c>
      <c r="L205" s="19">
        <f t="shared" si="0"/>
        <v>451090.67</v>
      </c>
      <c r="M205" s="8"/>
      <c r="N205" s="266"/>
    </row>
    <row r="206" spans="1:14" s="3" customFormat="1" ht="12.2" customHeight="1" x14ac:dyDescent="0.15">
      <c r="A206" s="1" t="s">
        <v>446</v>
      </c>
      <c r="B206" s="2" t="s">
        <v>341</v>
      </c>
      <c r="C206" s="2" t="s">
        <v>298</v>
      </c>
      <c r="D206" s="2" t="s">
        <v>431</v>
      </c>
      <c r="E206" s="6">
        <v>2500</v>
      </c>
      <c r="F206" s="18">
        <f>SUM(77168+44824)/3</f>
        <v>40664</v>
      </c>
      <c r="G206" s="18">
        <f>SUM(43786.26+2301.7+72+303.76+8992.62+13882.7)/3</f>
        <v>23113.013333333336</v>
      </c>
      <c r="H206" s="18">
        <f>SUM(200+15264.09+500+300)/3</f>
        <v>5421.3633333333337</v>
      </c>
      <c r="I206" s="18">
        <f>1252.28/3</f>
        <v>417.42666666666668</v>
      </c>
      <c r="J206" s="18"/>
      <c r="K206" s="18"/>
      <c r="L206" s="19">
        <f t="shared" si="0"/>
        <v>69615.80333333333</v>
      </c>
      <c r="M206" s="8"/>
      <c r="N206" s="266"/>
    </row>
    <row r="207" spans="1:14" s="3" customFormat="1" ht="12.2" customHeight="1" x14ac:dyDescent="0.15">
      <c r="A207" s="1" t="s">
        <v>447</v>
      </c>
      <c r="B207" s="2" t="s">
        <v>341</v>
      </c>
      <c r="C207" s="2" t="s">
        <v>299</v>
      </c>
      <c r="D207" s="2" t="s">
        <v>431</v>
      </c>
      <c r="E207" s="6">
        <v>2600</v>
      </c>
      <c r="F207" s="18">
        <f>125204.52+12135+15369.31+90789.28</f>
        <v>243498.11000000002</v>
      </c>
      <c r="G207" s="18">
        <f>32487.24+1585.19+126+268.15+11556.72+14755.32+33020.79</f>
        <v>93799.41</v>
      </c>
      <c r="H207" s="18">
        <f>774.55+1003+14427.11+1514.67+4565.5+3928.67+38807.89+720+1158+8782.95+1514.68+3573.75+1484.66+6307.06+360+10840.53+59487.89+2617.61+11794.25</f>
        <v>173662.76999999996</v>
      </c>
      <c r="I207" s="18">
        <f>16903.85+38356.67+43105.07+11119.62+15666.6+11845+2316.82</f>
        <v>139313.63</v>
      </c>
      <c r="J207" s="18">
        <f>19905+5286.87</f>
        <v>25191.87</v>
      </c>
      <c r="K207" s="18"/>
      <c r="L207" s="19">
        <f t="shared" si="0"/>
        <v>675465.78999999992</v>
      </c>
      <c r="M207" s="8"/>
      <c r="N207" s="266"/>
    </row>
    <row r="208" spans="1:14" s="3" customFormat="1" ht="12.2" customHeight="1" x14ac:dyDescent="0.15">
      <c r="A208" s="1" t="s">
        <v>448</v>
      </c>
      <c r="B208" s="2" t="s">
        <v>341</v>
      </c>
      <c r="C208" s="2" t="s">
        <v>300</v>
      </c>
      <c r="D208" s="2" t="s">
        <v>431</v>
      </c>
      <c r="E208" s="6">
        <v>2700</v>
      </c>
      <c r="F208" s="18"/>
      <c r="G208" s="18"/>
      <c r="H208" s="18">
        <f>212156.38+84149.26+4000+87389.84+1691.88+12000</f>
        <v>401387.36</v>
      </c>
      <c r="I208" s="18"/>
      <c r="J208" s="18"/>
      <c r="K208" s="18"/>
      <c r="L208" s="19">
        <f t="shared" si="0"/>
        <v>401387.36</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4120040.13</v>
      </c>
      <c r="G211" s="41">
        <f t="shared" si="1"/>
        <v>2160858.8833333333</v>
      </c>
      <c r="H211" s="41">
        <f t="shared" si="1"/>
        <v>845492.21333333338</v>
      </c>
      <c r="I211" s="41">
        <f t="shared" si="1"/>
        <v>284802.4266666667</v>
      </c>
      <c r="J211" s="41">
        <f t="shared" si="1"/>
        <v>77928.55</v>
      </c>
      <c r="K211" s="41">
        <f t="shared" si="1"/>
        <v>28324.66</v>
      </c>
      <c r="L211" s="41">
        <f t="shared" si="1"/>
        <v>7517446.8633333333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1513351.61+42418.29+90203.46</f>
        <v>1645973.36</v>
      </c>
      <c r="G215" s="18">
        <f>344191.33+10946.03+1008+3727.74+117519.78+263142.18+9178.3+44277.9</f>
        <v>793991.26000000013</v>
      </c>
      <c r="H215" s="18">
        <f>7272.07+754.56+266.85</f>
        <v>8293.48</v>
      </c>
      <c r="I215" s="18">
        <f>12859.48+1993.18+3811.2+307.29+1471.92+5564.9+4612.58+1706.26+926.92+2706.91+645.43+307.84+1292.17+6633.61+29593.95</f>
        <v>74433.64</v>
      </c>
      <c r="J215" s="18">
        <f>405.97</f>
        <v>405.97</v>
      </c>
      <c r="K215" s="18">
        <f>3134</f>
        <v>3134</v>
      </c>
      <c r="L215" s="19">
        <f>SUM(F215:K215)</f>
        <v>2526231.7100000004</v>
      </c>
      <c r="M215" s="8"/>
      <c r="N215" s="266"/>
    </row>
    <row r="216" spans="1:14" s="3" customFormat="1" ht="12.2" customHeight="1" x14ac:dyDescent="0.15">
      <c r="A216" s="1" t="s">
        <v>439</v>
      </c>
      <c r="B216" s="2" t="s">
        <v>346</v>
      </c>
      <c r="C216" s="2" t="s">
        <v>291</v>
      </c>
      <c r="D216" s="2" t="s">
        <v>431</v>
      </c>
      <c r="E216" s="6">
        <v>1200</v>
      </c>
      <c r="F216" s="18">
        <f>268807.08+384743.33+1114+4747.5+14695.13+10000</f>
        <v>684107.04</v>
      </c>
      <c r="G216" s="18">
        <f>176187.43+2708.86+813+1694.32+47810.02+87881.11+1201.86</f>
        <v>318296.59999999998</v>
      </c>
      <c r="H216" s="18">
        <f>50742.08+18046.5+40555.63</f>
        <v>109344.20999999999</v>
      </c>
      <c r="I216" s="18">
        <f>968.92</f>
        <v>968.92</v>
      </c>
      <c r="J216" s="18">
        <f>4680.41+1585.61+2480.83+5140.92</f>
        <v>13887.769999999999</v>
      </c>
      <c r="K216" s="18"/>
      <c r="L216" s="19">
        <f>SUM(F216:K216)</f>
        <v>1126604.54</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f>13000+32000</f>
        <v>45000</v>
      </c>
      <c r="G218" s="18">
        <f>994.51+1951.82+3239.66+4363.64+6830</f>
        <v>17379.63</v>
      </c>
      <c r="H218" s="18"/>
      <c r="I218" s="18">
        <f>4750.19</f>
        <v>4750.1899999999996</v>
      </c>
      <c r="J218" s="18"/>
      <c r="K218" s="18">
        <f>790</f>
        <v>790</v>
      </c>
      <c r="L218" s="19">
        <f>SUM(F218:K218)</f>
        <v>67919.820000000007</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99054.63+53999.92+23703.81+22750+71349.2+108843.85+50504.44</f>
        <v>430205.85000000003</v>
      </c>
      <c r="G220" s="18">
        <f>57019.62+1053.44+72+252.7+7197.84+17215.72+50100.64+36+134.58+4437.14+9392.58+24+51.96+1813.28+2687.97+5616.16+32339.85+51556.5+34179.32</f>
        <v>275181.3</v>
      </c>
      <c r="H220" s="18">
        <f>130+14997.5</f>
        <v>15127.5</v>
      </c>
      <c r="I220" s="18">
        <f>432.98+26.98+1385.27+522.35+2031.22+841.01+784.79</f>
        <v>6024.6</v>
      </c>
      <c r="J220" s="18"/>
      <c r="K220" s="18">
        <f>4438.88</f>
        <v>4438.88</v>
      </c>
      <c r="L220" s="19">
        <f t="shared" ref="L220:L226" si="2">SUM(F220:K220)</f>
        <v>730978.13</v>
      </c>
      <c r="M220" s="8"/>
      <c r="N220" s="266"/>
    </row>
    <row r="221" spans="1:14" s="3" customFormat="1" ht="12.2" customHeight="1" x14ac:dyDescent="0.15">
      <c r="A221" s="1" t="s">
        <v>443</v>
      </c>
      <c r="B221" s="2" t="s">
        <v>346</v>
      </c>
      <c r="C221" s="2" t="s">
        <v>295</v>
      </c>
      <c r="D221" s="2" t="s">
        <v>431</v>
      </c>
      <c r="E221" s="6">
        <v>2200</v>
      </c>
      <c r="F221" s="18">
        <f>60999.9+53999.92+47064.68</f>
        <v>162064.5</v>
      </c>
      <c r="G221" s="18">
        <f>18631.58+485.94+36+149.9+4573.14+10610.18+25154.68+36+134.58+3779.36+9392.58+17032.75</f>
        <v>90016.69</v>
      </c>
      <c r="H221" s="18">
        <f>70843.28+15042.28</f>
        <v>85885.56</v>
      </c>
      <c r="I221" s="18">
        <f>748.52+5435.21+2837.51+1352.25+8779.7</f>
        <v>19153.190000000002</v>
      </c>
      <c r="J221" s="18">
        <f>967.11+38245.8+889.63+2237.62+1682.06</f>
        <v>44022.22</v>
      </c>
      <c r="K221" s="18">
        <f>17706.18</f>
        <v>17706.18</v>
      </c>
      <c r="L221" s="19">
        <f t="shared" si="2"/>
        <v>418848.34</v>
      </c>
      <c r="M221" s="8"/>
      <c r="N221" s="266"/>
    </row>
    <row r="222" spans="1:14" s="3" customFormat="1" ht="12.2" customHeight="1" x14ac:dyDescent="0.15">
      <c r="A222" s="1" t="s">
        <v>444</v>
      </c>
      <c r="B222" s="2" t="s">
        <v>346</v>
      </c>
      <c r="C222" s="2" t="s">
        <v>296</v>
      </c>
      <c r="D222" s="2" t="s">
        <v>431</v>
      </c>
      <c r="E222" s="6">
        <v>2300</v>
      </c>
      <c r="F222" s="18">
        <f>2213.33+89657.53+56800.87</f>
        <v>148671.73000000001</v>
      </c>
      <c r="G222" s="18">
        <f>82.88+67224.06+10659.47</f>
        <v>77966.41</v>
      </c>
      <c r="H222" s="18">
        <f>16480.54+6680.12</f>
        <v>23160.66</v>
      </c>
      <c r="I222" s="18">
        <f>1780.39</f>
        <v>1780.39</v>
      </c>
      <c r="J222" s="18">
        <f>905.46</f>
        <v>905.46</v>
      </c>
      <c r="K222" s="18">
        <f>3214.89+2404.72</f>
        <v>5619.61</v>
      </c>
      <c r="L222" s="19">
        <f t="shared" si="2"/>
        <v>258104.26</v>
      </c>
      <c r="M222" s="8"/>
      <c r="N222" s="266"/>
    </row>
    <row r="223" spans="1:14" s="3" customFormat="1" ht="12.2" customHeight="1" x14ac:dyDescent="0.15">
      <c r="A223" s="1" t="s">
        <v>445</v>
      </c>
      <c r="B223" s="2" t="s">
        <v>346</v>
      </c>
      <c r="C223" s="2" t="s">
        <v>297</v>
      </c>
      <c r="D223" s="2" t="s">
        <v>431</v>
      </c>
      <c r="E223" s="6">
        <v>2400</v>
      </c>
      <c r="F223" s="18">
        <f>93349.88+70000.06+55157.96</f>
        <v>218507.9</v>
      </c>
      <c r="G223" s="18">
        <f>25945.96+1094.21+120+503.8+16979.29+33933.38</f>
        <v>78576.639999999985</v>
      </c>
      <c r="H223" s="18">
        <f>23929+1500+1398.82</f>
        <v>26827.82</v>
      </c>
      <c r="I223" s="18">
        <f>63.99+92</f>
        <v>155.99</v>
      </c>
      <c r="J223" s="18">
        <f>13421.7</f>
        <v>13421.7</v>
      </c>
      <c r="K223" s="18">
        <f>1120+650</f>
        <v>1770</v>
      </c>
      <c r="L223" s="19">
        <f t="shared" si="2"/>
        <v>339260.05</v>
      </c>
      <c r="M223" s="8"/>
      <c r="N223" s="266"/>
    </row>
    <row r="224" spans="1:14" s="3" customFormat="1" ht="12.2" customHeight="1" x14ac:dyDescent="0.15">
      <c r="A224" s="1" t="s">
        <v>446</v>
      </c>
      <c r="B224" s="2" t="s">
        <v>346</v>
      </c>
      <c r="C224" s="2" t="s">
        <v>298</v>
      </c>
      <c r="D224" s="2" t="s">
        <v>431</v>
      </c>
      <c r="E224" s="6">
        <v>2500</v>
      </c>
      <c r="F224" s="18">
        <f>SUM(77168+44824)/3</f>
        <v>40664</v>
      </c>
      <c r="G224" s="18">
        <f>SUM(43786.26+2301.7+72+303.76+8992.62+13882.7)/3</f>
        <v>23113.013333333336</v>
      </c>
      <c r="H224" s="18">
        <f>SUM(200+15264.09+500+300)/3</f>
        <v>5421.3633333333337</v>
      </c>
      <c r="I224" s="18">
        <f>1252.28/3</f>
        <v>417.42666666666668</v>
      </c>
      <c r="J224" s="18"/>
      <c r="K224" s="18"/>
      <c r="L224" s="19">
        <f t="shared" si="2"/>
        <v>69615.80333333333</v>
      </c>
      <c r="M224" s="8"/>
      <c r="N224" s="266"/>
    </row>
    <row r="225" spans="1:14" s="3" customFormat="1" ht="12.2" customHeight="1" x14ac:dyDescent="0.15">
      <c r="A225" s="1" t="s">
        <v>447</v>
      </c>
      <c r="B225" s="2" t="s">
        <v>346</v>
      </c>
      <c r="C225" s="2" t="s">
        <v>299</v>
      </c>
      <c r="D225" s="2" t="s">
        <v>431</v>
      </c>
      <c r="E225" s="6">
        <v>2600</v>
      </c>
      <c r="F225" s="18">
        <f>125204.32+90789.28</f>
        <v>215993.60000000001</v>
      </c>
      <c r="G225" s="18">
        <f>32487.26+1585.29+126+268.13+9393.36+13324.33+33020.79</f>
        <v>90205.16</v>
      </c>
      <c r="H225" s="18">
        <f>857.85+650+927+24060.94+1514.67+3030.5+3928.67+90407.1+1499.5+10840.54+59487.89+11794.25</f>
        <v>208998.91000000003</v>
      </c>
      <c r="I225" s="18">
        <f>27535.86+116182.94+54105.71+18740.15+360+2317.61</f>
        <v>219242.26999999996</v>
      </c>
      <c r="J225" s="18">
        <f>19905+5286.87</f>
        <v>25191.87</v>
      </c>
      <c r="K225" s="18"/>
      <c r="L225" s="19">
        <f t="shared" si="2"/>
        <v>759631.80999999994</v>
      </c>
      <c r="M225" s="8"/>
      <c r="N225" s="266"/>
    </row>
    <row r="226" spans="1:14" s="3" customFormat="1" ht="12.2" customHeight="1" x14ac:dyDescent="0.15">
      <c r="A226" s="1" t="s">
        <v>448</v>
      </c>
      <c r="B226" s="2" t="s">
        <v>346</v>
      </c>
      <c r="C226" s="2" t="s">
        <v>300</v>
      </c>
      <c r="D226" s="2" t="s">
        <v>431</v>
      </c>
      <c r="E226" s="6">
        <v>2700</v>
      </c>
      <c r="F226" s="18"/>
      <c r="G226" s="18"/>
      <c r="H226" s="18">
        <f>211748.45+87555.71+5926.46+5394.82+12000</f>
        <v>322625.44000000006</v>
      </c>
      <c r="I226" s="18"/>
      <c r="J226" s="18"/>
      <c r="K226" s="18"/>
      <c r="L226" s="19">
        <f t="shared" si="2"/>
        <v>322625.44000000006</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3591187.9800000004</v>
      </c>
      <c r="G229" s="41">
        <f>SUM(G215:G228)</f>
        <v>1764726.7033333331</v>
      </c>
      <c r="H229" s="41">
        <f>SUM(H215:H228)</f>
        <v>805684.94333333336</v>
      </c>
      <c r="I229" s="41">
        <f>SUM(I215:I228)</f>
        <v>326926.61666666664</v>
      </c>
      <c r="J229" s="41">
        <f>SUM(J215:J228)</f>
        <v>97834.989999999991</v>
      </c>
      <c r="K229" s="41">
        <f t="shared" si="3"/>
        <v>33458.67</v>
      </c>
      <c r="L229" s="41">
        <f t="shared" si="3"/>
        <v>6619819.9033333333</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f>2420975.34+1402364.28+2712960.9</f>
        <v>6536300.5199999996</v>
      </c>
      <c r="I233" s="18"/>
      <c r="J233" s="18"/>
      <c r="K233" s="18"/>
      <c r="L233" s="19">
        <f>SUM(F233:K233)</f>
        <v>6536300.5199999996</v>
      </c>
      <c r="M233" s="8"/>
      <c r="N233" s="266"/>
    </row>
    <row r="234" spans="1:14" s="3" customFormat="1" ht="12.2" customHeight="1" x14ac:dyDescent="0.15">
      <c r="A234" s="1" t="s">
        <v>439</v>
      </c>
      <c r="B234" s="2" t="s">
        <v>350</v>
      </c>
      <c r="C234" s="2" t="s">
        <v>291</v>
      </c>
      <c r="D234" s="2" t="s">
        <v>431</v>
      </c>
      <c r="E234" s="6">
        <v>1200</v>
      </c>
      <c r="F234" s="18"/>
      <c r="G234" s="18"/>
      <c r="H234" s="18">
        <f>249824.76+73740+625341.45</f>
        <v>948906.21</v>
      </c>
      <c r="I234" s="18"/>
      <c r="J234" s="18">
        <f>124.88+337.96</f>
        <v>462.84</v>
      </c>
      <c r="K234" s="18"/>
      <c r="L234" s="19">
        <f>SUM(F234:K234)</f>
        <v>949369.04999999993</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f>2213.33+89657.53+56800.87</f>
        <v>148671.73000000001</v>
      </c>
      <c r="G240" s="18">
        <f>82.88+67224.06+10659.47</f>
        <v>77966.41</v>
      </c>
      <c r="H240" s="18">
        <f>16480.54+6680.12</f>
        <v>23160.66</v>
      </c>
      <c r="I240" s="18">
        <f>1780.39</f>
        <v>1780.39</v>
      </c>
      <c r="J240" s="18">
        <f>905.46</f>
        <v>905.46</v>
      </c>
      <c r="K240" s="18">
        <f>3214.89+2404.72</f>
        <v>5619.61</v>
      </c>
      <c r="L240" s="19">
        <f t="shared" si="4"/>
        <v>258104.26</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f>SUM(77168+44824)/3</f>
        <v>40664</v>
      </c>
      <c r="G242" s="18">
        <f>SUM(43786.26+2301.7+72+303.76+8992.62+13882.7)/3</f>
        <v>23113.013333333336</v>
      </c>
      <c r="H242" s="18">
        <f>SUM(200+15264.09+500+300)/3</f>
        <v>5421.3633333333337</v>
      </c>
      <c r="I242" s="18">
        <f>1252.28/3</f>
        <v>417.42666666666668</v>
      </c>
      <c r="J242" s="18"/>
      <c r="K242" s="18"/>
      <c r="L242" s="19">
        <f t="shared" si="4"/>
        <v>69615.80333333333</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f>237135.53+91524.84+12000</f>
        <v>340660.37</v>
      </c>
      <c r="I244" s="18"/>
      <c r="J244" s="18"/>
      <c r="K244" s="18"/>
      <c r="L244" s="19">
        <f t="shared" si="4"/>
        <v>340660.37</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189335.73</v>
      </c>
      <c r="G247" s="41">
        <f t="shared" si="5"/>
        <v>101079.42333333334</v>
      </c>
      <c r="H247" s="41">
        <f t="shared" si="5"/>
        <v>7854449.1233333331</v>
      </c>
      <c r="I247" s="41">
        <f t="shared" si="5"/>
        <v>2197.8166666666666</v>
      </c>
      <c r="J247" s="41">
        <f t="shared" si="5"/>
        <v>1368.3</v>
      </c>
      <c r="K247" s="41">
        <f t="shared" si="5"/>
        <v>5619.61</v>
      </c>
      <c r="L247" s="41">
        <f t="shared" si="5"/>
        <v>8154050.0033333329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7900563.8400000008</v>
      </c>
      <c r="G257" s="41">
        <f t="shared" si="8"/>
        <v>4026665.01</v>
      </c>
      <c r="H257" s="41">
        <f t="shared" si="8"/>
        <v>9505626.2799999993</v>
      </c>
      <c r="I257" s="41">
        <f t="shared" si="8"/>
        <v>613926.86</v>
      </c>
      <c r="J257" s="41">
        <f t="shared" si="8"/>
        <v>177131.83999999997</v>
      </c>
      <c r="K257" s="41">
        <f t="shared" si="8"/>
        <v>67402.94</v>
      </c>
      <c r="L257" s="41">
        <f t="shared" si="8"/>
        <v>22291316.77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710000</v>
      </c>
      <c r="L260" s="19">
        <f>SUM(F260:K260)</f>
        <v>710000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151407.5</v>
      </c>
      <c r="L261" s="19">
        <f>SUM(F261:K261)</f>
        <v>151407.5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15233.32</v>
      </c>
      <c r="L263" s="19">
        <f>SUM(F263:K263)</f>
        <v>15233.32</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150000</v>
      </c>
      <c r="L266" s="19">
        <f t="shared" si="9"/>
        <v>150000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1026640.82</v>
      </c>
      <c r="L270" s="41">
        <f t="shared" si="9"/>
        <v>1026640.82</v>
      </c>
      <c r="N270" s="264"/>
    </row>
    <row r="271" spans="1:14" s="3" customFormat="1" ht="12.2" customHeight="1" thickTop="1" x14ac:dyDescent="0.2">
      <c r="A271" s="43" t="s">
        <v>464</v>
      </c>
      <c r="B271" s="40">
        <v>10</v>
      </c>
      <c r="C271" s="40">
        <v>18</v>
      </c>
      <c r="D271" s="39" t="s">
        <v>431</v>
      </c>
      <c r="E271" s="40"/>
      <c r="F271" s="42">
        <f t="shared" ref="F271:L271" si="11">F257+F270</f>
        <v>7900563.8400000008</v>
      </c>
      <c r="G271" s="42">
        <f t="shared" si="11"/>
        <v>4026665.01</v>
      </c>
      <c r="H271" s="42">
        <f t="shared" si="11"/>
        <v>9505626.2799999993</v>
      </c>
      <c r="I271" s="42">
        <f t="shared" si="11"/>
        <v>613926.86</v>
      </c>
      <c r="J271" s="42">
        <f t="shared" si="11"/>
        <v>177131.83999999997</v>
      </c>
      <c r="K271" s="42">
        <f t="shared" si="11"/>
        <v>1094043.76</v>
      </c>
      <c r="L271" s="42">
        <f t="shared" si="11"/>
        <v>23317957.59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65788.2+4316</f>
        <v>70104.2</v>
      </c>
      <c r="G276" s="18">
        <f>330.18</f>
        <v>330.18</v>
      </c>
      <c r="H276" s="18">
        <f>589+12500+3240.68</f>
        <v>16329.68</v>
      </c>
      <c r="I276" s="18">
        <f>1034.24+2034+303.92</f>
        <v>3372.16</v>
      </c>
      <c r="J276" s="18"/>
      <c r="K276" s="18">
        <v>25</v>
      </c>
      <c r="L276" s="19">
        <f>SUM(F276:K276)</f>
        <v>90161.22</v>
      </c>
      <c r="M276" s="8"/>
      <c r="N276" s="266"/>
    </row>
    <row r="277" spans="1:14" s="3" customFormat="1" ht="12.2" customHeight="1" x14ac:dyDescent="0.15">
      <c r="A277" s="1" t="s">
        <v>439</v>
      </c>
      <c r="B277" s="2" t="s">
        <v>357</v>
      </c>
      <c r="C277" s="2" t="s">
        <v>291</v>
      </c>
      <c r="D277" s="2" t="s">
        <v>431</v>
      </c>
      <c r="E277" s="6">
        <v>1200</v>
      </c>
      <c r="F277" s="18">
        <f>SUM(101000+39999.96+37500.04)/2</f>
        <v>89250</v>
      </c>
      <c r="G277" s="18">
        <f>SUM(7703.16+4000+20799.5+3024.06+7464.86+2676.7+6957.62+17567.8+6510.14)/2</f>
        <v>38351.919999999998</v>
      </c>
      <c r="H277" s="18">
        <f>SUM(50000+1727+1631+6+9.08)/2</f>
        <v>26686.54</v>
      </c>
      <c r="I277" s="18"/>
      <c r="J277" s="18"/>
      <c r="K277" s="18"/>
      <c r="L277" s="19">
        <f>SUM(F277:K277)</f>
        <v>154288.46</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f>SUM(13750+9951)/2</f>
        <v>11850.5</v>
      </c>
      <c r="G282" s="18">
        <f>SUM(670+1519)/2</f>
        <v>1094.5</v>
      </c>
      <c r="H282" s="18">
        <f>SUM(13811.36+1599+250+5900.06)/2</f>
        <v>10780.210000000001</v>
      </c>
      <c r="I282" s="18">
        <f>SUM(300+859.07)/2</f>
        <v>579.53500000000008</v>
      </c>
      <c r="J282" s="18"/>
      <c r="K282" s="18"/>
      <c r="L282" s="19">
        <f t="shared" si="12"/>
        <v>24304.744999999999</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171204.7</v>
      </c>
      <c r="G290" s="42">
        <f t="shared" si="13"/>
        <v>39776.6</v>
      </c>
      <c r="H290" s="42">
        <f t="shared" si="13"/>
        <v>53796.43</v>
      </c>
      <c r="I290" s="42">
        <f t="shared" si="13"/>
        <v>3951.6949999999997</v>
      </c>
      <c r="J290" s="42">
        <f t="shared" si="13"/>
        <v>0</v>
      </c>
      <c r="K290" s="42">
        <f t="shared" si="13"/>
        <v>25</v>
      </c>
      <c r="L290" s="41">
        <f t="shared" si="13"/>
        <v>268754.42499999999</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f>SUM(101000+39999.96+37500.04)/2</f>
        <v>89250</v>
      </c>
      <c r="G296" s="18">
        <f>SUM(7703.16+4000+20799.5+3024.06+7464.86+2676.7+6957.62+17567.8+6510.14)/2</f>
        <v>38351.919999999998</v>
      </c>
      <c r="H296" s="18">
        <f>SUM(50000+1727+1631+6+9.08)/2</f>
        <v>26686.54</v>
      </c>
      <c r="I296" s="18"/>
      <c r="J296" s="18"/>
      <c r="K296" s="18"/>
      <c r="L296" s="19">
        <f>SUM(F296:K296)</f>
        <v>154288.46</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f>SUM(13750+9951)/2</f>
        <v>11850.5</v>
      </c>
      <c r="G301" s="18">
        <f>SUM(670+1519)/2</f>
        <v>1094.5</v>
      </c>
      <c r="H301" s="18">
        <f>SUM(13811.36+1599+250+5900.06)/2</f>
        <v>10780.210000000001</v>
      </c>
      <c r="I301" s="18">
        <f>SUM(300+859.07)/2</f>
        <v>579.53500000000008</v>
      </c>
      <c r="J301" s="18"/>
      <c r="K301" s="18"/>
      <c r="L301" s="19">
        <f t="shared" si="14"/>
        <v>24304.744999999999</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101100.5</v>
      </c>
      <c r="G309" s="42">
        <f t="shared" si="15"/>
        <v>39446.42</v>
      </c>
      <c r="H309" s="42">
        <f t="shared" si="15"/>
        <v>37466.75</v>
      </c>
      <c r="I309" s="42">
        <f t="shared" si="15"/>
        <v>579.53500000000008</v>
      </c>
      <c r="J309" s="42">
        <f t="shared" si="15"/>
        <v>0</v>
      </c>
      <c r="K309" s="42">
        <f t="shared" si="15"/>
        <v>0</v>
      </c>
      <c r="L309" s="41">
        <f t="shared" si="15"/>
        <v>178593.20499999999</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272305.2</v>
      </c>
      <c r="G338" s="41">
        <f t="shared" si="20"/>
        <v>79223.01999999999</v>
      </c>
      <c r="H338" s="41">
        <f t="shared" si="20"/>
        <v>91263.18</v>
      </c>
      <c r="I338" s="41">
        <f t="shared" si="20"/>
        <v>4531.2299999999996</v>
      </c>
      <c r="J338" s="41">
        <f t="shared" si="20"/>
        <v>0</v>
      </c>
      <c r="K338" s="41">
        <f t="shared" si="20"/>
        <v>25</v>
      </c>
      <c r="L338" s="41">
        <f t="shared" si="20"/>
        <v>447347.63</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t="s">
        <v>286</v>
      </c>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272305.2</v>
      </c>
      <c r="G352" s="41">
        <f>G338</f>
        <v>79223.01999999999</v>
      </c>
      <c r="H352" s="41">
        <f>H338</f>
        <v>91263.18</v>
      </c>
      <c r="I352" s="41">
        <f>I338</f>
        <v>4531.2299999999996</v>
      </c>
      <c r="J352" s="41">
        <f>J338</f>
        <v>0</v>
      </c>
      <c r="K352" s="47">
        <f>K338+K351</f>
        <v>25</v>
      </c>
      <c r="L352" s="41">
        <f>L338+L351</f>
        <v>447347.63</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f>SUM(296776+2650.71+1055.46)/2</f>
        <v>150241.08500000002</v>
      </c>
      <c r="I358" s="18"/>
      <c r="J358" s="18"/>
      <c r="K358" s="18">
        <v>88.58</v>
      </c>
      <c r="L358" s="13">
        <f>SUM(F358:K358)</f>
        <v>150329.66500000001</v>
      </c>
      <c r="N358" s="264"/>
      <c r="R358" s="3"/>
      <c r="S358" s="3"/>
      <c r="T358" s="3"/>
      <c r="U358" s="3"/>
      <c r="V358" s="3"/>
    </row>
    <row r="359" spans="1:22" s="3" customFormat="1" ht="12.2" customHeight="1" x14ac:dyDescent="0.15">
      <c r="A359" s="1" t="s">
        <v>542</v>
      </c>
      <c r="B359" s="2" t="s">
        <v>366</v>
      </c>
      <c r="C359" s="6">
        <v>2</v>
      </c>
      <c r="D359" s="2" t="s">
        <v>431</v>
      </c>
      <c r="E359" s="6"/>
      <c r="F359" s="18"/>
      <c r="G359" s="18"/>
      <c r="H359" s="18">
        <f>SUM(296776+2650.71+1055.46)/2</f>
        <v>150241.08500000002</v>
      </c>
      <c r="I359" s="18"/>
      <c r="J359" s="18"/>
      <c r="K359" s="18">
        <v>88.57</v>
      </c>
      <c r="L359" s="19">
        <f>SUM(F359:K359)</f>
        <v>150329.65500000003</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300482.17000000004</v>
      </c>
      <c r="I362" s="47">
        <f t="shared" si="22"/>
        <v>0</v>
      </c>
      <c r="J362" s="47">
        <f t="shared" si="22"/>
        <v>0</v>
      </c>
      <c r="K362" s="47">
        <f t="shared" si="22"/>
        <v>177.14999999999998</v>
      </c>
      <c r="L362" s="47">
        <f t="shared" si="22"/>
        <v>300659.32000000007</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v>150000</v>
      </c>
      <c r="H388" s="18">
        <v>4674.34</v>
      </c>
      <c r="I388" s="18"/>
      <c r="J388" s="24" t="s">
        <v>288</v>
      </c>
      <c r="K388" s="24" t="s">
        <v>288</v>
      </c>
      <c r="L388" s="56">
        <f t="shared" si="25"/>
        <v>154674.34</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150000</v>
      </c>
      <c r="H393" s="139">
        <f>SUM(H387:H392)</f>
        <v>4674.34</v>
      </c>
      <c r="I393" s="65">
        <f>SUM(I387:I392)</f>
        <v>0</v>
      </c>
      <c r="J393" s="45" t="s">
        <v>288</v>
      </c>
      <c r="K393" s="45" t="s">
        <v>288</v>
      </c>
      <c r="L393" s="47">
        <f>SUM(L387:L392)</f>
        <v>154674.34</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v>7175.07</v>
      </c>
      <c r="I397" s="18"/>
      <c r="J397" s="24" t="s">
        <v>288</v>
      </c>
      <c r="K397" s="24" t="s">
        <v>288</v>
      </c>
      <c r="L397" s="56">
        <f t="shared" si="26"/>
        <v>7175.07</v>
      </c>
      <c r="M397" s="8"/>
      <c r="N397" s="266"/>
    </row>
    <row r="398" spans="1:14" s="3" customFormat="1" ht="12.2" customHeight="1" x14ac:dyDescent="0.15">
      <c r="A398" s="79" t="s">
        <v>558</v>
      </c>
      <c r="B398" s="2" t="s">
        <v>381</v>
      </c>
      <c r="C398" s="6">
        <v>11</v>
      </c>
      <c r="D398" s="2" t="s">
        <v>432</v>
      </c>
      <c r="E398" s="6"/>
      <c r="F398" s="18"/>
      <c r="G398" s="18"/>
      <c r="H398" s="18">
        <v>12283.71</v>
      </c>
      <c r="I398" s="18"/>
      <c r="J398" s="24" t="s">
        <v>288</v>
      </c>
      <c r="K398" s="24" t="s">
        <v>288</v>
      </c>
      <c r="L398" s="56">
        <f t="shared" si="26"/>
        <v>12283.71</v>
      </c>
      <c r="M398" s="8"/>
      <c r="N398" s="266"/>
    </row>
    <row r="399" spans="1:14" s="3" customFormat="1" ht="12.2" customHeight="1" x14ac:dyDescent="0.15">
      <c r="A399" s="79" t="s">
        <v>559</v>
      </c>
      <c r="B399" s="2" t="s">
        <v>381</v>
      </c>
      <c r="C399" s="6">
        <v>12</v>
      </c>
      <c r="D399" s="2" t="s">
        <v>432</v>
      </c>
      <c r="E399" s="6"/>
      <c r="F399" s="18"/>
      <c r="G399" s="18"/>
      <c r="H399" s="18">
        <v>1250.47</v>
      </c>
      <c r="I399" s="18"/>
      <c r="J399" s="24" t="s">
        <v>288</v>
      </c>
      <c r="K399" s="24" t="s">
        <v>288</v>
      </c>
      <c r="L399" s="56">
        <f t="shared" si="26"/>
        <v>1250.47</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20709.25</v>
      </c>
      <c r="I401" s="47">
        <f>SUM(I395:I400)</f>
        <v>0</v>
      </c>
      <c r="J401" s="45" t="s">
        <v>288</v>
      </c>
      <c r="K401" s="45" t="s">
        <v>288</v>
      </c>
      <c r="L401" s="47">
        <f>SUM(L395:L400)</f>
        <v>20709.25</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150000</v>
      </c>
      <c r="H408" s="47">
        <f>H393+H401+H407</f>
        <v>25383.59</v>
      </c>
      <c r="I408" s="47">
        <f>I393+I401+I407</f>
        <v>0</v>
      </c>
      <c r="J408" s="24" t="s">
        <v>288</v>
      </c>
      <c r="K408" s="24" t="s">
        <v>288</v>
      </c>
      <c r="L408" s="47">
        <f>L393+L401+L407</f>
        <v>175383.59</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1387867.59</v>
      </c>
      <c r="G439" s="18"/>
      <c r="H439" s="18"/>
      <c r="I439" s="56">
        <f t="shared" ref="I439:I445" si="33">SUM(F439:H439)</f>
        <v>1387867.59</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1387867.59</v>
      </c>
      <c r="G446" s="13">
        <f>SUM(G439:G445)</f>
        <v>0</v>
      </c>
      <c r="H446" s="13">
        <f>SUM(H439:H445)</f>
        <v>0</v>
      </c>
      <c r="I446" s="13">
        <f>SUM(I439:I445)</f>
        <v>1387867.59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v>1387867.59</v>
      </c>
      <c r="G454" s="18"/>
      <c r="H454" s="18"/>
      <c r="I454" s="56">
        <f t="shared" ref="I454:I459" si="34">SUM(F454:H454)</f>
        <v>1387867.59</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1387867.59</v>
      </c>
      <c r="G460" s="83">
        <f>SUM(G454:G459)</f>
        <v>0</v>
      </c>
      <c r="H460" s="83">
        <f>SUM(H454:H459)</f>
        <v>0</v>
      </c>
      <c r="I460" s="83">
        <f>SUM(I454:I459)</f>
        <v>1387867.59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1387867.59</v>
      </c>
      <c r="G461" s="42">
        <f>G452+G460</f>
        <v>0</v>
      </c>
      <c r="H461" s="42">
        <f>H452+H460</f>
        <v>0</v>
      </c>
      <c r="I461" s="42">
        <f>I452+I460</f>
        <v>1387867.59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1156086.04</v>
      </c>
      <c r="G465" s="18">
        <v>3891.04</v>
      </c>
      <c r="H465" s="18">
        <v>541139.81000000006</v>
      </c>
      <c r="I465" s="18"/>
      <c r="J465" s="18">
        <v>1212484</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23019320.059999999</v>
      </c>
      <c r="G468" s="18">
        <f>285426+15233.32</f>
        <v>300659.32</v>
      </c>
      <c r="H468" s="18">
        <v>447347.63</v>
      </c>
      <c r="I468" s="18"/>
      <c r="J468" s="18">
        <v>175383.59</v>
      </c>
      <c r="K468" s="24" t="s">
        <v>288</v>
      </c>
      <c r="L468" s="24" t="s">
        <v>288</v>
      </c>
      <c r="N468" s="265"/>
    </row>
    <row r="469" spans="1:14" s="52" customFormat="1" ht="12.2" customHeight="1" x14ac:dyDescent="0.2">
      <c r="A469" s="93" t="s">
        <v>611</v>
      </c>
      <c r="B469" s="75">
        <v>19</v>
      </c>
      <c r="C469" s="80">
        <v>3</v>
      </c>
      <c r="D469" s="2" t="s">
        <v>432</v>
      </c>
      <c r="E469" s="80"/>
      <c r="F469" s="18">
        <v>95303.6</v>
      </c>
      <c r="G469" s="18" t="s">
        <v>286</v>
      </c>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23114623.66</v>
      </c>
      <c r="G470" s="53">
        <f>SUM(G468:G469)</f>
        <v>300659.32</v>
      </c>
      <c r="H470" s="53">
        <f>SUM(H468:H469)</f>
        <v>447347.63</v>
      </c>
      <c r="I470" s="53">
        <f>SUM(I468:I469)</f>
        <v>0</v>
      </c>
      <c r="J470" s="53">
        <f>SUM(J468:J469)</f>
        <v>175383.59</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23317957.59</v>
      </c>
      <c r="G472" s="18">
        <v>300659.32</v>
      </c>
      <c r="H472" s="18">
        <v>447347.63</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23317957.59</v>
      </c>
      <c r="G474" s="53">
        <f>SUM(G472:G473)</f>
        <v>300659.32</v>
      </c>
      <c r="H474" s="53">
        <f>SUM(H472:H473)</f>
        <v>447347.63</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952752.1099999994</v>
      </c>
      <c r="G476" s="53">
        <f>(G465+G470)- G474</f>
        <v>3891.039999999979</v>
      </c>
      <c r="H476" s="53">
        <f>(H465+H470)- H474</f>
        <v>541139.81000000006</v>
      </c>
      <c r="I476" s="53">
        <f>(I465+I470)- I474</f>
        <v>0</v>
      </c>
      <c r="J476" s="53">
        <f>(J465+J470)- J474</f>
        <v>1387867.59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14144129</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3.7</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2840000</v>
      </c>
      <c r="G495" s="18"/>
      <c r="H495" s="18"/>
      <c r="I495" s="18"/>
      <c r="J495" s="18"/>
      <c r="K495" s="53">
        <f>SUM(F495:J495)</f>
        <v>2840000</v>
      </c>
      <c r="L495" s="24" t="s">
        <v>288</v>
      </c>
      <c r="N495" s="265"/>
    </row>
    <row r="496" spans="1:14" s="52" customFormat="1" ht="12.2" customHeight="1" x14ac:dyDescent="0.2">
      <c r="A496" s="22" t="s">
        <v>620</v>
      </c>
      <c r="B496" s="75">
        <v>20</v>
      </c>
      <c r="C496" s="115">
        <v>7</v>
      </c>
      <c r="D496" s="2" t="s">
        <v>432</v>
      </c>
      <c r="E496" s="115"/>
      <c r="F496" s="18">
        <v>710000</v>
      </c>
      <c r="G496" s="18"/>
      <c r="H496" s="18"/>
      <c r="I496" s="18"/>
      <c r="J496" s="18"/>
      <c r="K496" s="53">
        <f t="shared" ref="K496:K503" si="35">SUM(F496:J496)</f>
        <v>710000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v>2130000</v>
      </c>
      <c r="G498" s="204"/>
      <c r="H498" s="204"/>
      <c r="I498" s="204"/>
      <c r="J498" s="204"/>
      <c r="K498" s="205">
        <f t="shared" si="35"/>
        <v>2130000</v>
      </c>
      <c r="L498" s="206" t="s">
        <v>288</v>
      </c>
      <c r="N498" s="265"/>
    </row>
    <row r="499" spans="1:14" s="52" customFormat="1" ht="12.2" customHeight="1" thickBot="1" x14ac:dyDescent="0.25">
      <c r="A499" s="22" t="s">
        <v>623</v>
      </c>
      <c r="B499" s="75">
        <v>20</v>
      </c>
      <c r="C499" s="115">
        <v>10</v>
      </c>
      <c r="D499" s="2" t="s">
        <v>432</v>
      </c>
      <c r="E499" s="115"/>
      <c r="F499" s="18">
        <v>273527</v>
      </c>
      <c r="G499" s="18"/>
      <c r="H499" s="18"/>
      <c r="I499" s="18"/>
      <c r="J499" s="18"/>
      <c r="K499" s="53">
        <f t="shared" si="35"/>
        <v>273527</v>
      </c>
      <c r="L499" s="24" t="s">
        <v>288</v>
      </c>
      <c r="N499" s="265"/>
    </row>
    <row r="500" spans="1:14" s="52" customFormat="1" ht="12.2" customHeight="1" thickTop="1" x14ac:dyDescent="0.2">
      <c r="A500" s="139" t="s">
        <v>624</v>
      </c>
      <c r="B500" s="44">
        <v>20</v>
      </c>
      <c r="C500" s="195">
        <v>11</v>
      </c>
      <c r="D500" s="39" t="s">
        <v>432</v>
      </c>
      <c r="E500" s="195"/>
      <c r="F500" s="42">
        <f>SUM(F498:F499)</f>
        <v>2403527</v>
      </c>
      <c r="G500" s="42">
        <f>SUM(G498:G499)</f>
        <v>0</v>
      </c>
      <c r="H500" s="42">
        <f>SUM(H498:H499)</f>
        <v>0</v>
      </c>
      <c r="I500" s="42">
        <f>SUM(I498:I499)</f>
        <v>0</v>
      </c>
      <c r="J500" s="42">
        <f>SUM(J498:J499)</f>
        <v>0</v>
      </c>
      <c r="K500" s="42">
        <f t="shared" si="35"/>
        <v>2403527</v>
      </c>
      <c r="L500" s="45" t="s">
        <v>288</v>
      </c>
      <c r="N500" s="265"/>
    </row>
    <row r="501" spans="1:14" s="52" customFormat="1" ht="12.2" customHeight="1" x14ac:dyDescent="0.2">
      <c r="A501" s="200" t="s">
        <v>651</v>
      </c>
      <c r="B501" s="201">
        <v>20</v>
      </c>
      <c r="C501" s="202">
        <v>12</v>
      </c>
      <c r="D501" s="203" t="s">
        <v>432</v>
      </c>
      <c r="E501" s="202"/>
      <c r="F501" s="204">
        <v>710000</v>
      </c>
      <c r="G501" s="204"/>
      <c r="H501" s="204"/>
      <c r="I501" s="204"/>
      <c r="J501" s="204"/>
      <c r="K501" s="205">
        <f t="shared" si="35"/>
        <v>710000</v>
      </c>
      <c r="L501" s="206" t="s">
        <v>288</v>
      </c>
      <c r="N501" s="265"/>
    </row>
    <row r="502" spans="1:14" s="52" customFormat="1" ht="12.2" customHeight="1" thickBot="1" x14ac:dyDescent="0.25">
      <c r="A502" s="22" t="s">
        <v>625</v>
      </c>
      <c r="B502" s="75">
        <v>20</v>
      </c>
      <c r="C502" s="115">
        <v>13</v>
      </c>
      <c r="D502" s="2" t="s">
        <v>432</v>
      </c>
      <c r="E502" s="115"/>
      <c r="F502" s="18">
        <v>118748</v>
      </c>
      <c r="G502" s="18"/>
      <c r="H502" s="18"/>
      <c r="I502" s="18"/>
      <c r="J502" s="18"/>
      <c r="K502" s="53">
        <f t="shared" si="35"/>
        <v>118748</v>
      </c>
      <c r="L502" s="24" t="s">
        <v>288</v>
      </c>
      <c r="N502" s="265"/>
    </row>
    <row r="503" spans="1:14" s="52" customFormat="1" ht="12.2" customHeight="1" thickTop="1" x14ac:dyDescent="0.2">
      <c r="A503" s="139" t="s">
        <v>626</v>
      </c>
      <c r="B503" s="44">
        <v>20</v>
      </c>
      <c r="C503" s="195">
        <v>14</v>
      </c>
      <c r="D503" s="39" t="s">
        <v>432</v>
      </c>
      <c r="E503" s="195"/>
      <c r="F503" s="42">
        <f>SUM(F501:F502)</f>
        <v>828748</v>
      </c>
      <c r="G503" s="42">
        <f>SUM(G501:G502)</f>
        <v>0</v>
      </c>
      <c r="H503" s="42">
        <f>SUM(H501:H502)</f>
        <v>0</v>
      </c>
      <c r="I503" s="42">
        <f>SUM(I501:I502)</f>
        <v>0</v>
      </c>
      <c r="J503" s="42">
        <f>SUM(J501:J502)</f>
        <v>0</v>
      </c>
      <c r="K503" s="42">
        <f t="shared" si="35"/>
        <v>828748</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752870.81+89250</f>
        <v>842120.81</v>
      </c>
      <c r="G521" s="18">
        <f>418850.73+38351.92</f>
        <v>457202.64999999997</v>
      </c>
      <c r="H521" s="18">
        <f>120958.9+26686.54</f>
        <v>147645.44</v>
      </c>
      <c r="I521" s="18">
        <f>10475.61</f>
        <v>10475.61</v>
      </c>
      <c r="J521" s="18">
        <f>11219.9</f>
        <v>11219.9</v>
      </c>
      <c r="K521" s="18"/>
      <c r="L521" s="88">
        <f>SUM(F521:K521)</f>
        <v>1468664.41</v>
      </c>
      <c r="N521" s="265"/>
    </row>
    <row r="522" spans="1:14" s="52" customFormat="1" ht="12.2" customHeight="1" x14ac:dyDescent="0.2">
      <c r="A522" s="22" t="s">
        <v>634</v>
      </c>
      <c r="B522" s="105">
        <v>21</v>
      </c>
      <c r="C522" s="115">
        <v>2</v>
      </c>
      <c r="D522" s="2" t="s">
        <v>432</v>
      </c>
      <c r="E522" s="115"/>
      <c r="F522" s="18">
        <f>684107.04+89250</f>
        <v>773357.04</v>
      </c>
      <c r="G522" s="18">
        <f>318296.6+38351.92</f>
        <v>356648.51999999996</v>
      </c>
      <c r="H522" s="18">
        <f>109344.21+26686.54</f>
        <v>136030.75</v>
      </c>
      <c r="I522" s="18">
        <f>968.92</f>
        <v>968.92</v>
      </c>
      <c r="J522" s="18">
        <f>13887.77</f>
        <v>13887.77</v>
      </c>
      <c r="K522" s="18"/>
      <c r="L522" s="88">
        <f>SUM(F522:K522)</f>
        <v>1280893</v>
      </c>
      <c r="N522" s="265"/>
    </row>
    <row r="523" spans="1:14" s="52" customFormat="1" ht="12.2" customHeight="1" thickBot="1" x14ac:dyDescent="0.25">
      <c r="A523" s="22" t="s">
        <v>635</v>
      </c>
      <c r="B523" s="105">
        <v>21</v>
      </c>
      <c r="C523" s="115">
        <v>3</v>
      </c>
      <c r="D523" s="2" t="s">
        <v>432</v>
      </c>
      <c r="E523" s="115"/>
      <c r="F523" s="18"/>
      <c r="G523" s="18"/>
      <c r="H523" s="18">
        <f>249824.76+73740+625341.45</f>
        <v>948906.21</v>
      </c>
      <c r="I523" s="18" t="s">
        <v>286</v>
      </c>
      <c r="J523" s="18">
        <f>462.84</f>
        <v>462.84</v>
      </c>
      <c r="K523" s="18"/>
      <c r="L523" s="88">
        <f>SUM(F523:K523)</f>
        <v>949369.04999999993</v>
      </c>
      <c r="N523" s="265"/>
    </row>
    <row r="524" spans="1:14" s="52" customFormat="1" ht="12.2" customHeight="1" thickTop="1" x14ac:dyDescent="0.2">
      <c r="A524" s="139" t="s">
        <v>63</v>
      </c>
      <c r="B524" s="107">
        <v>21</v>
      </c>
      <c r="C524" s="195">
        <v>4</v>
      </c>
      <c r="D524" s="196" t="s">
        <v>432</v>
      </c>
      <c r="E524" s="195"/>
      <c r="F524" s="108">
        <f>SUM(F521:F523)</f>
        <v>1615477.85</v>
      </c>
      <c r="G524" s="108">
        <f t="shared" ref="G524:L524" si="36">SUM(G521:G523)</f>
        <v>813851.16999999993</v>
      </c>
      <c r="H524" s="108">
        <f t="shared" si="36"/>
        <v>1232582.3999999999</v>
      </c>
      <c r="I524" s="108">
        <f t="shared" si="36"/>
        <v>11444.53</v>
      </c>
      <c r="J524" s="108">
        <f t="shared" si="36"/>
        <v>25570.51</v>
      </c>
      <c r="K524" s="108">
        <f t="shared" si="36"/>
        <v>0</v>
      </c>
      <c r="L524" s="89">
        <f t="shared" si="36"/>
        <v>3698926.46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493442.33</f>
        <v>493442.33</v>
      </c>
      <c r="G526" s="18">
        <f>205187.37</f>
        <v>205187.37</v>
      </c>
      <c r="H526" s="18">
        <f>15062.49</f>
        <v>15062.49</v>
      </c>
      <c r="I526" s="18">
        <f>6795.91</f>
        <v>6795.91</v>
      </c>
      <c r="J526" s="18"/>
      <c r="K526" s="18">
        <f>4438.87</f>
        <v>4438.87</v>
      </c>
      <c r="L526" s="88">
        <f>SUM(F526:K526)</f>
        <v>724926.97</v>
      </c>
      <c r="M526" s="8"/>
      <c r="N526" s="266"/>
    </row>
    <row r="527" spans="1:14" s="3" customFormat="1" ht="12.2" customHeight="1" x14ac:dyDescent="0.15">
      <c r="A527" s="22" t="s">
        <v>634</v>
      </c>
      <c r="B527" s="105">
        <v>21</v>
      </c>
      <c r="C527" s="115">
        <v>6</v>
      </c>
      <c r="D527" s="2" t="s">
        <v>432</v>
      </c>
      <c r="E527" s="115"/>
      <c r="F527" s="18">
        <f>430205.85</f>
        <v>430205.85</v>
      </c>
      <c r="G527" s="18">
        <f>275181.3</f>
        <v>275181.3</v>
      </c>
      <c r="H527" s="18">
        <f>15127.5</f>
        <v>15127.5</v>
      </c>
      <c r="I527" s="18">
        <f>6024.6</f>
        <v>6024.6</v>
      </c>
      <c r="J527" s="18"/>
      <c r="K527" s="18">
        <f>4438.88</f>
        <v>4438.88</v>
      </c>
      <c r="L527" s="88">
        <f>SUM(F527:K527)</f>
        <v>730978.12999999989</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923648.17999999993</v>
      </c>
      <c r="G529" s="89">
        <f t="shared" ref="G529:L529" si="37">SUM(G526:G528)</f>
        <v>480368.67</v>
      </c>
      <c r="H529" s="89">
        <f t="shared" si="37"/>
        <v>30189.989999999998</v>
      </c>
      <c r="I529" s="89">
        <f t="shared" si="37"/>
        <v>12820.51</v>
      </c>
      <c r="J529" s="89">
        <f t="shared" si="37"/>
        <v>0</v>
      </c>
      <c r="K529" s="89">
        <f t="shared" si="37"/>
        <v>8877.75</v>
      </c>
      <c r="L529" s="89">
        <f t="shared" si="37"/>
        <v>1455905.0999999999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148671.73</f>
        <v>148671.73000000001</v>
      </c>
      <c r="G531" s="18">
        <f>77966.41</f>
        <v>77966.41</v>
      </c>
      <c r="H531" s="18">
        <f>23160.66</f>
        <v>23160.66</v>
      </c>
      <c r="I531" s="18">
        <f>1780.39</f>
        <v>1780.39</v>
      </c>
      <c r="J531" s="18">
        <f>905.46</f>
        <v>905.46</v>
      </c>
      <c r="K531" s="18">
        <f>5619.61</f>
        <v>5619.61</v>
      </c>
      <c r="L531" s="88">
        <f>SUM(F531:K531)</f>
        <v>258104.26</v>
      </c>
      <c r="M531" s="8"/>
      <c r="N531" s="266"/>
    </row>
    <row r="532" spans="1:14" s="3" customFormat="1" ht="12.2" customHeight="1" x14ac:dyDescent="0.15">
      <c r="A532" s="22" t="s">
        <v>634</v>
      </c>
      <c r="B532" s="105">
        <v>21</v>
      </c>
      <c r="C532" s="105">
        <v>10</v>
      </c>
      <c r="D532" s="2" t="s">
        <v>432</v>
      </c>
      <c r="E532" s="105"/>
      <c r="F532" s="18">
        <f>148671.73</f>
        <v>148671.73000000001</v>
      </c>
      <c r="G532" s="18">
        <f>77966.41</f>
        <v>77966.41</v>
      </c>
      <c r="H532" s="18">
        <f>23160.66</f>
        <v>23160.66</v>
      </c>
      <c r="I532" s="18">
        <f>1780.39</f>
        <v>1780.39</v>
      </c>
      <c r="J532" s="18">
        <f>905.46</f>
        <v>905.46</v>
      </c>
      <c r="K532" s="18">
        <f>5619.61</f>
        <v>5619.61</v>
      </c>
      <c r="L532" s="88">
        <f>SUM(F532:K532)</f>
        <v>258104.26</v>
      </c>
      <c r="M532" s="8"/>
      <c r="N532" s="266"/>
    </row>
    <row r="533" spans="1:14" s="3" customFormat="1" ht="12.2" customHeight="1" thickBot="1" x14ac:dyDescent="0.2">
      <c r="A533" s="22" t="s">
        <v>635</v>
      </c>
      <c r="B533" s="105">
        <v>21</v>
      </c>
      <c r="C533" s="105">
        <v>11</v>
      </c>
      <c r="D533" s="2" t="s">
        <v>432</v>
      </c>
      <c r="E533" s="105"/>
      <c r="F533" s="18">
        <f>148671.73</f>
        <v>148671.73000000001</v>
      </c>
      <c r="G533" s="18">
        <f>77966.41</f>
        <v>77966.41</v>
      </c>
      <c r="H533" s="18">
        <f>23160.66</f>
        <v>23160.66</v>
      </c>
      <c r="I533" s="18">
        <f>1780.39</f>
        <v>1780.39</v>
      </c>
      <c r="J533" s="18">
        <f>905.46</f>
        <v>905.46</v>
      </c>
      <c r="K533" s="18">
        <f>5619.61</f>
        <v>5619.61</v>
      </c>
      <c r="L533" s="88">
        <f>SUM(F533:K533)</f>
        <v>258104.26</v>
      </c>
      <c r="M533" s="8"/>
      <c r="N533" s="266"/>
    </row>
    <row r="534" spans="1:14" s="3" customFormat="1" ht="12.2" customHeight="1" thickTop="1" x14ac:dyDescent="0.15">
      <c r="A534" s="139" t="s">
        <v>67</v>
      </c>
      <c r="B534" s="107">
        <v>21</v>
      </c>
      <c r="C534" s="107">
        <v>12</v>
      </c>
      <c r="D534" s="158" t="s">
        <v>432</v>
      </c>
      <c r="E534" s="107"/>
      <c r="F534" s="89">
        <f>SUM(F531:F533)</f>
        <v>446015.19000000006</v>
      </c>
      <c r="G534" s="89">
        <f t="shared" ref="G534:L534" si="38">SUM(G531:G533)</f>
        <v>233899.23</v>
      </c>
      <c r="H534" s="89">
        <f t="shared" si="38"/>
        <v>69481.98</v>
      </c>
      <c r="I534" s="89">
        <f t="shared" si="38"/>
        <v>5341.17</v>
      </c>
      <c r="J534" s="89">
        <f t="shared" si="38"/>
        <v>2716.38</v>
      </c>
      <c r="K534" s="89">
        <f t="shared" si="38"/>
        <v>16858.829999999998</v>
      </c>
      <c r="L534" s="89">
        <f t="shared" si="38"/>
        <v>774312.78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f>84149.26+87389.84</f>
        <v>171539.09999999998</v>
      </c>
      <c r="I541" s="18"/>
      <c r="J541" s="18"/>
      <c r="K541" s="18"/>
      <c r="L541" s="88">
        <f>SUM(F541:K541)</f>
        <v>171539.09999999998</v>
      </c>
      <c r="M541" s="8"/>
      <c r="N541" s="266"/>
    </row>
    <row r="542" spans="1:14" s="3" customFormat="1" ht="12.2" customHeight="1" x14ac:dyDescent="0.15">
      <c r="A542" s="22" t="s">
        <v>634</v>
      </c>
      <c r="B542" s="105">
        <v>21</v>
      </c>
      <c r="C542" s="105">
        <v>18</v>
      </c>
      <c r="D542" s="2" t="s">
        <v>432</v>
      </c>
      <c r="E542" s="105"/>
      <c r="F542" s="18"/>
      <c r="G542" s="18"/>
      <c r="H542" s="18">
        <f>87555.71</f>
        <v>87555.71</v>
      </c>
      <c r="I542" s="18"/>
      <c r="J542" s="18"/>
      <c r="K542" s="18"/>
      <c r="L542" s="88">
        <f>SUM(F542:K542)</f>
        <v>87555.71</v>
      </c>
      <c r="M542" s="8"/>
      <c r="N542" s="266"/>
    </row>
    <row r="543" spans="1:14" s="3" customFormat="1" ht="12.2" customHeight="1" thickBot="1" x14ac:dyDescent="0.2">
      <c r="A543" s="22" t="s">
        <v>635</v>
      </c>
      <c r="B543" s="105">
        <v>21</v>
      </c>
      <c r="C543" s="105">
        <v>19</v>
      </c>
      <c r="D543" s="2" t="s">
        <v>432</v>
      </c>
      <c r="E543" s="105"/>
      <c r="F543" s="18"/>
      <c r="G543" s="18"/>
      <c r="H543" s="18">
        <f>91524.84</f>
        <v>91524.84</v>
      </c>
      <c r="I543" s="18"/>
      <c r="J543" s="18"/>
      <c r="K543" s="18"/>
      <c r="L543" s="88">
        <f>SUM(F543:K543)</f>
        <v>91524.84</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350619.65</v>
      </c>
      <c r="I544" s="193">
        <f t="shared" si="40"/>
        <v>0</v>
      </c>
      <c r="J544" s="193">
        <f t="shared" si="40"/>
        <v>0</v>
      </c>
      <c r="K544" s="193">
        <f t="shared" si="40"/>
        <v>0</v>
      </c>
      <c r="L544" s="193">
        <f t="shared" si="40"/>
        <v>350619.65</v>
      </c>
      <c r="M544" s="8"/>
      <c r="N544" s="266"/>
    </row>
    <row r="545" spans="1:14" s="3" customFormat="1" ht="12.2" customHeight="1" thickTop="1" x14ac:dyDescent="0.15">
      <c r="A545" s="98" t="s">
        <v>72</v>
      </c>
      <c r="B545" s="107">
        <v>21</v>
      </c>
      <c r="C545" s="107">
        <v>21</v>
      </c>
      <c r="D545" s="158" t="s">
        <v>432</v>
      </c>
      <c r="E545" s="107"/>
      <c r="F545" s="89">
        <f>F524+F529+F534+F539+F544</f>
        <v>2985141.22</v>
      </c>
      <c r="G545" s="89">
        <f t="shared" ref="G545:L545" si="41">G524+G529+G534+G539+G544</f>
        <v>1528119.0699999998</v>
      </c>
      <c r="H545" s="89">
        <f t="shared" si="41"/>
        <v>1682874.02</v>
      </c>
      <c r="I545" s="89">
        <f t="shared" si="41"/>
        <v>29606.21</v>
      </c>
      <c r="J545" s="89">
        <f t="shared" si="41"/>
        <v>28286.89</v>
      </c>
      <c r="K545" s="89">
        <f t="shared" si="41"/>
        <v>25736.579999999998</v>
      </c>
      <c r="L545" s="89">
        <f t="shared" si="41"/>
        <v>6279763.9900000002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1468664.41</v>
      </c>
      <c r="G549" s="87">
        <f>L526</f>
        <v>724926.97</v>
      </c>
      <c r="H549" s="87">
        <f>L531</f>
        <v>258104.26</v>
      </c>
      <c r="I549" s="87">
        <f>L536</f>
        <v>0</v>
      </c>
      <c r="J549" s="87">
        <f>L541</f>
        <v>171539.09999999998</v>
      </c>
      <c r="K549" s="87">
        <f>SUM(F549:J549)</f>
        <v>2623234.7399999998</v>
      </c>
      <c r="L549" s="24" t="s">
        <v>288</v>
      </c>
      <c r="M549" s="8"/>
      <c r="N549" s="266"/>
    </row>
    <row r="550" spans="1:14" s="3" customFormat="1" ht="12.2" customHeight="1" x14ac:dyDescent="0.15">
      <c r="A550" s="22" t="s">
        <v>634</v>
      </c>
      <c r="B550" s="75">
        <v>21</v>
      </c>
      <c r="C550" s="75">
        <v>23</v>
      </c>
      <c r="D550" s="2" t="s">
        <v>432</v>
      </c>
      <c r="E550" s="75"/>
      <c r="F550" s="87">
        <f>L522</f>
        <v>1280893</v>
      </c>
      <c r="G550" s="87">
        <f>L527</f>
        <v>730978.12999999989</v>
      </c>
      <c r="H550" s="87">
        <f>L532</f>
        <v>258104.26</v>
      </c>
      <c r="I550" s="87">
        <f>L537</f>
        <v>0</v>
      </c>
      <c r="J550" s="87">
        <f>L542</f>
        <v>87555.71</v>
      </c>
      <c r="K550" s="87">
        <f>SUM(F550:J550)</f>
        <v>2357531.0999999996</v>
      </c>
      <c r="L550" s="24" t="s">
        <v>288</v>
      </c>
      <c r="M550" s="8"/>
      <c r="N550" s="266"/>
    </row>
    <row r="551" spans="1:14" s="3" customFormat="1" ht="12.2" customHeight="1" thickBot="1" x14ac:dyDescent="0.2">
      <c r="A551" s="22" t="s">
        <v>635</v>
      </c>
      <c r="B551" s="75">
        <v>21</v>
      </c>
      <c r="C551" s="75">
        <v>24</v>
      </c>
      <c r="D551" s="2" t="s">
        <v>432</v>
      </c>
      <c r="E551" s="75"/>
      <c r="F551" s="87">
        <f>L523</f>
        <v>949369.04999999993</v>
      </c>
      <c r="G551" s="87">
        <f>L528</f>
        <v>0</v>
      </c>
      <c r="H551" s="87">
        <f>L533</f>
        <v>258104.26</v>
      </c>
      <c r="I551" s="87">
        <f>L538</f>
        <v>0</v>
      </c>
      <c r="J551" s="87">
        <f>L543</f>
        <v>91524.84</v>
      </c>
      <c r="K551" s="87">
        <f>SUM(F551:J551)</f>
        <v>1298998.1500000001</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3698926.46</v>
      </c>
      <c r="G552" s="89">
        <f t="shared" si="42"/>
        <v>1455905.0999999999</v>
      </c>
      <c r="H552" s="89">
        <f t="shared" si="42"/>
        <v>774312.78</v>
      </c>
      <c r="I552" s="89">
        <f t="shared" si="42"/>
        <v>0</v>
      </c>
      <c r="J552" s="89">
        <f t="shared" si="42"/>
        <v>350619.65</v>
      </c>
      <c r="K552" s="89">
        <f t="shared" si="42"/>
        <v>6279763.9900000002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f>2420975.34+2712960.9</f>
        <v>5133936.24</v>
      </c>
      <c r="I575" s="87">
        <f>SUM(F575:H575)</f>
        <v>5133936.24</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f>1402364.28</f>
        <v>1402364.28</v>
      </c>
      <c r="I577" s="87">
        <f t="shared" si="47"/>
        <v>1402364.28</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t="s">
        <v>286</v>
      </c>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249824.76</v>
      </c>
      <c r="I579" s="87">
        <f t="shared" si="47"/>
        <v>249824.76</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73740</v>
      </c>
      <c r="I581" s="87">
        <f t="shared" si="47"/>
        <v>73740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f>55452.93+2370.34</f>
        <v>57823.270000000004</v>
      </c>
      <c r="G582" s="18">
        <f>50742.08</f>
        <v>50742.080000000002</v>
      </c>
      <c r="H582" s="18">
        <v>625341.44999999995</v>
      </c>
      <c r="I582" s="87">
        <f t="shared" si="47"/>
        <v>733906.79999999993</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212156.38</f>
        <v>212156.38</v>
      </c>
      <c r="I591" s="18">
        <v>211748.45</v>
      </c>
      <c r="J591" s="18">
        <f>237135.53</f>
        <v>237135.53</v>
      </c>
      <c r="K591" s="104">
        <f t="shared" ref="K591:K597" si="48">SUM(H591:J591)</f>
        <v>661040.36</v>
      </c>
      <c r="L591" s="24" t="s">
        <v>288</v>
      </c>
      <c r="M591" s="8"/>
      <c r="N591" s="266"/>
    </row>
    <row r="592" spans="1:14" s="3" customFormat="1" ht="12.2" customHeight="1" x14ac:dyDescent="0.15">
      <c r="A592" s="3" t="s">
        <v>638</v>
      </c>
      <c r="B592" s="75">
        <v>23</v>
      </c>
      <c r="C592" s="75">
        <v>2</v>
      </c>
      <c r="D592" s="2" t="s">
        <v>432</v>
      </c>
      <c r="E592" s="75"/>
      <c r="F592" s="102">
        <v>2722</v>
      </c>
      <c r="G592" s="103" t="s">
        <v>97</v>
      </c>
      <c r="H592" s="18">
        <f>84149.26+87389.84</f>
        <v>171539.09999999998</v>
      </c>
      <c r="I592" s="18">
        <v>87555.71</v>
      </c>
      <c r="J592" s="18">
        <v>91524.84</v>
      </c>
      <c r="K592" s="104">
        <f t="shared" si="48"/>
        <v>350619.65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5394.82</v>
      </c>
      <c r="J594" s="18"/>
      <c r="K594" s="104">
        <f t="shared" si="48"/>
        <v>5394.82</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4000+1691.88</f>
        <v>5691.88</v>
      </c>
      <c r="I595" s="18">
        <v>5926.46</v>
      </c>
      <c r="J595" s="18"/>
      <c r="K595" s="104">
        <f t="shared" si="48"/>
        <v>11618.34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12000</v>
      </c>
      <c r="I597" s="18">
        <v>12000</v>
      </c>
      <c r="J597" s="18">
        <v>12000</v>
      </c>
      <c r="K597" s="104">
        <f t="shared" si="48"/>
        <v>36000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401387.36</v>
      </c>
      <c r="I598" s="108">
        <f>SUM(I591:I597)</f>
        <v>322625.44000000006</v>
      </c>
      <c r="J598" s="108">
        <f>SUM(J591:J597)</f>
        <v>340660.37</v>
      </c>
      <c r="K598" s="108">
        <f>SUM(K591:K597)</f>
        <v>1064673.17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1682.07+1358.19+16732.5+3172.5+5286.88+1039.81+4672.8+739+16846.68+1105.15+6027.56+8703.05+562.97+3975.4+3125.67+80+1202.81+6229.23</f>
        <v>82542.26999999999</v>
      </c>
      <c r="I604" s="18">
        <f>1682.07+1358.19+16732.5+3172.5+5286.88+405.97+2480.83+5140.92+967.11+38245.8+889.63+2237.62+13421.7+2567.85</f>
        <v>94589.57</v>
      </c>
      <c r="J604" s="18"/>
      <c r="K604" s="104">
        <f>SUM(H604:J604)</f>
        <v>177131.84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82542.26999999999</v>
      </c>
      <c r="I605" s="108">
        <f>SUM(I602:I604)</f>
        <v>94589.57</v>
      </c>
      <c r="J605" s="108">
        <f>SUM(J602:J604)</f>
        <v>0</v>
      </c>
      <c r="K605" s="108">
        <f>SUM(K602:K604)</f>
        <v>177131.84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1439194.61</v>
      </c>
      <c r="H617" s="109">
        <f>SUM(F52)</f>
        <v>1439194.61</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53937.5</v>
      </c>
      <c r="H618" s="109">
        <f>SUM(G52)</f>
        <v>53937.5</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541139.81000000006</v>
      </c>
      <c r="H619" s="109">
        <f>SUM(H52)</f>
        <v>541139.81000000006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1387867.59</v>
      </c>
      <c r="H621" s="109">
        <f>SUM(J52)</f>
        <v>1387867.59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952752.1100000001</v>
      </c>
      <c r="H622" s="109">
        <f>F476</f>
        <v>952752.1099999994</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3891.04</v>
      </c>
      <c r="H623" s="109">
        <f>G476</f>
        <v>3891.039999999979</v>
      </c>
      <c r="I623" s="121" t="s">
        <v>102</v>
      </c>
      <c r="J623" s="109">
        <f t="shared" si="50"/>
        <v>2.0918378140777349E-11</v>
      </c>
      <c r="K623" s="109"/>
      <c r="L623" s="109"/>
      <c r="M623" s="8"/>
    </row>
    <row r="624" spans="1:14" s="3" customFormat="1" ht="12.2" customHeight="1" x14ac:dyDescent="0.15">
      <c r="A624" s="97"/>
      <c r="B624" s="105"/>
      <c r="C624" s="105"/>
      <c r="D624" s="105"/>
      <c r="E624" s="105"/>
      <c r="F624" s="120" t="s">
        <v>867</v>
      </c>
      <c r="G624" s="109">
        <f>H51</f>
        <v>541139.81000000006</v>
      </c>
      <c r="H624" s="109">
        <f>H476</f>
        <v>541139.81000000006</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1387867.59</v>
      </c>
      <c r="H626" s="109">
        <f>J476</f>
        <v>1387867.59</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23019320.059999999</v>
      </c>
      <c r="H627" s="104">
        <f>SUM(F468)</f>
        <v>23019320.059999999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300659.32</v>
      </c>
      <c r="H628" s="104">
        <f>SUM(G468)</f>
        <v>300659.32</v>
      </c>
      <c r="I628" s="140" t="s">
        <v>107</v>
      </c>
      <c r="J628" s="109">
        <f>G628-H628</f>
        <v>0</v>
      </c>
      <c r="K628" s="85"/>
      <c r="L628" s="88"/>
      <c r="M628" s="8"/>
    </row>
    <row r="629" spans="1:13" s="3" customFormat="1" ht="12.2" customHeight="1" x14ac:dyDescent="0.15">
      <c r="A629" s="22"/>
      <c r="B629" s="105"/>
      <c r="C629" s="105"/>
      <c r="D629" s="105"/>
      <c r="E629" s="105"/>
      <c r="F629" s="120" t="s">
        <v>660</v>
      </c>
      <c r="G629" s="109">
        <f>H193</f>
        <v>447347.63</v>
      </c>
      <c r="H629" s="104">
        <f>SUM(H468)</f>
        <v>447347.63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175383.59</v>
      </c>
      <c r="H631" s="104">
        <f>SUM(J468)</f>
        <v>175383.59</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23317957.59</v>
      </c>
      <c r="H632" s="104">
        <f>SUM(F472)</f>
        <v>23317957.59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447347.63</v>
      </c>
      <c r="H633" s="104">
        <f>SUM(H472)</f>
        <v>447347.63</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300659.32000000007</v>
      </c>
      <c r="H635" s="104">
        <f>SUM(G472)</f>
        <v>300659.32</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175383.59</v>
      </c>
      <c r="H637" s="164">
        <f>SUM(J468)</f>
        <v>175383.59</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1387867.59</v>
      </c>
      <c r="H639" s="104">
        <f>SUM(F461)</f>
        <v>1387867.59</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1387867.59</v>
      </c>
      <c r="H642" s="104">
        <f>SUM(I461)</f>
        <v>1387867.59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25383.59</v>
      </c>
      <c r="H644" s="104">
        <f>H408</f>
        <v>25383.59</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150000</v>
      </c>
      <c r="H645" s="104">
        <f>G408</f>
        <v>150000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175383.59</v>
      </c>
      <c r="H646" s="104">
        <f>L408</f>
        <v>175383.59</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1064673.17</v>
      </c>
      <c r="H647" s="104">
        <f>L208+L226+L244</f>
        <v>1064673.17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177131.84</v>
      </c>
      <c r="H648" s="104">
        <f>(J257+J338)-(J255+J336)</f>
        <v>177131.83999999997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401387.36</v>
      </c>
      <c r="H649" s="104">
        <f>H598</f>
        <v>401387.36</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322625.44000000006</v>
      </c>
      <c r="H650" s="104">
        <f>I598</f>
        <v>322625.44000000006</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340660.37</v>
      </c>
      <c r="H651" s="104">
        <f>J598</f>
        <v>340660.37</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15233.32</v>
      </c>
      <c r="H652" s="104">
        <f>K263+K345</f>
        <v>15233.32</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150000</v>
      </c>
      <c r="H655" s="104">
        <f>K266+K347</f>
        <v>150000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7936530.9533333331</v>
      </c>
      <c r="G660" s="19">
        <f>(L229+L309+L359)</f>
        <v>6948742.7633333337</v>
      </c>
      <c r="H660" s="19">
        <f>(L247+L328+L360)</f>
        <v>8154050.0033333329</v>
      </c>
      <c r="I660" s="19">
        <f>SUM(F660:H660)</f>
        <v>23039323.719999999</v>
      </c>
      <c r="J660" s="13"/>
      <c r="K660" s="13"/>
      <c r="L660" s="13"/>
      <c r="M660" s="9"/>
    </row>
    <row r="661" spans="1:13" s="3" customFormat="1" ht="12.2" customHeight="1" x14ac:dyDescent="0.2">
      <c r="A661" s="1" t="s">
        <v>127</v>
      </c>
      <c r="F661" s="19">
        <f>(L358/IF(SUM(L358:L360)=0,1,SUM(L358:L360))*(SUM(G97:G110)))</f>
        <v>99307.298302984083</v>
      </c>
      <c r="G661" s="19">
        <f>(L359/IF(SUM(L358:L360)=0,1,SUM(L358:L360))*(SUM(G97:G110)))</f>
        <v>99307.291697015913</v>
      </c>
      <c r="H661" s="19">
        <f>(L360/IF(SUM(L358:L360)=0,1,SUM(L358:L360))*(SUM(G97:G110)))</f>
        <v>0</v>
      </c>
      <c r="I661" s="19">
        <f>SUM(F661:H661)</f>
        <v>198614.59</v>
      </c>
      <c r="J661"/>
      <c r="K661" s="13"/>
      <c r="L661" s="13"/>
      <c r="M661" s="9"/>
    </row>
    <row r="662" spans="1:13" s="3" customFormat="1" ht="12.2" customHeight="1" x14ac:dyDescent="0.2">
      <c r="A662" s="1" t="s">
        <v>128</v>
      </c>
      <c r="F662" s="19">
        <f>(L208+L287)-(J208+J287)</f>
        <v>401387.36</v>
      </c>
      <c r="G662" s="19">
        <f>(L226+L306)-(J226+J306)</f>
        <v>322625.44000000006</v>
      </c>
      <c r="H662" s="19">
        <f>(L244+L325)-(J244+J325)</f>
        <v>340660.37</v>
      </c>
      <c r="I662" s="19">
        <f>SUM(F662:H662)</f>
        <v>1064673.17</v>
      </c>
      <c r="J662"/>
      <c r="K662" s="13"/>
      <c r="L662" s="13"/>
      <c r="M662" s="8"/>
    </row>
    <row r="663" spans="1:13" s="3" customFormat="1" ht="12.2" customHeight="1" x14ac:dyDescent="0.15">
      <c r="A663" s="198" t="s">
        <v>129</v>
      </c>
      <c r="B663" s="169"/>
      <c r="C663" s="169"/>
      <c r="D663" s="169"/>
      <c r="E663" s="169"/>
      <c r="F663" s="199">
        <f>SUM(F575:F587)+SUM(H602:H604)+SUM(L611)</f>
        <v>140365.53999999998</v>
      </c>
      <c r="G663" s="199">
        <f>SUM(G575:G587)+SUM(I602:I604)+L612</f>
        <v>145331.65000000002</v>
      </c>
      <c r="H663" s="199">
        <f>SUM(H575:H587)+SUM(J602:J604)+L613</f>
        <v>7485206.7300000004</v>
      </c>
      <c r="I663" s="19">
        <f>SUM(F663:H663)</f>
        <v>7770903.9200000009</v>
      </c>
      <c r="J663" s="13"/>
      <c r="K663" s="13"/>
      <c r="L663" s="13"/>
      <c r="M663" s="9"/>
    </row>
    <row r="664" spans="1:13" s="3" customFormat="1" ht="12.2" customHeight="1" x14ac:dyDescent="0.15">
      <c r="A664" s="1" t="s">
        <v>130</v>
      </c>
      <c r="F664" s="19">
        <f>F660-SUM(F661:F663)</f>
        <v>7295470.7550303489</v>
      </c>
      <c r="G664" s="19">
        <f>G660-SUM(G661:G663)</f>
        <v>6381478.3816363178</v>
      </c>
      <c r="H664" s="19">
        <f>H660-SUM(H661:H663)</f>
        <v>328182.90333333239</v>
      </c>
      <c r="I664" s="19">
        <f>I660-SUM(I661:I663)</f>
        <v>14005132.039999997</v>
      </c>
      <c r="J664" s="13"/>
      <c r="K664" s="13"/>
      <c r="L664" s="13"/>
      <c r="M664" s="9"/>
    </row>
    <row r="665" spans="1:13" s="3" customFormat="1" ht="12.2" customHeight="1" x14ac:dyDescent="0.2">
      <c r="A665" s="1" t="s">
        <v>131</v>
      </c>
      <c r="F665" s="246">
        <v>520.39</v>
      </c>
      <c r="G665" s="247">
        <v>419.58</v>
      </c>
      <c r="H665" s="247"/>
      <c r="I665" s="19">
        <f>SUM(F665:H665)</f>
        <v>939.97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14019.24</v>
      </c>
      <c r="G667" s="19">
        <f>ROUND(G664/G665,2)</f>
        <v>15209.21</v>
      </c>
      <c r="H667" s="19" t="e">
        <f>ROUND(H664/H665,2)</f>
        <v>#DIV/0!</v>
      </c>
      <c r="I667" s="19">
        <f>ROUND(I664/I665,2)</f>
        <v>14899.55</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-328182.90000000002</v>
      </c>
      <c r="I669" s="19">
        <f>SUM(F669:H669)</f>
        <v>-328182.90000000002</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14019.24</v>
      </c>
      <c r="G672" s="19">
        <f>ROUND((G664+G669)/(G665+G670),2)</f>
        <v>15209.21</v>
      </c>
      <c r="H672" s="19" t="e">
        <f>ROUND((H664+H669)/(H665+H670),2)</f>
        <v>#DIV/0!</v>
      </c>
      <c r="I672" s="19">
        <f>ROUND((I664+I669)/(I665+I670),2)</f>
        <v>14550.41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75"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9" zoomScale="150" zoomScaleNormal="150" zoomScalePageLayoutView="150" workbookViewId="0">
      <selection activeCell="C38" sqref="C38"/>
    </sheetView>
  </sheetViews>
  <sheetFormatPr defaultColWidth="9" defaultRowHeight="11.25" x14ac:dyDescent="0.2"/>
  <cols>
    <col min="1" max="1" width="26.6640625" customWidth="1"/>
    <col min="2" max="2" width="33.83203125" customWidth="1"/>
    <col min="3" max="3" width="29.33203125" customWidth="1"/>
  </cols>
  <sheetData>
    <row r="1" spans="1:3" x14ac:dyDescent="0.2">
      <c r="A1" s="233" t="s">
        <v>781</v>
      </c>
      <c r="B1" s="232" t="str">
        <f>'DOE25'!A2</f>
        <v>Barrington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3709754.59</v>
      </c>
      <c r="C9" s="229">
        <f>'DOE25'!G197+'DOE25'!G215+'DOE25'!G233+'DOE25'!G276+'DOE25'!G295+'DOE25'!G314</f>
        <v>1905817.74</v>
      </c>
    </row>
    <row r="10" spans="1:3" x14ac:dyDescent="0.2">
      <c r="A10" t="s">
        <v>775</v>
      </c>
      <c r="B10" s="240">
        <f>1680+1669.97+177056.94+1408919.43+295949.94+1513351.61</f>
        <v>3398627.8899999997</v>
      </c>
      <c r="C10" s="240">
        <f>30381.68+449255+344191.33+815.48+12189.14+2112.13+10946.03+102+900+399+1008+421.64+3284.95+1033.36+3727.74+14360.27+113989.56+32548.28+117519.78+31817.8+245048.64+121703.12+263142.18</f>
        <v>1800897.11</v>
      </c>
    </row>
    <row r="11" spans="1:3" x14ac:dyDescent="0.2">
      <c r="A11" t="s">
        <v>776</v>
      </c>
      <c r="B11" s="240">
        <f>12529+127610.71+70104.2</f>
        <v>210243.91000000003</v>
      </c>
      <c r="C11" s="240">
        <f>66207.67+9699.42</f>
        <v>75907.09</v>
      </c>
    </row>
    <row r="12" spans="1:3" x14ac:dyDescent="0.2">
      <c r="A12" t="s">
        <v>777</v>
      </c>
      <c r="B12" s="240">
        <f>40332.5+18132+42418.29</f>
        <v>100882.79000000001</v>
      </c>
      <c r="C12" s="240">
        <f>10656.93+9178.31+9178.3</f>
        <v>29013.539999999997</v>
      </c>
    </row>
    <row r="13" spans="1:3" x14ac:dyDescent="0.2">
      <c r="A13" t="str">
        <f>IF(B9=B13,IF(C9=C13,"Check Total OK","Check Total Error"),"Check Total Error")</f>
        <v>Check Total OK</v>
      </c>
      <c r="B13" s="231">
        <f>SUM(B10:B12)</f>
        <v>3709754.59</v>
      </c>
      <c r="C13" s="231">
        <f>SUM(C10:C12)</f>
        <v>1905817.7400000002</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1615477.85</v>
      </c>
      <c r="C18" s="229">
        <f>'DOE25'!G198+'DOE25'!G216+'DOE25'!G234+'DOE25'!G277+'DOE25'!G296+'DOE25'!G315</f>
        <v>813851.17</v>
      </c>
    </row>
    <row r="19" spans="1:3" x14ac:dyDescent="0.2">
      <c r="A19" t="s">
        <v>775</v>
      </c>
      <c r="B19" s="240">
        <f>27952.55+261005.64+41015.57+268807.08+198500.01</f>
        <v>797280.85000000009</v>
      </c>
      <c r="C19" s="240">
        <f>203047.82+55936.29+3448.1+2708.86+774+237+813+1596.14+528.95+1694.32+2115.87+13830.5+47810.02+287.86+19489.62+87881.11+73950.67</f>
        <v>516150.13</v>
      </c>
    </row>
    <row r="20" spans="1:3" x14ac:dyDescent="0.2">
      <c r="A20" t="s">
        <v>776</v>
      </c>
      <c r="B20" s="240">
        <f>286640.59+110823.63+384743.33</f>
        <v>782207.55</v>
      </c>
      <c r="C20" s="240">
        <f>176187.43+77988.74+40771.71</f>
        <v>294947.88</v>
      </c>
    </row>
    <row r="21" spans="1:3" x14ac:dyDescent="0.2">
      <c r="A21" t="s">
        <v>777</v>
      </c>
      <c r="B21" s="240">
        <f>342+1224+1114+1437.7+4716.75+22407.5+4747.5</f>
        <v>35989.449999999997</v>
      </c>
      <c r="C21" s="240">
        <v>2753.16</v>
      </c>
    </row>
    <row r="22" spans="1:3" x14ac:dyDescent="0.2">
      <c r="A22" t="str">
        <f>IF(B18=B22,IF(C18=C22,"Check Total OK","Check Total Error"),"Check Total Error")</f>
        <v>Check Total OK</v>
      </c>
      <c r="B22" s="231">
        <f>SUM(B19:B21)</f>
        <v>1615477.85</v>
      </c>
      <c r="C22" s="231">
        <f>SUM(C19:C21)</f>
        <v>813851.17</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45000</v>
      </c>
      <c r="C36" s="235">
        <f>'DOE25'!G200+'DOE25'!G218+'DOE25'!G236+'DOE25'!G279+'DOE25'!G298+'DOE25'!G317</f>
        <v>17379.63</v>
      </c>
    </row>
    <row r="37" spans="1:3" x14ac:dyDescent="0.2">
      <c r="A37" t="s">
        <v>775</v>
      </c>
      <c r="B37" s="240">
        <v>45000</v>
      </c>
      <c r="C37" s="240">
        <v>17379.63</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45000</v>
      </c>
      <c r="C40" s="231">
        <f>SUM(C37:C39)</f>
        <v>17379.63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headerFooter alignWithMargins="0">
    <oddHeader>&amp;C&amp;A
FY2016-2017</oddHeader>
    <oddFooter>&amp;CPage &amp;P 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50" zoomScaleNormal="150" zoomScalePageLayoutView="150" workbookViewId="0">
      <pane ySplit="4" topLeftCell="A5" activePane="bottomLeft" state="frozen"/>
      <selection activeCell="F46" sqref="F46"/>
      <selection pane="bottomLeft" activeCell="D11" sqref="D11"/>
    </sheetView>
  </sheetViews>
  <sheetFormatPr defaultColWidth="9" defaultRowHeight="11.25" x14ac:dyDescent="0.2"/>
  <cols>
    <col min="1" max="1" width="10.83203125" customWidth="1"/>
    <col min="2" max="2" width="41.1640625" customWidth="1"/>
    <col min="3" max="3" width="13.33203125" bestFit="1" customWidth="1"/>
    <col min="4" max="5" width="17.83203125" customWidth="1"/>
    <col min="6" max="6" width="21.33203125" customWidth="1"/>
    <col min="7" max="7" width="15.3320312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Barrington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15726933.73</v>
      </c>
      <c r="D5" s="20">
        <f>SUM('DOE25'!L197:L200)+SUM('DOE25'!L215:L218)+SUM('DOE25'!L233:L236)-F5-G5-H5</f>
        <v>15697033.25</v>
      </c>
      <c r="E5" s="243"/>
      <c r="F5" s="244">
        <v>0</v>
      </c>
      <c r="G5" s="53">
        <f>SUM('DOE25'!J197:J200)+SUM('DOE25'!J215:J218)+SUM('DOE25'!J233:J236)</f>
        <v>25976.48</v>
      </c>
      <c r="H5" s="53">
        <f>SUM('DOE25'!K197:K200)+SUM('DOE25'!K215:K218)+SUM('DOE25'!K233:K236)</f>
        <v>3924</v>
      </c>
      <c r="I5" s="256"/>
    </row>
    <row r="6" spans="1:9" x14ac:dyDescent="0.2">
      <c r="A6" s="32">
        <v>2100</v>
      </c>
      <c r="B6" t="s">
        <v>796</v>
      </c>
      <c r="C6" s="276">
        <f t="shared" si="0"/>
        <v>1455905.1</v>
      </c>
      <c r="D6" s="20">
        <f>'DOE25'!L202+'DOE25'!L220+'DOE25'!L238-F6-G6-H6</f>
        <v>1447027.35</v>
      </c>
      <c r="E6" s="243"/>
      <c r="F6" s="244">
        <v>0</v>
      </c>
      <c r="G6" s="53">
        <f>'DOE25'!J202+'DOE25'!J220+'DOE25'!J238</f>
        <v>0</v>
      </c>
      <c r="H6" s="53">
        <f>'DOE25'!K202+'DOE25'!K220+'DOE25'!K238</f>
        <v>8877.75</v>
      </c>
      <c r="I6" s="256"/>
    </row>
    <row r="7" spans="1:9" x14ac:dyDescent="0.2">
      <c r="A7" s="32">
        <v>2200</v>
      </c>
      <c r="B7" t="s">
        <v>821</v>
      </c>
      <c r="C7" s="276">
        <f t="shared" si="0"/>
        <v>835196.25999999989</v>
      </c>
      <c r="D7" s="20">
        <f>'DOE25'!L203+'DOE25'!L221+'DOE25'!L239-F7-G7-H7</f>
        <v>721939.59</v>
      </c>
      <c r="E7" s="243"/>
      <c r="F7" s="244">
        <v>0</v>
      </c>
      <c r="G7" s="53">
        <f>'DOE25'!J203+'DOE25'!J221+'DOE25'!J239</f>
        <v>77844.31</v>
      </c>
      <c r="H7" s="53">
        <f>'DOE25'!K203+'DOE25'!K221+'DOE25'!K239</f>
        <v>35412.36</v>
      </c>
      <c r="I7" s="256"/>
    </row>
    <row r="8" spans="1:9" x14ac:dyDescent="0.2">
      <c r="A8" s="32">
        <v>2300</v>
      </c>
      <c r="B8" t="s">
        <v>797</v>
      </c>
      <c r="C8" s="276">
        <f t="shared" si="0"/>
        <v>457453.84000000014</v>
      </c>
      <c r="D8" s="243"/>
      <c r="E8" s="20">
        <f>'DOE25'!L204+'DOE25'!L222+'DOE25'!L240-F8-G8-H8-D9-D11</f>
        <v>437878.63000000012</v>
      </c>
      <c r="F8" s="244">
        <v>0</v>
      </c>
      <c r="G8" s="53">
        <f>'DOE25'!J204+'DOE25'!J222+'DOE25'!J240</f>
        <v>2716.38</v>
      </c>
      <c r="H8" s="53">
        <f>'DOE25'!K204+'DOE25'!K222+'DOE25'!K240</f>
        <v>16858.829999999998</v>
      </c>
      <c r="I8" s="256"/>
    </row>
    <row r="9" spans="1:9" ht="14.25" x14ac:dyDescent="0.2">
      <c r="A9" s="32">
        <v>2310</v>
      </c>
      <c r="B9" s="185" t="s">
        <v>890</v>
      </c>
      <c r="C9" s="276">
        <f t="shared" si="0"/>
        <v>65974.94</v>
      </c>
      <c r="D9" s="244">
        <v>65974.94</v>
      </c>
      <c r="E9" s="243"/>
      <c r="F9" s="253"/>
      <c r="G9" s="253"/>
      <c r="H9" s="253"/>
      <c r="I9" s="256"/>
    </row>
    <row r="10" spans="1:9" ht="14.25" x14ac:dyDescent="0.2">
      <c r="A10" s="32">
        <v>2317</v>
      </c>
      <c r="B10" s="185" t="s">
        <v>891</v>
      </c>
      <c r="C10" s="276">
        <f t="shared" si="0"/>
        <v>11000</v>
      </c>
      <c r="D10" s="243"/>
      <c r="E10" s="244">
        <v>11000</v>
      </c>
      <c r="F10" s="253"/>
      <c r="G10" s="253"/>
      <c r="H10" s="253"/>
      <c r="I10" s="256"/>
    </row>
    <row r="11" spans="1:9" ht="14.25" x14ac:dyDescent="0.2">
      <c r="A11" s="32">
        <v>2321</v>
      </c>
      <c r="B11" s="185" t="s">
        <v>892</v>
      </c>
      <c r="C11" s="276">
        <f t="shared" si="0"/>
        <v>250884</v>
      </c>
      <c r="D11" s="244">
        <f>112200+93840+44844</f>
        <v>250884</v>
      </c>
      <c r="E11" s="243"/>
      <c r="F11" s="253"/>
      <c r="G11" s="253"/>
      <c r="H11" s="253"/>
      <c r="I11" s="256"/>
    </row>
    <row r="12" spans="1:9" x14ac:dyDescent="0.2">
      <c r="A12" s="32">
        <v>2400</v>
      </c>
      <c r="B12" t="s">
        <v>711</v>
      </c>
      <c r="C12" s="276">
        <f t="shared" si="0"/>
        <v>790350.72</v>
      </c>
      <c r="D12" s="20">
        <f>'DOE25'!L205+'DOE25'!L223+'DOE25'!L241-F12-G12-H12</f>
        <v>767809.78999999992</v>
      </c>
      <c r="E12" s="243"/>
      <c r="F12" s="244">
        <v>0</v>
      </c>
      <c r="G12" s="53">
        <f>'DOE25'!J205+'DOE25'!J223+'DOE25'!J241</f>
        <v>20210.93</v>
      </c>
      <c r="H12" s="53">
        <f>'DOE25'!K205+'DOE25'!K223+'DOE25'!K241</f>
        <v>2330</v>
      </c>
      <c r="I12" s="256"/>
    </row>
    <row r="13" spans="1:9" x14ac:dyDescent="0.2">
      <c r="A13" s="32">
        <v>2500</v>
      </c>
      <c r="B13" t="s">
        <v>798</v>
      </c>
      <c r="C13" s="276">
        <f t="shared" si="0"/>
        <v>208847.40999999997</v>
      </c>
      <c r="D13" s="243"/>
      <c r="E13" s="20">
        <f>'DOE25'!L206+'DOE25'!L224+'DOE25'!L242-F13-G13-H13</f>
        <v>208847.40999999997</v>
      </c>
      <c r="F13" s="244">
        <v>0</v>
      </c>
      <c r="G13" s="53">
        <f>'DOE25'!J206+'DOE25'!J224+'DOE25'!J242</f>
        <v>0</v>
      </c>
      <c r="H13" s="53">
        <f>'DOE25'!K206+'DOE25'!K224+'DOE25'!K242</f>
        <v>0</v>
      </c>
      <c r="I13" s="256"/>
    </row>
    <row r="14" spans="1:9" x14ac:dyDescent="0.2">
      <c r="A14" s="32">
        <v>2600</v>
      </c>
      <c r="B14" t="s">
        <v>819</v>
      </c>
      <c r="C14" s="276">
        <f t="shared" si="0"/>
        <v>1435097.5999999999</v>
      </c>
      <c r="D14" s="20">
        <f>'DOE25'!L207+'DOE25'!L225+'DOE25'!L243-F14-G14-H14</f>
        <v>1384713.8599999999</v>
      </c>
      <c r="E14" s="243"/>
      <c r="F14" s="244">
        <v>0</v>
      </c>
      <c r="G14" s="53">
        <f>'DOE25'!J207+'DOE25'!J225+'DOE25'!J243</f>
        <v>50383.74</v>
      </c>
      <c r="H14" s="53">
        <f>'DOE25'!K207+'DOE25'!K225+'DOE25'!K243</f>
        <v>0</v>
      </c>
      <c r="I14" s="256"/>
    </row>
    <row r="15" spans="1:9" x14ac:dyDescent="0.2">
      <c r="A15" s="32">
        <v>2700</v>
      </c>
      <c r="B15" t="s">
        <v>799</v>
      </c>
      <c r="C15" s="276">
        <f t="shared" si="0"/>
        <v>1064673.17</v>
      </c>
      <c r="D15" s="20">
        <f>'DOE25'!L208+'DOE25'!L226+'DOE25'!L244-F15-G15-H15</f>
        <v>37267.169999999925</v>
      </c>
      <c r="E15" s="243"/>
      <c r="F15" s="244">
        <f>1052406-25000</f>
        <v>1027406</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861407.5</v>
      </c>
      <c r="D25" s="243"/>
      <c r="E25" s="243"/>
      <c r="F25" s="255"/>
      <c r="G25" s="253"/>
      <c r="H25" s="253"/>
      <c r="I25" s="254">
        <f>'DOE25'!L260+'DOE25'!L261+'DOE25'!L341+'DOE25'!L342</f>
        <v>861407.5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300659.32000000007</v>
      </c>
      <c r="D29" s="284">
        <f>'DOE25'!L358+'DOE25'!L359+'DOE25'!L360-'DOE25'!I367-F29-G29-H29</f>
        <v>56277.170000000064</v>
      </c>
      <c r="E29" s="243"/>
      <c r="F29" s="244">
        <f>269205-25000</f>
        <v>244205</v>
      </c>
      <c r="G29" s="53">
        <f>'DOE25'!J358+'DOE25'!J359+'DOE25'!J360</f>
        <v>0</v>
      </c>
      <c r="H29" s="53">
        <f>'DOE25'!K358+'DOE25'!K359+'DOE25'!K360</f>
        <v>177.14999999999998</v>
      </c>
      <c r="I29" s="256"/>
    </row>
    <row r="30" spans="1:9" x14ac:dyDescent="0.2">
      <c r="A30" s="32"/>
      <c r="C30" s="277"/>
      <c r="D30" s="20"/>
      <c r="E30" s="281"/>
      <c r="F30" s="271"/>
      <c r="G30" s="53"/>
      <c r="H30" s="53"/>
      <c r="I30" s="256"/>
    </row>
    <row r="31" spans="1:9" x14ac:dyDescent="0.2">
      <c r="A31" s="32" t="s">
        <v>818</v>
      </c>
      <c r="B31" t="s">
        <v>817</v>
      </c>
      <c r="C31" s="276">
        <f>SUM(D31:I31)</f>
        <v>447347.63</v>
      </c>
      <c r="D31" s="20">
        <f>'DOE25'!L290+'DOE25'!L309+'DOE25'!L328+'DOE25'!L333+'DOE25'!L334+'DOE25'!L335-F31-G31-H31</f>
        <v>447322.63</v>
      </c>
      <c r="E31" s="243"/>
      <c r="F31" s="244">
        <v>0</v>
      </c>
      <c r="G31" s="53">
        <f>'DOE25'!J290+'DOE25'!J309+'DOE25'!J328+'DOE25'!J333+'DOE25'!J334+'DOE25'!J335</f>
        <v>0</v>
      </c>
      <c r="H31" s="53">
        <f>'DOE25'!K290+'DOE25'!K309+'DOE25'!K328+'DOE25'!K333+'DOE25'!K334+'DOE25'!K335</f>
        <v>25</v>
      </c>
      <c r="I31" s="256"/>
    </row>
    <row r="32" spans="1:9" ht="12" thickBot="1" x14ac:dyDescent="0.25">
      <c r="C32" s="277"/>
      <c r="G32" s="251"/>
      <c r="H32" s="251"/>
      <c r="I32" s="258"/>
    </row>
    <row r="33" spans="1:9" ht="12" thickTop="1" x14ac:dyDescent="0.2">
      <c r="B33" t="s">
        <v>809</v>
      </c>
      <c r="D33" s="245">
        <f t="shared" ref="D33:I33" si="1">SUM(D5:D31)</f>
        <v>20876249.750000004</v>
      </c>
      <c r="E33" s="245">
        <f t="shared" si="1"/>
        <v>657726.04</v>
      </c>
      <c r="F33" s="245">
        <f t="shared" si="1"/>
        <v>1271611</v>
      </c>
      <c r="G33" s="245">
        <f t="shared" si="1"/>
        <v>177131.84</v>
      </c>
      <c r="H33" s="245">
        <f t="shared" si="1"/>
        <v>67605.09</v>
      </c>
      <c r="I33" s="245">
        <f t="shared" si="1"/>
        <v>861407.5</v>
      </c>
    </row>
    <row r="35" spans="1:9" ht="12" thickBot="1" x14ac:dyDescent="0.25">
      <c r="B35" s="251" t="s">
        <v>831</v>
      </c>
      <c r="D35" s="252">
        <f>E33</f>
        <v>657726.04</v>
      </c>
      <c r="E35" s="248"/>
    </row>
    <row r="36" spans="1:9" ht="12" thickTop="1" x14ac:dyDescent="0.2">
      <c r="B36" t="s">
        <v>810</v>
      </c>
      <c r="D36" s="20">
        <f>D33</f>
        <v>20876249.750000004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6" orientation="landscape"/>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150" zoomScaleNormal="150" zoomScalePageLayoutView="150" workbookViewId="0">
      <selection activeCell="E25" sqref="E25"/>
    </sheetView>
  </sheetViews>
  <sheetFormatPr defaultColWidth="9"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33203125" style="32" customWidth="1"/>
    <col min="15" max="15" width="19.3320312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Barrington School District</v>
      </c>
      <c r="B2" s="126">
        <f>'DOE25'!B2</f>
        <v>33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7786201.2899999991</v>
      </c>
      <c r="G4" s="303">
        <f>'DOE25'!L211+'DOE25'!L290</f>
        <v>7786201.2883333331</v>
      </c>
      <c r="H4" s="304">
        <f>F4-G4</f>
        <v>1.6666660085320473E-3</v>
      </c>
      <c r="I4" s="310" t="str">
        <f>IF(H4=0,"","Does not match DOE25 page 7 and 11 Totals!!")</f>
        <v>Does not match DOE25 page 7 and 11 Totals!!</v>
      </c>
      <c r="N4"/>
    </row>
    <row r="5" spans="1:18" x14ac:dyDescent="0.2">
      <c r="A5" s="21" t="s">
        <v>937</v>
      </c>
      <c r="B5" s="305">
        <f>IFERROR(VLOOKUP(A5,'School Tables'!$C$3:$D$368,2,FALSE),"")</f>
        <v>22045</v>
      </c>
      <c r="C5" s="297" t="str">
        <f>IFERROR(INDEX('School Tables'!$B$3:$B$368,MATCH('School Level Expenditures'!B5,'School Tables'!$D$3:$D$368,0)),"")</f>
        <v>Barrington</v>
      </c>
      <c r="D5" s="294">
        <v>6264778.3099999996</v>
      </c>
      <c r="E5" s="294">
        <v>268754.43</v>
      </c>
      <c r="F5" s="313">
        <f>D5+E5</f>
        <v>6533532.7399999993</v>
      </c>
      <c r="G5" s="297"/>
      <c r="H5" s="297"/>
      <c r="I5" s="126"/>
      <c r="N5"/>
    </row>
    <row r="6" spans="1:18" x14ac:dyDescent="0.2">
      <c r="A6" s="21" t="s">
        <v>938</v>
      </c>
      <c r="B6" s="305">
        <f>IFERROR(VLOOKUP(A6,'School Tables'!$C$3:$D$368,2,FALSE),"")</f>
        <v>29010</v>
      </c>
      <c r="C6" s="297" t="str">
        <f>IFERROR(INDEX('School Tables'!$B$3:$B$368,MATCH('School Level Expenditures'!B6,'School Tables'!$D$3:$D$368,0)),"")</f>
        <v>Barrington</v>
      </c>
      <c r="D6" s="294">
        <f>1252668.55</f>
        <v>1252668.55</v>
      </c>
      <c r="E6" s="294"/>
      <c r="F6" s="308">
        <f t="shared" ref="F6:F20" si="0">D6+E6</f>
        <v>1252668.55</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6798413.1100000003</v>
      </c>
      <c r="G24" s="303">
        <f>'DOE25'!L229+'DOE25'!L309</f>
        <v>6798413.1083333334</v>
      </c>
      <c r="H24" s="304">
        <f>F24-G24</f>
        <v>1.6666669398546219E-3</v>
      </c>
      <c r="I24" s="310" t="str">
        <f>IF(H24=0,"","Does not match DOE25 page 8 and 12 Totals!!")</f>
        <v>Does not match DOE25 page 8 and 12 Totals!!</v>
      </c>
      <c r="N24"/>
    </row>
    <row r="25" spans="1:14" x14ac:dyDescent="0.2">
      <c r="A25" s="21" t="s">
        <v>936</v>
      </c>
      <c r="B25" s="305">
        <f>IFERROR(VLOOKUP(A25,'School Tables'!$I$3:$J$80,2,FALSE),"")</f>
        <v>22030</v>
      </c>
      <c r="C25" s="297" t="str">
        <f t="array" ref="C25">IFERROR(INDEX('School Tables'!$H$3:$H$80,MATCH('School Level Expenditures'!B25,'School Tables'!$J$3:$J$80,0)),"")</f>
        <v>Barrington</v>
      </c>
      <c r="D25" s="294">
        <v>6619819.9000000004</v>
      </c>
      <c r="E25" s="294">
        <v>178593.21</v>
      </c>
      <c r="F25" s="308">
        <f>D25+E25</f>
        <v>6798413.1100000003</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23.2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8154050</v>
      </c>
      <c r="G36" s="303">
        <f>'DOE25'!L247+'DOE25'!L328</f>
        <v>8154050.0033333329</v>
      </c>
      <c r="H36" s="304">
        <f>F36-G36</f>
        <v>-3.3333329483866692E-3</v>
      </c>
      <c r="I36" s="310" t="str">
        <f>IF(H36=0,"","Does not match DOE25 page 9 and 13 Totals!!")</f>
        <v>Does not match DOE25 page 9 and 13 Totals!!</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8154050</v>
      </c>
      <c r="E37" s="294"/>
      <c r="F37" s="308">
        <f>D37+E37</f>
        <v>8154050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phoneticPr fontId="0" type="noConversion"/>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83" orientation="landscape"/>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50" zoomScaleNormal="150" zoomScalePageLayoutView="150" workbookViewId="0">
      <pane ySplit="2" topLeftCell="A3" activePane="bottomLeft" state="frozen"/>
      <selection activeCell="F46" sqref="F46"/>
      <selection pane="bottomLeft" activeCell="A2" sqref="A2"/>
    </sheetView>
  </sheetViews>
  <sheetFormatPr defaultColWidth="9" defaultRowHeight="11.25" x14ac:dyDescent="0.2"/>
  <cols>
    <col min="1" max="1" width="52.83203125" customWidth="1"/>
    <col min="2" max="2" width="16.6640625" customWidth="1"/>
    <col min="3" max="3" width="19" customWidth="1"/>
    <col min="4" max="4" width="19.3320312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Barrington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1255109.02</v>
      </c>
      <c r="D8" s="95">
        <f>'DOE25'!G9</f>
        <v>0</v>
      </c>
      <c r="E8" s="95">
        <f>'DOE25'!H9</f>
        <v>541139.81000000006</v>
      </c>
      <c r="F8" s="95">
        <f>'DOE25'!I9</f>
        <v>0</v>
      </c>
      <c r="G8" s="95">
        <f>'DOE25'!J9</f>
        <v>1387867.59</v>
      </c>
      <c r="H8" s="124"/>
      <c r="I8" s="124"/>
    </row>
    <row r="9" spans="1:9" x14ac:dyDescent="0.2">
      <c r="A9" s="1" t="s">
        <v>140</v>
      </c>
      <c r="B9" s="6">
        <v>110</v>
      </c>
      <c r="C9" s="95">
        <f>'DOE25'!F10</f>
        <v>6964.31</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103498.75</v>
      </c>
      <c r="D11" s="95">
        <f>'DOE25'!G12</f>
        <v>48064.12</v>
      </c>
      <c r="E11" s="95">
        <f>'DOE25'!H12</f>
        <v>0</v>
      </c>
      <c r="F11" s="95">
        <f>'DOE25'!I12</f>
        <v>0</v>
      </c>
      <c r="G11" s="95">
        <f>'DOE25'!J12</f>
        <v>0</v>
      </c>
      <c r="H11" s="124"/>
      <c r="I11" s="124"/>
    </row>
    <row r="12" spans="1:9" x14ac:dyDescent="0.2">
      <c r="A12" s="1" t="s">
        <v>143</v>
      </c>
      <c r="B12" s="6">
        <v>140</v>
      </c>
      <c r="C12" s="95" t="str">
        <f>'DOE25'!F13</f>
        <v xml:space="preserve"> </v>
      </c>
      <c r="D12" s="95">
        <f>'DOE25'!G13</f>
        <v>5873.38</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73622.53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1439194.61</v>
      </c>
      <c r="D18" s="41">
        <f>SUM(D8:D17)</f>
        <v>53937.5</v>
      </c>
      <c r="E18" s="41">
        <f>SUM(E8:E17)</f>
        <v>541139.81000000006</v>
      </c>
      <c r="F18" s="41">
        <f>SUM(F8:F17)</f>
        <v>0</v>
      </c>
      <c r="G18" s="41">
        <f>SUM(G8:G17)</f>
        <v>1387867.59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185087.58</v>
      </c>
      <c r="D21" s="95">
        <f>'DOE25'!G22</f>
        <v>41031.25</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t="str">
        <f>'DOE25'!F24</f>
        <v xml:space="preserve"> </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301354.92</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9015.2099999999991</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486442.5</v>
      </c>
      <c r="D31" s="41">
        <f>SUM(D21:D30)</f>
        <v>50046.46</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73622.53</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3891.04</v>
      </c>
      <c r="E42" s="95">
        <f>'DOE25'!H43</f>
        <v>0</v>
      </c>
      <c r="F42" s="95">
        <f>'DOE25'!I43</f>
        <v>0</v>
      </c>
      <c r="G42" s="95">
        <f>'DOE25'!J43</f>
        <v>0</v>
      </c>
      <c r="H42" s="124"/>
      <c r="I42" s="124"/>
    </row>
    <row r="43" spans="1:9" x14ac:dyDescent="0.2">
      <c r="A43" s="1" t="s">
        <v>863</v>
      </c>
      <c r="B43" s="6">
        <v>755</v>
      </c>
      <c r="C43" s="95">
        <f>'DOE25'!F44</f>
        <v>150000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452722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541139.81000000006</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1387867.59</v>
      </c>
      <c r="H48" s="124"/>
      <c r="I48" s="124"/>
    </row>
    <row r="49" spans="1:9" ht="12" thickBot="1" x14ac:dyDescent="0.25">
      <c r="A49" s="29" t="s">
        <v>883</v>
      </c>
      <c r="B49" s="71">
        <v>770</v>
      </c>
      <c r="C49" s="95">
        <f>'DOE25'!F50</f>
        <v>276407.58</v>
      </c>
      <c r="D49" s="24" t="s">
        <v>288</v>
      </c>
      <c r="E49" s="24" t="s">
        <v>288</v>
      </c>
      <c r="F49" s="24" t="s">
        <v>288</v>
      </c>
      <c r="G49" s="24" t="s">
        <v>288</v>
      </c>
      <c r="H49" s="124"/>
      <c r="I49" s="124"/>
    </row>
    <row r="50" spans="1:9" ht="12.75" thickTop="1" thickBot="1" x14ac:dyDescent="0.25">
      <c r="A50" s="38" t="s">
        <v>884</v>
      </c>
      <c r="B50" s="48"/>
      <c r="C50" s="41">
        <f>SUM(C34:C49)</f>
        <v>952752.1100000001</v>
      </c>
      <c r="D50" s="41">
        <f>SUM(D34:D49)</f>
        <v>3891.04</v>
      </c>
      <c r="E50" s="41">
        <f>SUM(E34:E49)</f>
        <v>541139.81000000006</v>
      </c>
      <c r="F50" s="41">
        <f>SUM(F34:F49)</f>
        <v>0</v>
      </c>
      <c r="G50" s="41">
        <f>SUM(G34:G49)</f>
        <v>1387867.59</v>
      </c>
      <c r="H50" s="124"/>
      <c r="I50" s="124"/>
    </row>
    <row r="51" spans="1:9" ht="12" thickTop="1" x14ac:dyDescent="0.2">
      <c r="A51" s="38" t="s">
        <v>885</v>
      </c>
      <c r="B51" s="2"/>
      <c r="C51" s="41">
        <f>C50+C31</f>
        <v>1439194.61</v>
      </c>
      <c r="D51" s="41">
        <f>D50+D31</f>
        <v>53937.5</v>
      </c>
      <c r="E51" s="41">
        <f>E50+E31</f>
        <v>541139.81000000006</v>
      </c>
      <c r="F51" s="41">
        <f>F50+F31</f>
        <v>0</v>
      </c>
      <c r="G51" s="41">
        <f>G50+G31</f>
        <v>1387867.59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16032076</v>
      </c>
      <c r="D56" s="95">
        <f>'DOE25'!G60</f>
        <v>0</v>
      </c>
      <c r="E56" s="95">
        <f>'DOE25'!H60</f>
        <v>0</v>
      </c>
      <c r="F56" s="95">
        <f>'DOE25'!I60</f>
        <v>0</v>
      </c>
      <c r="G56" s="95">
        <f>'DOE25'!J60</f>
        <v>0</v>
      </c>
      <c r="H56"/>
      <c r="I56"/>
    </row>
    <row r="57" spans="1:9" x14ac:dyDescent="0.2">
      <c r="A57" s="1" t="s">
        <v>164</v>
      </c>
      <c r="B57" s="6" t="s">
        <v>165</v>
      </c>
      <c r="C57" s="95">
        <f>'DOE25'!F79</f>
        <v>77032.179999999993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25383.59</v>
      </c>
      <c r="H59"/>
      <c r="I59"/>
    </row>
    <row r="60" spans="1:9" x14ac:dyDescent="0.2">
      <c r="A60" s="1" t="s">
        <v>170</v>
      </c>
      <c r="B60" s="118" t="s">
        <v>171</v>
      </c>
      <c r="C60" s="24" t="s">
        <v>288</v>
      </c>
      <c r="D60" s="95">
        <f>'DOE25'!G97</f>
        <v>198614.59</v>
      </c>
      <c r="E60" s="24" t="s">
        <v>288</v>
      </c>
      <c r="F60" s="24" t="s">
        <v>288</v>
      </c>
      <c r="G60" s="24" t="s">
        <v>288</v>
      </c>
      <c r="H60"/>
      <c r="I60"/>
    </row>
    <row r="61" spans="1:9" ht="12" thickBot="1" x14ac:dyDescent="0.25">
      <c r="A61" s="1" t="s">
        <v>172</v>
      </c>
      <c r="B61" s="118" t="s">
        <v>173</v>
      </c>
      <c r="C61" s="95">
        <f>SUM('DOE25'!F98:F110)</f>
        <v>42941.04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119973.22</v>
      </c>
      <c r="D62" s="130">
        <f>SUM(D57:D61)</f>
        <v>198614.59</v>
      </c>
      <c r="E62" s="130">
        <f>SUM(E57:E61)</f>
        <v>0</v>
      </c>
      <c r="F62" s="130">
        <f>SUM(F57:F61)</f>
        <v>0</v>
      </c>
      <c r="G62" s="130">
        <f>SUM(G57:G61)</f>
        <v>25383.59</v>
      </c>
      <c r="H62"/>
      <c r="I62"/>
    </row>
    <row r="63" spans="1:9" ht="12" thickTop="1" x14ac:dyDescent="0.2">
      <c r="A63" s="29" t="s">
        <v>175</v>
      </c>
      <c r="B63" s="6"/>
      <c r="C63" s="22">
        <f>C56+C62</f>
        <v>16152049.220000001</v>
      </c>
      <c r="D63" s="22">
        <f>D56+D62</f>
        <v>198614.59</v>
      </c>
      <c r="E63" s="22">
        <f>E56+E62</f>
        <v>0</v>
      </c>
      <c r="F63" s="22">
        <f>F56+F62</f>
        <v>0</v>
      </c>
      <c r="G63" s="22">
        <f>G56+G62</f>
        <v>25383.59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4034056.69</v>
      </c>
      <c r="D66" s="24" t="s">
        <v>288</v>
      </c>
      <c r="E66" s="24" t="s">
        <v>288</v>
      </c>
      <c r="F66" s="24" t="s">
        <v>288</v>
      </c>
      <c r="G66" s="24" t="s">
        <v>288</v>
      </c>
      <c r="H66"/>
      <c r="I66"/>
    </row>
    <row r="67" spans="1:9" x14ac:dyDescent="0.2">
      <c r="A67" s="1" t="s">
        <v>770</v>
      </c>
      <c r="B67" s="6">
        <v>3112</v>
      </c>
      <c r="C67" s="95">
        <f>'DOE25'!F118</f>
        <v>2076793.98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9819.57</v>
      </c>
      <c r="D69" s="95">
        <f>'DOE25'!G120</f>
        <v>0</v>
      </c>
      <c r="E69" s="95">
        <f>'DOE25'!H120</f>
        <v>0</v>
      </c>
      <c r="F69" s="95">
        <f>'DOE25'!I120</f>
        <v>0</v>
      </c>
      <c r="G69" s="95">
        <f>'DOE25'!J120</f>
        <v>0</v>
      </c>
      <c r="H69"/>
      <c r="I69"/>
    </row>
    <row r="70" spans="1:9" ht="12" thickTop="1" x14ac:dyDescent="0.2">
      <c r="A70" s="29" t="s">
        <v>252</v>
      </c>
      <c r="B70" s="2"/>
      <c r="C70" s="139">
        <f>SUM(C66:C69)</f>
        <v>6120670.2400000002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231529.27</v>
      </c>
      <c r="D72" s="24" t="s">
        <v>288</v>
      </c>
      <c r="E72" s="24" t="s">
        <v>288</v>
      </c>
      <c r="F72" s="95">
        <f>'DOE25'!I123</f>
        <v>0</v>
      </c>
      <c r="G72" s="24" t="s">
        <v>288</v>
      </c>
      <c r="H72"/>
      <c r="I72"/>
    </row>
    <row r="73" spans="1:9" x14ac:dyDescent="0.2">
      <c r="A73" s="1" t="s">
        <v>254</v>
      </c>
      <c r="B73" s="6">
        <v>3215</v>
      </c>
      <c r="C73" s="95" t="str">
        <f>'DOE25'!F124</f>
        <v xml:space="preserve"> </v>
      </c>
      <c r="D73" s="24" t="s">
        <v>288</v>
      </c>
      <c r="E73" s="24" t="s">
        <v>288</v>
      </c>
      <c r="F73" s="95">
        <f>'DOE25'!I124</f>
        <v>0</v>
      </c>
      <c r="G73" s="24" t="s">
        <v>288</v>
      </c>
      <c r="H73"/>
      <c r="I73"/>
    </row>
    <row r="74" spans="1:9" x14ac:dyDescent="0.2">
      <c r="A74" s="1" t="s">
        <v>255</v>
      </c>
      <c r="B74" s="6">
        <v>3220</v>
      </c>
      <c r="C74" s="95">
        <f>'DOE25'!F125</f>
        <v>109715.76</v>
      </c>
      <c r="D74" s="24"/>
      <c r="E74" s="24"/>
      <c r="F74" s="24"/>
      <c r="G74" s="24"/>
      <c r="H74"/>
      <c r="I74"/>
    </row>
    <row r="75" spans="1:9" x14ac:dyDescent="0.2">
      <c r="A75" s="1" t="s">
        <v>256</v>
      </c>
      <c r="B75" s="6">
        <v>3230</v>
      </c>
      <c r="C75" s="95">
        <f>'DOE25'!F126</f>
        <v>97431.78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38196.400000000001</v>
      </c>
      <c r="D77" s="95">
        <f>SUM('DOE25'!G131:G135)</f>
        <v>3880.87</v>
      </c>
      <c r="E77" s="95">
        <f>SUM('DOE25'!H131:H135)</f>
        <v>0</v>
      </c>
      <c r="F77" s="95">
        <f>SUM('DOE25'!I131:I135)</f>
        <v>0</v>
      </c>
      <c r="G77" s="95">
        <f>SUM('DOE25'!J131:J135)</f>
        <v>0</v>
      </c>
      <c r="H77"/>
      <c r="I77"/>
    </row>
    <row r="78" spans="1:9" ht="12.75" thickTop="1" thickBot="1" x14ac:dyDescent="0.25">
      <c r="A78" s="29" t="s">
        <v>259</v>
      </c>
      <c r="B78" s="6"/>
      <c r="C78" s="130">
        <f>SUM(C72:C77)</f>
        <v>476873.20999999996</v>
      </c>
      <c r="D78" s="130">
        <f>SUM(D72:D77)</f>
        <v>3880.87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6597543.4500000002</v>
      </c>
      <c r="D81" s="130">
        <f>SUM(D79:D80)+D78+D70</f>
        <v>3880.87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169727.39</v>
      </c>
      <c r="D88" s="95">
        <f>SUM('DOE25'!G153:G161)</f>
        <v>82930.539999999994</v>
      </c>
      <c r="E88" s="95">
        <f>SUM('DOE25'!H153:H161)</f>
        <v>447347.63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169727.39</v>
      </c>
      <c r="D91" s="131">
        <f>SUM(D85:D90)</f>
        <v>82930.539999999994</v>
      </c>
      <c r="E91" s="131">
        <f>SUM(E85:E90)</f>
        <v>447347.63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15233.32</v>
      </c>
      <c r="E96" s="95">
        <f>'DOE25'!H179</f>
        <v>0</v>
      </c>
      <c r="F96" s="95">
        <f>'DOE25'!I179</f>
        <v>0</v>
      </c>
      <c r="G96" s="95">
        <f>'DOE25'!J179</f>
        <v>150000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100000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100000</v>
      </c>
      <c r="D103" s="86">
        <f>SUM(D93:D102)</f>
        <v>15233.32</v>
      </c>
      <c r="E103" s="86">
        <f>SUM(E93:E102)</f>
        <v>0</v>
      </c>
      <c r="F103" s="86">
        <f>SUM(F93:F102)</f>
        <v>0</v>
      </c>
      <c r="G103" s="86">
        <f>SUM(G93:G102)</f>
        <v>150000</v>
      </c>
    </row>
    <row r="104" spans="1:7" ht="12.75" thickTop="1" thickBot="1" x14ac:dyDescent="0.25">
      <c r="A104" s="33" t="s">
        <v>761</v>
      </c>
      <c r="C104" s="86">
        <f>C63+C81+C91+C103</f>
        <v>23019320.060000002</v>
      </c>
      <c r="D104" s="86">
        <f>D63+D81+D91+D103</f>
        <v>300659.32</v>
      </c>
      <c r="E104" s="86">
        <f>E63+E81+E91+E103</f>
        <v>447347.63</v>
      </c>
      <c r="F104" s="86">
        <f>F63+F81+F91+F103</f>
        <v>0</v>
      </c>
      <c r="G104" s="86">
        <f>G63+G81+G103</f>
        <v>175383.59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12268664.370000001</v>
      </c>
      <c r="D109" s="24" t="s">
        <v>288</v>
      </c>
      <c r="E109" s="95">
        <f>('DOE25'!L276)+('DOE25'!L295)+('DOE25'!L314)</f>
        <v>90161.22</v>
      </c>
      <c r="F109" s="24" t="s">
        <v>288</v>
      </c>
      <c r="G109" s="24" t="s">
        <v>288</v>
      </c>
    </row>
    <row r="110" spans="1:7" x14ac:dyDescent="0.2">
      <c r="A110" t="s">
        <v>198</v>
      </c>
      <c r="B110" s="32" t="s">
        <v>199</v>
      </c>
      <c r="C110" s="95">
        <f>('DOE25'!L198)+('DOE25'!L216)+('DOE25'!L234)</f>
        <v>3390349.54</v>
      </c>
      <c r="D110" s="24" t="s">
        <v>288</v>
      </c>
      <c r="E110" s="95">
        <f>('DOE25'!L277)+('DOE25'!L296)+('DOE25'!L315)</f>
        <v>308576.92</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67919.820000000007</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15726933.73</v>
      </c>
      <c r="D115" s="86">
        <f>SUM(D109:D114)</f>
        <v>0</v>
      </c>
      <c r="E115" s="86">
        <f>SUM(E109:E114)</f>
        <v>398738.14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1455905.1</v>
      </c>
      <c r="D118" s="24" t="s">
        <v>288</v>
      </c>
      <c r="E118" s="95">
        <f>+('DOE25'!L281)+('DOE25'!L300)+('DOE25'!L319)</f>
        <v>0</v>
      </c>
      <c r="F118" s="24" t="s">
        <v>288</v>
      </c>
      <c r="G118" s="24" t="s">
        <v>288</v>
      </c>
    </row>
    <row r="119" spans="1:7" x14ac:dyDescent="0.2">
      <c r="A119" t="s">
        <v>208</v>
      </c>
      <c r="B119" s="32" t="s">
        <v>209</v>
      </c>
      <c r="C119" s="95">
        <f>('DOE25'!L203)+('DOE25'!L221)+('DOE25'!L239)</f>
        <v>835196.26</v>
      </c>
      <c r="D119" s="24" t="s">
        <v>288</v>
      </c>
      <c r="E119" s="95">
        <f>+('DOE25'!L282)+('DOE25'!L301)+('DOE25'!L320)</f>
        <v>48609.49</v>
      </c>
      <c r="F119" s="24" t="s">
        <v>288</v>
      </c>
      <c r="G119" s="24" t="s">
        <v>288</v>
      </c>
    </row>
    <row r="120" spans="1:7" x14ac:dyDescent="0.2">
      <c r="A120" t="s">
        <v>210</v>
      </c>
      <c r="B120" s="32" t="s">
        <v>211</v>
      </c>
      <c r="C120" s="95">
        <f>('DOE25'!L204)+('DOE25'!L222)+('DOE25'!L240)</f>
        <v>774312.78</v>
      </c>
      <c r="D120" s="24" t="s">
        <v>288</v>
      </c>
      <c r="E120" s="95">
        <f>+('DOE25'!L283)+('DOE25'!L302)+('DOE25'!L321)</f>
        <v>0</v>
      </c>
      <c r="F120" s="24" t="s">
        <v>288</v>
      </c>
      <c r="G120" s="24" t="s">
        <v>288</v>
      </c>
    </row>
    <row r="121" spans="1:7" x14ac:dyDescent="0.2">
      <c r="A121" t="s">
        <v>212</v>
      </c>
      <c r="B121" s="32" t="s">
        <v>213</v>
      </c>
      <c r="C121" s="95">
        <f>('DOE25'!L205)+('DOE25'!L223)+('DOE25'!L241)</f>
        <v>790350.72</v>
      </c>
      <c r="D121" s="24" t="s">
        <v>288</v>
      </c>
      <c r="E121" s="95">
        <f>+('DOE25'!L284)+('DOE25'!L303)+('DOE25'!L322)</f>
        <v>0</v>
      </c>
      <c r="F121" s="24" t="s">
        <v>288</v>
      </c>
      <c r="G121" s="24" t="s">
        <v>288</v>
      </c>
    </row>
    <row r="122" spans="1:7" x14ac:dyDescent="0.2">
      <c r="A122" t="s">
        <v>214</v>
      </c>
      <c r="B122" s="32" t="s">
        <v>215</v>
      </c>
      <c r="C122" s="95">
        <f>('DOE25'!L206)+('DOE25'!L224)+('DOE25'!L242)</f>
        <v>208847.40999999997</v>
      </c>
      <c r="D122" s="24" t="s">
        <v>288</v>
      </c>
      <c r="E122" s="95">
        <f>+('DOE25'!L285)+('DOE25'!L304)+('DOE25'!L323)</f>
        <v>0</v>
      </c>
      <c r="F122" s="24" t="s">
        <v>288</v>
      </c>
      <c r="G122" s="24" t="s">
        <v>288</v>
      </c>
    </row>
    <row r="123" spans="1:7" x14ac:dyDescent="0.2">
      <c r="A123" t="s">
        <v>216</v>
      </c>
      <c r="B123" s="32" t="s">
        <v>217</v>
      </c>
      <c r="C123" s="95">
        <f>('DOE25'!L207)+('DOE25'!L225)+('DOE25'!L243)</f>
        <v>1435097.5999999999</v>
      </c>
      <c r="D123" s="24" t="s">
        <v>288</v>
      </c>
      <c r="E123" s="95">
        <f>+('DOE25'!L286)+('DOE25'!L305)+('DOE25'!L324)</f>
        <v>0</v>
      </c>
      <c r="F123" s="24" t="s">
        <v>288</v>
      </c>
      <c r="G123" s="24" t="s">
        <v>288</v>
      </c>
    </row>
    <row r="124" spans="1:7" x14ac:dyDescent="0.2">
      <c r="A124" t="s">
        <v>218</v>
      </c>
      <c r="B124" s="32" t="s">
        <v>219</v>
      </c>
      <c r="C124" s="95">
        <f>('DOE25'!L208)+('DOE25'!L226)+('DOE25'!L244+'DOE25'!L254)</f>
        <v>1064673.17</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300659.32000000007</v>
      </c>
      <c r="E127" s="24" t="s">
        <v>288</v>
      </c>
      <c r="F127" s="24" t="s">
        <v>288</v>
      </c>
      <c r="G127" s="24" t="s">
        <v>288</v>
      </c>
    </row>
    <row r="128" spans="1:7" ht="12.75" thickTop="1" thickBot="1" x14ac:dyDescent="0.25">
      <c r="A128" s="33" t="s">
        <v>226</v>
      </c>
      <c r="C128" s="86">
        <f>SUM(C118:C127)</f>
        <v>6564383.04</v>
      </c>
      <c r="D128" s="86">
        <f>SUM(D118:D127)</f>
        <v>300659.32000000007</v>
      </c>
      <c r="E128" s="86">
        <f>SUM(E118:E127)</f>
        <v>48609.49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710000</v>
      </c>
      <c r="D131" s="24" t="s">
        <v>288</v>
      </c>
      <c r="E131" s="129">
        <f>'DOE25'!L341</f>
        <v>0</v>
      </c>
      <c r="F131" s="24" t="s">
        <v>288</v>
      </c>
      <c r="G131" s="24" t="s">
        <v>288</v>
      </c>
    </row>
    <row r="132" spans="1:7" x14ac:dyDescent="0.2">
      <c r="A132" t="s">
        <v>230</v>
      </c>
      <c r="B132" s="32">
        <v>5120</v>
      </c>
      <c r="C132" s="95">
        <f>'DOE25'!L261</f>
        <v>151407.5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15233.32</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154674.34</v>
      </c>
      <c r="D138" s="24" t="s">
        <v>288</v>
      </c>
      <c r="E138" s="24" t="s">
        <v>288</v>
      </c>
      <c r="F138" s="24" t="s">
        <v>288</v>
      </c>
      <c r="G138" s="24" t="s">
        <v>288</v>
      </c>
    </row>
    <row r="139" spans="1:7" x14ac:dyDescent="0.2">
      <c r="A139" t="s">
        <v>239</v>
      </c>
      <c r="B139" s="32">
        <v>5252</v>
      </c>
      <c r="C139" s="95">
        <f>'DOE25'!L401</f>
        <v>20709.25</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-25383.589999999997</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1026640.82</v>
      </c>
      <c r="D144" s="141">
        <f>SUM(D130:D143)</f>
        <v>0</v>
      </c>
      <c r="E144" s="141">
        <f>SUM(E130:E143)</f>
        <v>0</v>
      </c>
      <c r="F144" s="141">
        <f>SUM(F130:F143)</f>
        <v>0</v>
      </c>
      <c r="G144" s="141">
        <f>SUM(G130:G143)</f>
        <v>0</v>
      </c>
    </row>
    <row r="145" spans="1:9" ht="12.75" thickTop="1" thickBot="1" x14ac:dyDescent="0.25">
      <c r="A145" s="33" t="s">
        <v>244</v>
      </c>
      <c r="C145" s="86">
        <f>(C115+C128+C144)</f>
        <v>23317957.59</v>
      </c>
      <c r="D145" s="86">
        <f>(D115+D128+D144)</f>
        <v>300659.32000000007</v>
      </c>
      <c r="E145" s="86">
        <f>(E115+E128+E144)</f>
        <v>447347.63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12/02</v>
      </c>
      <c r="C152" s="152">
        <f>'DOE25'!G491</f>
        <v>0</v>
      </c>
      <c r="D152" s="152">
        <f>'DOE25'!H491</f>
        <v>0</v>
      </c>
      <c r="E152" s="152">
        <f>'DOE25'!I491</f>
        <v>0</v>
      </c>
      <c r="F152" s="152">
        <f>'DOE25'!J491</f>
        <v>0</v>
      </c>
      <c r="G152" s="24" t="s">
        <v>288</v>
      </c>
    </row>
    <row r="153" spans="1:9" x14ac:dyDescent="0.2">
      <c r="A153" s="136" t="s">
        <v>29</v>
      </c>
      <c r="B153" s="152" t="str">
        <f>'DOE25'!F492</f>
        <v>10/22</v>
      </c>
      <c r="C153" s="152">
        <f>'DOE25'!G492</f>
        <v>0</v>
      </c>
      <c r="D153" s="152">
        <f>'DOE25'!H492</f>
        <v>0</v>
      </c>
      <c r="E153" s="152">
        <f>'DOE25'!I492</f>
        <v>0</v>
      </c>
      <c r="F153" s="152">
        <f>'DOE25'!J492</f>
        <v>0</v>
      </c>
      <c r="G153" s="24" t="s">
        <v>288</v>
      </c>
    </row>
    <row r="154" spans="1:9" x14ac:dyDescent="0.2">
      <c r="A154" s="136" t="s">
        <v>30</v>
      </c>
      <c r="B154" s="137">
        <f>'DOE25'!F493</f>
        <v>14144129</v>
      </c>
      <c r="C154" s="137">
        <f>'DOE25'!G493</f>
        <v>0</v>
      </c>
      <c r="D154" s="137">
        <f>'DOE25'!H493</f>
        <v>0</v>
      </c>
      <c r="E154" s="137">
        <f>'DOE25'!I493</f>
        <v>0</v>
      </c>
      <c r="F154" s="137">
        <f>'DOE25'!J493</f>
        <v>0</v>
      </c>
      <c r="G154" s="24" t="s">
        <v>288</v>
      </c>
    </row>
    <row r="155" spans="1:9" x14ac:dyDescent="0.2">
      <c r="A155" s="136" t="s">
        <v>31</v>
      </c>
      <c r="B155" s="137">
        <f>'DOE25'!F494</f>
        <v>3.7</v>
      </c>
      <c r="C155" s="137">
        <f>'DOE25'!G494</f>
        <v>0</v>
      </c>
      <c r="D155" s="137">
        <f>'DOE25'!H494</f>
        <v>0</v>
      </c>
      <c r="E155" s="137">
        <f>'DOE25'!I494</f>
        <v>0</v>
      </c>
      <c r="F155" s="137">
        <f>'DOE25'!J494</f>
        <v>0</v>
      </c>
      <c r="G155" s="24" t="s">
        <v>288</v>
      </c>
    </row>
    <row r="156" spans="1:9" x14ac:dyDescent="0.2">
      <c r="A156" s="22" t="s">
        <v>32</v>
      </c>
      <c r="B156" s="137">
        <f>'DOE25'!F495</f>
        <v>2840000</v>
      </c>
      <c r="C156" s="137">
        <f>'DOE25'!G495</f>
        <v>0</v>
      </c>
      <c r="D156" s="137">
        <f>'DOE25'!H495</f>
        <v>0</v>
      </c>
      <c r="E156" s="137">
        <f>'DOE25'!I495</f>
        <v>0</v>
      </c>
      <c r="F156" s="137">
        <f>'DOE25'!J495</f>
        <v>0</v>
      </c>
      <c r="G156" s="138">
        <f>SUM(B156:F156)</f>
        <v>2840000</v>
      </c>
    </row>
    <row r="157" spans="1:9" x14ac:dyDescent="0.2">
      <c r="A157" s="22" t="s">
        <v>33</v>
      </c>
      <c r="B157" s="137">
        <f>'DOE25'!F496</f>
        <v>710000</v>
      </c>
      <c r="C157" s="137">
        <f>'DOE25'!G496</f>
        <v>0</v>
      </c>
      <c r="D157" s="137">
        <f>'DOE25'!H496</f>
        <v>0</v>
      </c>
      <c r="E157" s="137">
        <f>'DOE25'!I496</f>
        <v>0</v>
      </c>
      <c r="F157" s="137">
        <f>'DOE25'!J496</f>
        <v>0</v>
      </c>
      <c r="G157" s="138">
        <f t="shared" ref="G157:G164" si="0">SUM(B157:F157)</f>
        <v>710000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2130000</v>
      </c>
      <c r="C159" s="137">
        <f>'DOE25'!G498</f>
        <v>0</v>
      </c>
      <c r="D159" s="137">
        <f>'DOE25'!H498</f>
        <v>0</v>
      </c>
      <c r="E159" s="137">
        <f>'DOE25'!I498</f>
        <v>0</v>
      </c>
      <c r="F159" s="137">
        <f>'DOE25'!J498</f>
        <v>0</v>
      </c>
      <c r="G159" s="138">
        <f t="shared" si="0"/>
        <v>2130000</v>
      </c>
    </row>
    <row r="160" spans="1:9" x14ac:dyDescent="0.2">
      <c r="A160" s="22" t="s">
        <v>36</v>
      </c>
      <c r="B160" s="137">
        <f>'DOE25'!F499</f>
        <v>273527</v>
      </c>
      <c r="C160" s="137">
        <f>'DOE25'!G499</f>
        <v>0</v>
      </c>
      <c r="D160" s="137">
        <f>'DOE25'!H499</f>
        <v>0</v>
      </c>
      <c r="E160" s="137">
        <f>'DOE25'!I499</f>
        <v>0</v>
      </c>
      <c r="F160" s="137">
        <f>'DOE25'!J499</f>
        <v>0</v>
      </c>
      <c r="G160" s="138">
        <f t="shared" si="0"/>
        <v>273527</v>
      </c>
    </row>
    <row r="161" spans="1:7" x14ac:dyDescent="0.2">
      <c r="A161" s="22" t="s">
        <v>37</v>
      </c>
      <c r="B161" s="137">
        <f>'DOE25'!F500</f>
        <v>2403527</v>
      </c>
      <c r="C161" s="137">
        <f>'DOE25'!G500</f>
        <v>0</v>
      </c>
      <c r="D161" s="137">
        <f>'DOE25'!H500</f>
        <v>0</v>
      </c>
      <c r="E161" s="137">
        <f>'DOE25'!I500</f>
        <v>0</v>
      </c>
      <c r="F161" s="137">
        <f>'DOE25'!J500</f>
        <v>0</v>
      </c>
      <c r="G161" s="138">
        <f t="shared" si="0"/>
        <v>2403527</v>
      </c>
    </row>
    <row r="162" spans="1:7" x14ac:dyDescent="0.2">
      <c r="A162" s="22" t="s">
        <v>38</v>
      </c>
      <c r="B162" s="137">
        <f>'DOE25'!F501</f>
        <v>710000</v>
      </c>
      <c r="C162" s="137">
        <f>'DOE25'!G501</f>
        <v>0</v>
      </c>
      <c r="D162" s="137">
        <f>'DOE25'!H501</f>
        <v>0</v>
      </c>
      <c r="E162" s="137">
        <f>'DOE25'!I501</f>
        <v>0</v>
      </c>
      <c r="F162" s="137">
        <f>'DOE25'!J501</f>
        <v>0</v>
      </c>
      <c r="G162" s="138">
        <f t="shared" si="0"/>
        <v>710000</v>
      </c>
    </row>
    <row r="163" spans="1:7" x14ac:dyDescent="0.2">
      <c r="A163" s="22" t="s">
        <v>39</v>
      </c>
      <c r="B163" s="137">
        <f>'DOE25'!F502</f>
        <v>118748</v>
      </c>
      <c r="C163" s="137">
        <f>'DOE25'!G502</f>
        <v>0</v>
      </c>
      <c r="D163" s="137">
        <f>'DOE25'!H502</f>
        <v>0</v>
      </c>
      <c r="E163" s="137">
        <f>'DOE25'!I502</f>
        <v>0</v>
      </c>
      <c r="F163" s="137">
        <f>'DOE25'!J502</f>
        <v>0</v>
      </c>
      <c r="G163" s="138">
        <f t="shared" si="0"/>
        <v>118748</v>
      </c>
    </row>
    <row r="164" spans="1:7" x14ac:dyDescent="0.2">
      <c r="A164" s="22" t="s">
        <v>246</v>
      </c>
      <c r="B164" s="137">
        <f>'DOE25'!F503</f>
        <v>828748</v>
      </c>
      <c r="C164" s="137">
        <f>'DOE25'!G503</f>
        <v>0</v>
      </c>
      <c r="D164" s="137">
        <f>'DOE25'!H503</f>
        <v>0</v>
      </c>
      <c r="E164" s="137">
        <f>'DOE25'!I503</f>
        <v>0</v>
      </c>
      <c r="F164" s="137">
        <f>'DOE25'!J503</f>
        <v>0</v>
      </c>
      <c r="G164" s="138">
        <f t="shared" si="0"/>
        <v>828748</v>
      </c>
    </row>
  </sheetData>
  <sheetProtection password="930A" sheet="1" objects="1" scenarios="1"/>
  <phoneticPr fontId="0" type="noConversion"/>
  <printOptions gridLines="1" gridLinesSet="0"/>
  <pageMargins left="0.75" right="0.75" top="1" bottom="1" header="0.5" footer="0.5"/>
  <pageSetup scale="80" orientation="landscape"/>
  <headerFooter alignWithMargins="0">
    <oddHeader>&amp;C&amp;A
2018-2019</oddHeader>
    <oddFooter>&amp;CPage &amp;P&amp;R&amp;D&amp;T</oddFooter>
  </headerFooter>
  <rowBreaks count="3" manualBreakCount="3">
    <brk id="82" max="16383" man="1"/>
    <brk id="105" max="16383" man="1"/>
    <brk id="146" max="16383" man="1"/>
  </rowBreak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zoomScale="150" zoomScaleNormal="150" zoomScalePageLayoutView="150" workbookViewId="0">
      <selection activeCell="C6" sqref="C6"/>
    </sheetView>
  </sheetViews>
  <sheetFormatPr defaultColWidth="9"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Barrington School District</v>
      </c>
    </row>
    <row r="3" spans="1:4" x14ac:dyDescent="0.2">
      <c r="B3" s="188" t="s">
        <v>1602</v>
      </c>
    </row>
    <row r="4" spans="1:4" x14ac:dyDescent="0.2">
      <c r="B4" t="s">
        <v>61</v>
      </c>
      <c r="C4" s="179">
        <f>IF('DOE25'!F665+'DOE25'!F670=0,0,ROUND('DOE25'!F672,0))</f>
        <v>14019</v>
      </c>
    </row>
    <row r="5" spans="1:4" x14ac:dyDescent="0.2">
      <c r="B5" t="s">
        <v>700</v>
      </c>
      <c r="C5" s="179">
        <f>IF('DOE25'!G665+'DOE25'!G670=0,0,ROUND('DOE25'!G672,0))</f>
        <v>15209</v>
      </c>
    </row>
    <row r="6" spans="1:4" x14ac:dyDescent="0.2">
      <c r="B6" t="s">
        <v>62</v>
      </c>
      <c r="C6" s="179">
        <f>IF('DOE25'!H665+'DOE25'!H670=0,0,ROUND('DOE25'!H672,0))</f>
        <v>0</v>
      </c>
    </row>
    <row r="7" spans="1:4" x14ac:dyDescent="0.2">
      <c r="B7" t="s">
        <v>701</v>
      </c>
      <c r="C7" s="179">
        <f>IF('DOE25'!I665+'DOE25'!I670=0,0,ROUND('DOE25'!I672,0))</f>
        <v>14550</v>
      </c>
    </row>
    <row r="9" spans="1:4" x14ac:dyDescent="0.2">
      <c r="A9" s="187" t="s">
        <v>94</v>
      </c>
      <c r="B9" s="188" t="s">
        <v>1603</v>
      </c>
      <c r="C9" s="181" t="s">
        <v>720</v>
      </c>
      <c r="D9" s="181" t="s">
        <v>721</v>
      </c>
    </row>
    <row r="10" spans="1:4" x14ac:dyDescent="0.2">
      <c r="A10">
        <v>1100</v>
      </c>
      <c r="B10" t="s">
        <v>702</v>
      </c>
      <c r="C10" s="179">
        <f>ROUND('DOE25'!L197+'DOE25'!L215+'DOE25'!L233+'DOE25'!L276+'DOE25'!L295+'DOE25'!L314,0)</f>
        <v>12358826</v>
      </c>
      <c r="D10" s="182">
        <f>ROUND((C10/$C$28)*100,1)</f>
        <v>53.8</v>
      </c>
    </row>
    <row r="11" spans="1:4" x14ac:dyDescent="0.2">
      <c r="A11">
        <v>1200</v>
      </c>
      <c r="B11" t="s">
        <v>703</v>
      </c>
      <c r="C11" s="179">
        <f>ROUND('DOE25'!L198+'DOE25'!L216+'DOE25'!L234+'DOE25'!L277+'DOE25'!L296+'DOE25'!L315,0)</f>
        <v>3698926</v>
      </c>
      <c r="D11" s="182">
        <f>ROUND((C11/$C$28)*100,1)</f>
        <v>16.100000000000001</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67920</v>
      </c>
      <c r="D13" s="182">
        <f>ROUND((C13/$C$28)*100,1)</f>
        <v>0.3</v>
      </c>
    </row>
    <row r="14" spans="1:4" x14ac:dyDescent="0.2">
      <c r="D14" s="182"/>
    </row>
    <row r="15" spans="1:4" x14ac:dyDescent="0.2">
      <c r="A15">
        <v>2100</v>
      </c>
      <c r="B15" t="s">
        <v>706</v>
      </c>
      <c r="C15" s="179">
        <f>ROUND('DOE25'!L202+'DOE25'!L220+'DOE25'!L238+'DOE25'!L281+'DOE25'!L300+'DOE25'!L319,0)</f>
        <v>1455905</v>
      </c>
      <c r="D15" s="182">
        <f t="shared" ref="D15:D27" si="0">ROUND((C15/$C$28)*100,1)</f>
        <v>6.3</v>
      </c>
    </row>
    <row r="16" spans="1:4" x14ac:dyDescent="0.2">
      <c r="A16">
        <v>2200</v>
      </c>
      <c r="B16" t="s">
        <v>707</v>
      </c>
      <c r="C16" s="179">
        <f>ROUND('DOE25'!L203+'DOE25'!L221+'DOE25'!L239+'DOE25'!L282+'DOE25'!L301+'DOE25'!L320,0)</f>
        <v>883806</v>
      </c>
      <c r="D16" s="182">
        <f t="shared" si="0"/>
        <v>3.8</v>
      </c>
    </row>
    <row r="17" spans="1:4" x14ac:dyDescent="0.2">
      <c r="A17" s="183" t="s">
        <v>723</v>
      </c>
      <c r="B17" t="s">
        <v>738</v>
      </c>
      <c r="C17" s="179">
        <f>ROUND('DOE25'!L204+'DOE25'!L209+'DOE25'!L222+'DOE25'!L227+'DOE25'!L240+'DOE25'!L245+'DOE25'!L283+'DOE25'!L288+'DOE25'!L302+'DOE25'!L307+'DOE25'!L321+'DOE25'!L326,0)</f>
        <v>774313</v>
      </c>
      <c r="D17" s="182">
        <f t="shared" si="0"/>
        <v>3.4</v>
      </c>
    </row>
    <row r="18" spans="1:4" x14ac:dyDescent="0.2">
      <c r="A18">
        <v>2400</v>
      </c>
      <c r="B18" t="s">
        <v>711</v>
      </c>
      <c r="C18" s="179">
        <f>ROUND('DOE25'!L205+'DOE25'!L223+'DOE25'!L241+'DOE25'!L284+'DOE25'!L303+'DOE25'!L322,0)</f>
        <v>790351</v>
      </c>
      <c r="D18" s="182">
        <f t="shared" si="0"/>
        <v>3.4</v>
      </c>
    </row>
    <row r="19" spans="1:4" x14ac:dyDescent="0.2">
      <c r="A19">
        <v>2500</v>
      </c>
      <c r="B19" t="s">
        <v>708</v>
      </c>
      <c r="C19" s="179">
        <f>ROUND('DOE25'!L206+'DOE25'!L224+'DOE25'!L242+'DOE25'!L285+'DOE25'!L304+'DOE25'!L323,0)</f>
        <v>208847</v>
      </c>
      <c r="D19" s="182">
        <f t="shared" si="0"/>
        <v>0.9</v>
      </c>
    </row>
    <row r="20" spans="1:4" x14ac:dyDescent="0.2">
      <c r="A20">
        <v>2600</v>
      </c>
      <c r="B20" t="s">
        <v>709</v>
      </c>
      <c r="C20" s="179">
        <f>ROUND('DOE25'!L207+'DOE25'!L225+'DOE25'!L243+'DOE25'!L286+'DOE25'!L305+'DOE25'!L324,0)</f>
        <v>1435098</v>
      </c>
      <c r="D20" s="182">
        <f t="shared" si="0"/>
        <v>6.2</v>
      </c>
    </row>
    <row r="21" spans="1:4" x14ac:dyDescent="0.2">
      <c r="A21">
        <v>2700</v>
      </c>
      <c r="B21" t="s">
        <v>710</v>
      </c>
      <c r="C21" s="179">
        <f>ROUND('DOE25'!L208+'DOE25'!L226+'DOE25'!L244+'DOE25'!L287+'DOE25'!L306+'DOE25'!L325,0)</f>
        <v>1064673</v>
      </c>
      <c r="D21" s="182">
        <f t="shared" si="0"/>
        <v>4.5999999999999996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151408</v>
      </c>
      <c r="D25" s="182">
        <f t="shared" si="0"/>
        <v>0.7</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102044.41</v>
      </c>
      <c r="D27" s="182">
        <f t="shared" si="0"/>
        <v>0.4</v>
      </c>
    </row>
    <row r="28" spans="1:4" x14ac:dyDescent="0.2">
      <c r="B28" s="187" t="s">
        <v>719</v>
      </c>
      <c r="C28" s="180">
        <f>SUM(C10:C27)</f>
        <v>22992117.41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22992117.41</v>
      </c>
    </row>
    <row r="31" spans="1:4" x14ac:dyDescent="0.2">
      <c r="B31" s="33"/>
      <c r="C31" s="180"/>
    </row>
    <row r="32" spans="1:4" x14ac:dyDescent="0.2">
      <c r="A32">
        <v>5100</v>
      </c>
      <c r="B32" s="33" t="s">
        <v>726</v>
      </c>
      <c r="C32" s="180">
        <f>ROUND('DOE25'!L260+'DOE25'!L341,0)</f>
        <v>710000</v>
      </c>
    </row>
    <row r="34" spans="1:4" x14ac:dyDescent="0.2">
      <c r="A34" s="187" t="s">
        <v>94</v>
      </c>
      <c r="B34" s="188" t="s">
        <v>1604</v>
      </c>
      <c r="C34" s="181" t="s">
        <v>720</v>
      </c>
      <c r="D34" s="181" t="s">
        <v>721</v>
      </c>
    </row>
    <row r="35" spans="1:4" x14ac:dyDescent="0.2">
      <c r="A35">
        <v>1100</v>
      </c>
      <c r="B35" s="185" t="s">
        <v>727</v>
      </c>
      <c r="C35" s="179">
        <f>ROUND('DOE25'!F60+'DOE25'!G60+'DOE25'!H60+'DOE25'!I60+'DOE25'!J60,0)</f>
        <v>16032076</v>
      </c>
      <c r="D35" s="182">
        <f t="shared" ref="D35:D40" si="1">ROUND((C35/$C$41)*100,1)</f>
        <v>68.3</v>
      </c>
    </row>
    <row r="36" spans="1:4" x14ac:dyDescent="0.2">
      <c r="B36" s="185" t="s">
        <v>739</v>
      </c>
      <c r="C36" s="179">
        <f>SUM('DOE25'!F112:J112)-SUM('DOE25'!G97:G110)+('DOE25'!F174+'DOE25'!F175+'DOE25'!I174+'DOE25'!I175)-C35</f>
        <v>145356.80999999866</v>
      </c>
      <c r="D36" s="182">
        <f t="shared" si="1"/>
        <v>0.6</v>
      </c>
    </row>
    <row r="37" spans="1:4" x14ac:dyDescent="0.2">
      <c r="A37" s="183" t="s">
        <v>835</v>
      </c>
      <c r="B37" s="185" t="s">
        <v>728</v>
      </c>
      <c r="C37" s="179">
        <f>ROUND('DOE25'!F117+'DOE25'!F118,0)</f>
        <v>6110851</v>
      </c>
      <c r="D37" s="182">
        <f t="shared" si="1"/>
        <v>26</v>
      </c>
    </row>
    <row r="38" spans="1:4" x14ac:dyDescent="0.2">
      <c r="A38" s="183" t="s">
        <v>734</v>
      </c>
      <c r="B38" s="185" t="s">
        <v>729</v>
      </c>
      <c r="C38" s="179">
        <f>ROUND(SUM('DOE25'!F140:J140)-SUM('DOE25'!F117:F119),0)</f>
        <v>490574</v>
      </c>
      <c r="D38" s="182">
        <f t="shared" si="1"/>
        <v>2.1</v>
      </c>
    </row>
    <row r="39" spans="1:4" x14ac:dyDescent="0.2">
      <c r="A39">
        <v>4000</v>
      </c>
      <c r="B39" s="185" t="s">
        <v>730</v>
      </c>
      <c r="C39" s="179">
        <f>ROUND('DOE25'!F169+'DOE25'!G169+'DOE25'!H169+'DOE25'!I169,0)</f>
        <v>700006</v>
      </c>
      <c r="D39" s="182">
        <f t="shared" si="1"/>
        <v>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23478863.809999999</v>
      </c>
      <c r="D41" s="184">
        <f>SUM(D35:D40)</f>
        <v>99.999999999999986</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headerFooter alignWithMargins="0">
    <oddHeader>&amp;A</oddHeader>
    <oddFooter>Page &amp;P</oddFooter>
  </headerFooter>
  <ignoredErrors>
    <ignoredError sqref="D10:D28" evalError="1"/>
  </ignoredError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topLeftCell="B1" workbookViewId="0">
      <pane ySplit="3" topLeftCell="A4" activePane="bottomLeft" state="frozen"/>
      <selection activeCell="F46" sqref="F46"/>
      <selection pane="bottomLeft" activeCell="A4" sqref="A4"/>
    </sheetView>
  </sheetViews>
  <sheetFormatPr defaultColWidth="9"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Barrington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headerFooter alignWithMargins="0">
    <oddHeader>&amp;LDistrict Notes</oddHeader>
    <oddFooter>&amp;CPage &amp;P of &amp;N</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ColWidth="9"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2019-11-01T14:34:04Z</cp:lastPrinted>
  <dcterms:created xsi:type="dcterms:W3CDTF">1997-12-04T19:04:30Z</dcterms:created>
  <dcterms:modified xsi:type="dcterms:W3CDTF">2019-11-22T14:20:49Z</dcterms:modified>
</cp:coreProperties>
</file>