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Final\"/>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J595" i="1" l="1"/>
  <c r="D7" i="14" l="1"/>
  <c r="D9" i="14"/>
  <c r="D8" i="14"/>
  <c r="D6" i="14"/>
  <c r="D5" i="14"/>
  <c r="F582" i="1"/>
  <c r="D25" i="14"/>
  <c r="D37" i="14"/>
  <c r="E8" i="14"/>
  <c r="E7" i="14"/>
  <c r="E6" i="14"/>
  <c r="E5" i="14"/>
  <c r="E37" i="14"/>
  <c r="E25" i="14"/>
  <c r="H102" i="1"/>
  <c r="H159" i="1"/>
  <c r="F22" i="1"/>
  <c r="F50" i="1"/>
  <c r="F13" i="1"/>
  <c r="F9" i="1"/>
  <c r="F14" i="1"/>
  <c r="F24" i="1"/>
  <c r="G13" i="1"/>
  <c r="H155" i="1"/>
  <c r="K268" i="1" l="1"/>
  <c r="H528" i="1"/>
  <c r="I523" i="1"/>
  <c r="H523" i="1"/>
  <c r="I527" i="1"/>
  <c r="H527" i="1"/>
  <c r="I522" i="1"/>
  <c r="H522" i="1"/>
  <c r="I526" i="1"/>
  <c r="H526" i="1"/>
  <c r="I521" i="1"/>
  <c r="H521" i="1"/>
  <c r="K533" i="1"/>
  <c r="K532" i="1"/>
  <c r="K531" i="1"/>
  <c r="H533" i="1"/>
  <c r="H532" i="1"/>
  <c r="H531" i="1"/>
  <c r="I528" i="1"/>
  <c r="F528" i="1"/>
  <c r="F527" i="1"/>
  <c r="F526" i="1"/>
  <c r="F523" i="1"/>
  <c r="F522" i="1"/>
  <c r="F521" i="1"/>
  <c r="G533" i="1"/>
  <c r="F533" i="1"/>
  <c r="G523" i="1" l="1"/>
  <c r="G522" i="1"/>
  <c r="G526" i="1"/>
  <c r="G521" i="1"/>
  <c r="G532" i="1"/>
  <c r="F532" i="1"/>
  <c r="F531" i="1"/>
  <c r="H154" i="1"/>
  <c r="H13" i="1" l="1"/>
  <c r="G567" i="1" l="1"/>
  <c r="F567" i="1"/>
  <c r="I315" i="1"/>
  <c r="I314" i="1"/>
  <c r="I317" i="1"/>
  <c r="I295" i="1"/>
  <c r="I296" i="1"/>
  <c r="I298" i="1"/>
  <c r="I276" i="1"/>
  <c r="I277" i="1"/>
  <c r="I279" i="1"/>
  <c r="H320" i="1"/>
  <c r="H319" i="1"/>
  <c r="H301" i="1"/>
  <c r="H305" i="1"/>
  <c r="H324" i="1"/>
  <c r="H282" i="1"/>
  <c r="H281" i="1"/>
  <c r="H286" i="1"/>
  <c r="H276" i="1"/>
  <c r="G321" i="1" l="1"/>
  <c r="H238" i="1" l="1"/>
  <c r="H236" i="1"/>
  <c r="H240" i="1"/>
  <c r="H239" i="1"/>
  <c r="H218" i="1"/>
  <c r="I240" i="1"/>
  <c r="I243" i="1"/>
  <c r="I207" i="1"/>
  <c r="I222" i="1"/>
  <c r="I204" i="1"/>
  <c r="I220" i="1"/>
  <c r="I202" i="1"/>
  <c r="I236" i="1"/>
  <c r="I216" i="1"/>
  <c r="J276" i="1"/>
  <c r="J239" i="1"/>
  <c r="I239" i="1"/>
  <c r="H226" i="1"/>
  <c r="J592" i="1"/>
  <c r="I592" i="1"/>
  <c r="H592" i="1"/>
  <c r="J591" i="1"/>
  <c r="I591" i="1"/>
  <c r="H591" i="1"/>
  <c r="H244" i="1"/>
  <c r="H245" i="1"/>
  <c r="H227" i="1"/>
  <c r="H209" i="1"/>
  <c r="I225" i="1"/>
  <c r="H207" i="1"/>
  <c r="J241" i="1" l="1"/>
  <c r="I241" i="1"/>
  <c r="I223" i="1"/>
  <c r="I205" i="1"/>
  <c r="H222" i="1"/>
  <c r="H204" i="1"/>
  <c r="J203" i="1"/>
  <c r="I203" i="1"/>
  <c r="I221" i="1"/>
  <c r="H221" i="1"/>
  <c r="H203" i="1"/>
  <c r="H202" i="1"/>
  <c r="H220" i="1"/>
  <c r="I234" i="1"/>
  <c r="I198" i="1"/>
  <c r="I233" i="1"/>
  <c r="I215" i="1"/>
  <c r="I197" i="1"/>
  <c r="H205" i="1"/>
  <c r="H198" i="1"/>
  <c r="H197" i="1"/>
  <c r="H216" i="1"/>
  <c r="H215" i="1"/>
  <c r="H241" i="1"/>
  <c r="K236" i="1"/>
  <c r="H234" i="1"/>
  <c r="J233" i="1"/>
  <c r="H233" i="1"/>
  <c r="G239" i="1"/>
  <c r="G221" i="1"/>
  <c r="G203" i="1"/>
  <c r="C11" i="12"/>
  <c r="C10" i="12"/>
  <c r="B10" i="12"/>
  <c r="B11" i="12"/>
  <c r="B20" i="12"/>
  <c r="B19" i="12"/>
  <c r="G283" i="1"/>
  <c r="F277" i="1"/>
  <c r="F282" i="1"/>
  <c r="F283" i="1"/>
  <c r="F333" i="1"/>
  <c r="G251" i="1" l="1"/>
  <c r="G215" i="1"/>
  <c r="G243" i="1"/>
  <c r="G241" i="1"/>
  <c r="G238" i="1"/>
  <c r="G236" i="1"/>
  <c r="G234" i="1"/>
  <c r="G233" i="1"/>
  <c r="G240" i="1"/>
  <c r="G220" i="1"/>
  <c r="G225" i="1"/>
  <c r="G223" i="1"/>
  <c r="G218" i="1"/>
  <c r="G216" i="1"/>
  <c r="G197" i="1"/>
  <c r="G205" i="1"/>
  <c r="G207" i="1"/>
  <c r="G200" i="1"/>
  <c r="G198" i="1"/>
  <c r="F233" i="1"/>
  <c r="F243" i="1"/>
  <c r="F242" i="1"/>
  <c r="F241" i="1"/>
  <c r="F238" i="1"/>
  <c r="F236" i="1"/>
  <c r="F234" i="1"/>
  <c r="F244" i="1"/>
  <c r="F240" i="1"/>
  <c r="F239" i="1"/>
  <c r="F215" i="1"/>
  <c r="F225" i="1"/>
  <c r="F223" i="1"/>
  <c r="F220" i="1"/>
  <c r="F218" i="1"/>
  <c r="F216" i="1"/>
  <c r="F202" i="1"/>
  <c r="F207" i="1"/>
  <c r="F205" i="1"/>
  <c r="F200" i="1"/>
  <c r="F198" i="1"/>
  <c r="F197" i="1"/>
  <c r="F472" i="1"/>
  <c r="F120" i="1"/>
  <c r="F126" i="1"/>
  <c r="F579" i="1" l="1"/>
  <c r="G582" i="1"/>
  <c r="H584" i="1"/>
  <c r="H498" i="1"/>
  <c r="G498" i="1"/>
  <c r="G499" i="1"/>
  <c r="H499" i="1"/>
  <c r="F368" i="1"/>
  <c r="H368" i="1"/>
  <c r="G368" i="1"/>
  <c r="H367" i="1"/>
  <c r="G367" i="1"/>
  <c r="F367" i="1"/>
  <c r="H358" i="1"/>
  <c r="H360" i="1"/>
  <c r="J360" i="1"/>
  <c r="I360" i="1"/>
  <c r="F360" i="1"/>
  <c r="J359" i="1"/>
  <c r="I359" i="1"/>
  <c r="H359" i="1"/>
  <c r="F359" i="1"/>
  <c r="G360" i="1"/>
  <c r="G359" i="1"/>
  <c r="J358" i="1"/>
  <c r="I358" i="1"/>
  <c r="G358" i="1"/>
  <c r="F358" i="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L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26" i="15"/>
  <c r="F327" i="15"/>
  <c r="F3" i="15"/>
  <c r="B8" i="14"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C120" i="2" s="1"/>
  <c r="D39" i="13"/>
  <c r="G13" i="13"/>
  <c r="H13" i="13"/>
  <c r="L206" i="1"/>
  <c r="E13" i="13" s="1"/>
  <c r="C13" i="13" s="1"/>
  <c r="L224" i="1"/>
  <c r="L242" i="1"/>
  <c r="G16" i="13"/>
  <c r="H16" i="13"/>
  <c r="L209" i="1"/>
  <c r="L227" i="1"/>
  <c r="L245" i="1"/>
  <c r="G5" i="13"/>
  <c r="H5" i="13"/>
  <c r="L197" i="1"/>
  <c r="L198" i="1"/>
  <c r="L199" i="1"/>
  <c r="L200" i="1"/>
  <c r="L215" i="1"/>
  <c r="L216" i="1"/>
  <c r="L217" i="1"/>
  <c r="L218" i="1"/>
  <c r="L233" i="1"/>
  <c r="L234" i="1"/>
  <c r="L235" i="1"/>
  <c r="C12" i="10" s="1"/>
  <c r="L236" i="1"/>
  <c r="C112" i="2" s="1"/>
  <c r="G6" i="13"/>
  <c r="H6" i="13"/>
  <c r="L202" i="1"/>
  <c r="L220" i="1"/>
  <c r="L238" i="1"/>
  <c r="G7" i="13"/>
  <c r="H7" i="13"/>
  <c r="L203" i="1"/>
  <c r="L221" i="1"/>
  <c r="L239" i="1"/>
  <c r="C119" i="2" s="1"/>
  <c r="G12" i="13"/>
  <c r="H12" i="13"/>
  <c r="L205" i="1"/>
  <c r="L223" i="1"/>
  <c r="L241" i="1"/>
  <c r="G14" i="13"/>
  <c r="H14" i="13"/>
  <c r="L207" i="1"/>
  <c r="L225" i="1"/>
  <c r="L243" i="1"/>
  <c r="G15" i="13"/>
  <c r="H15" i="13"/>
  <c r="L208" i="1"/>
  <c r="L226" i="1"/>
  <c r="G650" i="1" s="1"/>
  <c r="L244" i="1"/>
  <c r="G17" i="13"/>
  <c r="H17" i="13"/>
  <c r="L251" i="1"/>
  <c r="G18" i="13"/>
  <c r="H18" i="13"/>
  <c r="L252" i="1"/>
  <c r="D18" i="13" s="1"/>
  <c r="C18" i="13" s="1"/>
  <c r="G19" i="13"/>
  <c r="H19" i="13"/>
  <c r="L253" i="1"/>
  <c r="G29" i="13"/>
  <c r="H29" i="13"/>
  <c r="L358" i="1"/>
  <c r="L359" i="1"/>
  <c r="L360" i="1"/>
  <c r="G661" i="1" s="1"/>
  <c r="I367" i="1"/>
  <c r="J290" i="1"/>
  <c r="J309" i="1"/>
  <c r="J328" i="1"/>
  <c r="K290" i="1"/>
  <c r="K309" i="1"/>
  <c r="K328" i="1"/>
  <c r="L276" i="1"/>
  <c r="L277" i="1"/>
  <c r="L278" i="1"/>
  <c r="L279" i="1"/>
  <c r="L281" i="1"/>
  <c r="L282" i="1"/>
  <c r="L283" i="1"/>
  <c r="L284" i="1"/>
  <c r="E121" i="2" s="1"/>
  <c r="L285" i="1"/>
  <c r="L286" i="1"/>
  <c r="L287" i="1"/>
  <c r="L288" i="1"/>
  <c r="E125" i="2" s="1"/>
  <c r="L295" i="1"/>
  <c r="L296" i="1"/>
  <c r="L297" i="1"/>
  <c r="L298" i="1"/>
  <c r="L300" i="1"/>
  <c r="L301" i="1"/>
  <c r="L302" i="1"/>
  <c r="L303" i="1"/>
  <c r="L304" i="1"/>
  <c r="L305" i="1"/>
  <c r="L306" i="1"/>
  <c r="L307" i="1"/>
  <c r="L314" i="1"/>
  <c r="L315" i="1"/>
  <c r="L316" i="1"/>
  <c r="L317" i="1"/>
  <c r="L319" i="1"/>
  <c r="L320" i="1"/>
  <c r="L321" i="1"/>
  <c r="L322" i="1"/>
  <c r="L323" i="1"/>
  <c r="L324" i="1"/>
  <c r="L325" i="1"/>
  <c r="L326" i="1"/>
  <c r="L333" i="1"/>
  <c r="E114" i="2" s="1"/>
  <c r="L334" i="1"/>
  <c r="L335" i="1"/>
  <c r="L260" i="1"/>
  <c r="C32" i="10" s="1"/>
  <c r="L261" i="1"/>
  <c r="C132" i="2" s="1"/>
  <c r="L341" i="1"/>
  <c r="L342" i="1"/>
  <c r="L255" i="1"/>
  <c r="L336" i="1"/>
  <c r="E130" i="2" s="1"/>
  <c r="C11" i="13"/>
  <c r="C10" i="13"/>
  <c r="C9" i="13"/>
  <c r="L361" i="1"/>
  <c r="B4" i="12"/>
  <c r="B36" i="12"/>
  <c r="C36" i="12"/>
  <c r="B40" i="12"/>
  <c r="C40" i="12"/>
  <c r="B27" i="12"/>
  <c r="C27" i="12"/>
  <c r="B31" i="12"/>
  <c r="A31" i="12" s="1"/>
  <c r="C31" i="12"/>
  <c r="B9" i="12"/>
  <c r="B13" i="12"/>
  <c r="C9" i="12"/>
  <c r="C13" i="12"/>
  <c r="B18" i="12"/>
  <c r="B22" i="12"/>
  <c r="C18" i="12"/>
  <c r="C22" i="12"/>
  <c r="B1" i="12"/>
  <c r="L387" i="1"/>
  <c r="L388" i="1"/>
  <c r="L389" i="1"/>
  <c r="L390" i="1"/>
  <c r="L391" i="1"/>
  <c r="L392" i="1"/>
  <c r="L395" i="1"/>
  <c r="L396" i="1"/>
  <c r="L397" i="1"/>
  <c r="L398" i="1"/>
  <c r="L401" i="1" s="1"/>
  <c r="C139" i="2" s="1"/>
  <c r="L399" i="1"/>
  <c r="L400" i="1"/>
  <c r="L403" i="1"/>
  <c r="L404" i="1"/>
  <c r="L405" i="1"/>
  <c r="L406" i="1"/>
  <c r="L266" i="1"/>
  <c r="J60" i="1"/>
  <c r="G56" i="2" s="1"/>
  <c r="G59" i="2"/>
  <c r="G61" i="2"/>
  <c r="F2" i="11"/>
  <c r="L613" i="1"/>
  <c r="H663" i="1" s="1"/>
  <c r="L612" i="1"/>
  <c r="G663" i="1" s="1"/>
  <c r="L611" i="1"/>
  <c r="F663" i="1" s="1"/>
  <c r="C40" i="10"/>
  <c r="F60" i="1"/>
  <c r="G60" i="1"/>
  <c r="H60" i="1"/>
  <c r="I60" i="1"/>
  <c r="F79" i="1"/>
  <c r="C57" i="2" s="1"/>
  <c r="F94" i="1"/>
  <c r="F111" i="1"/>
  <c r="G111" i="1"/>
  <c r="G112" i="1" s="1"/>
  <c r="H79" i="1"/>
  <c r="E57" i="2" s="1"/>
  <c r="H94" i="1"/>
  <c r="H111" i="1"/>
  <c r="H112" i="1" s="1"/>
  <c r="I111" i="1"/>
  <c r="I112" i="1" s="1"/>
  <c r="J111" i="1"/>
  <c r="J112" i="1" s="1"/>
  <c r="F121" i="1"/>
  <c r="F136" i="1"/>
  <c r="G121" i="1"/>
  <c r="G136" i="1"/>
  <c r="H121" i="1"/>
  <c r="H136" i="1"/>
  <c r="I121" i="1"/>
  <c r="I136" i="1"/>
  <c r="J121" i="1"/>
  <c r="J136" i="1"/>
  <c r="F147" i="1"/>
  <c r="F162" i="1"/>
  <c r="F169" i="1" s="1"/>
  <c r="G147" i="1"/>
  <c r="G162" i="1"/>
  <c r="H147" i="1"/>
  <c r="E85" i="2" s="1"/>
  <c r="H162" i="1"/>
  <c r="H169" i="1" s="1"/>
  <c r="I147" i="1"/>
  <c r="I162" i="1"/>
  <c r="L250" i="1"/>
  <c r="C113" i="2" s="1"/>
  <c r="L332" i="1"/>
  <c r="E113" i="2" s="1"/>
  <c r="L254" i="1"/>
  <c r="L268" i="1"/>
  <c r="L269" i="1"/>
  <c r="C143" i="2" s="1"/>
  <c r="L349" i="1"/>
  <c r="L350" i="1"/>
  <c r="I665" i="1"/>
  <c r="I670" i="1"/>
  <c r="I669" i="1"/>
  <c r="C42" i="10"/>
  <c r="L374" i="1"/>
  <c r="L375" i="1"/>
  <c r="L376" i="1"/>
  <c r="L377" i="1"/>
  <c r="L378" i="1"/>
  <c r="L379" i="1"/>
  <c r="L380" i="1"/>
  <c r="B2" i="10"/>
  <c r="L344" i="1"/>
  <c r="L345" i="1"/>
  <c r="L346" i="1"/>
  <c r="L347" i="1"/>
  <c r="K351" i="1"/>
  <c r="L521" i="1"/>
  <c r="F549" i="1" s="1"/>
  <c r="L522" i="1"/>
  <c r="F550" i="1" s="1"/>
  <c r="L523" i="1"/>
  <c r="F551" i="1" s="1"/>
  <c r="L526" i="1"/>
  <c r="G549" i="1" s="1"/>
  <c r="L527" i="1"/>
  <c r="G550" i="1" s="1"/>
  <c r="L528" i="1"/>
  <c r="G551" i="1" s="1"/>
  <c r="L531" i="1"/>
  <c r="H549" i="1" s="1"/>
  <c r="L532" i="1"/>
  <c r="H550" i="1" s="1"/>
  <c r="L533" i="1"/>
  <c r="H551" i="1" s="1"/>
  <c r="L536" i="1"/>
  <c r="I549" i="1" s="1"/>
  <c r="L537" i="1"/>
  <c r="I550" i="1" s="1"/>
  <c r="L538" i="1"/>
  <c r="I551" i="1" s="1"/>
  <c r="L541" i="1"/>
  <c r="J549" i="1" s="1"/>
  <c r="L542" i="1"/>
  <c r="J550" i="1" s="1"/>
  <c r="L543" i="1"/>
  <c r="J551" i="1" s="1"/>
  <c r="E132" i="2"/>
  <c r="E131" i="2"/>
  <c r="K270" i="1"/>
  <c r="L270" i="1" s="1"/>
  <c r="J270" i="1"/>
  <c r="I270" i="1"/>
  <c r="H270" i="1"/>
  <c r="G270" i="1"/>
  <c r="F270" i="1"/>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D81" i="2" s="1"/>
  <c r="E77" i="2"/>
  <c r="F77" i="2"/>
  <c r="G77" i="2"/>
  <c r="G78" i="2" s="1"/>
  <c r="C79" i="2"/>
  <c r="D79" i="2"/>
  <c r="E79" i="2"/>
  <c r="C80" i="2"/>
  <c r="E80" i="2"/>
  <c r="C85" i="2"/>
  <c r="D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E103" i="2" s="1"/>
  <c r="G98" i="2"/>
  <c r="C99" i="2"/>
  <c r="D99" i="2"/>
  <c r="E99" i="2"/>
  <c r="F99" i="2"/>
  <c r="C100" i="2"/>
  <c r="D100" i="2"/>
  <c r="E100" i="2"/>
  <c r="F100" i="2"/>
  <c r="C101" i="2"/>
  <c r="D101" i="2"/>
  <c r="E101" i="2"/>
  <c r="F101" i="2"/>
  <c r="C102" i="2"/>
  <c r="D102" i="2"/>
  <c r="E102" i="2"/>
  <c r="F102" i="2"/>
  <c r="E110" i="2"/>
  <c r="E111" i="2"/>
  <c r="E112" i="2"/>
  <c r="C114" i="2"/>
  <c r="D115" i="2"/>
  <c r="F115" i="2"/>
  <c r="G115" i="2"/>
  <c r="E119" i="2"/>
  <c r="E120" i="2"/>
  <c r="E123" i="2"/>
  <c r="E124" i="2"/>
  <c r="C125" i="2"/>
  <c r="F128" i="2"/>
  <c r="G128" i="2"/>
  <c r="C130" i="2"/>
  <c r="D134" i="2"/>
  <c r="D144" i="2" s="1"/>
  <c r="E134" i="2"/>
  <c r="F134" i="2"/>
  <c r="K419" i="1"/>
  <c r="K427" i="1"/>
  <c r="K433" i="1"/>
  <c r="L263" i="1"/>
  <c r="C135" i="2" s="1"/>
  <c r="E135" i="2"/>
  <c r="L264" i="1"/>
  <c r="C136" i="2" s="1"/>
  <c r="L265" i="1"/>
  <c r="C137" i="2" s="1"/>
  <c r="E137" i="2"/>
  <c r="E142"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I19" i="1"/>
  <c r="G620" i="1" s="1"/>
  <c r="F32" i="1"/>
  <c r="F52" i="1" s="1"/>
  <c r="H617" i="1" s="1"/>
  <c r="G32" i="1"/>
  <c r="G52" i="1" s="1"/>
  <c r="H618" i="1" s="1"/>
  <c r="H32" i="1"/>
  <c r="I32" i="1"/>
  <c r="H51" i="1"/>
  <c r="I51" i="1"/>
  <c r="F177" i="1"/>
  <c r="I177" i="1"/>
  <c r="F183" i="1"/>
  <c r="G183" i="1"/>
  <c r="H183" i="1"/>
  <c r="H192" i="1" s="1"/>
  <c r="I183" i="1"/>
  <c r="J183" i="1"/>
  <c r="J192" i="1" s="1"/>
  <c r="F188" i="1"/>
  <c r="G188" i="1"/>
  <c r="G192" i="1" s="1"/>
  <c r="H188" i="1"/>
  <c r="I188" i="1"/>
  <c r="F211" i="1"/>
  <c r="G211" i="1"/>
  <c r="H211" i="1"/>
  <c r="I211" i="1"/>
  <c r="J211" i="1"/>
  <c r="K211" i="1"/>
  <c r="F229" i="1"/>
  <c r="G229" i="1"/>
  <c r="H229" i="1"/>
  <c r="I229" i="1"/>
  <c r="J229" i="1"/>
  <c r="K229" i="1"/>
  <c r="F247" i="1"/>
  <c r="G247" i="1"/>
  <c r="H247" i="1"/>
  <c r="I247" i="1"/>
  <c r="J247" i="1"/>
  <c r="K247" i="1"/>
  <c r="F256" i="1"/>
  <c r="G256" i="1"/>
  <c r="H256" i="1"/>
  <c r="I256" i="1"/>
  <c r="J256" i="1"/>
  <c r="K256" i="1"/>
  <c r="F290" i="1"/>
  <c r="G290" i="1"/>
  <c r="H290" i="1"/>
  <c r="I290" i="1"/>
  <c r="F309" i="1"/>
  <c r="G309" i="1"/>
  <c r="H309" i="1"/>
  <c r="I309" i="1"/>
  <c r="F328" i="1"/>
  <c r="G328" i="1"/>
  <c r="H328" i="1"/>
  <c r="I328" i="1"/>
  <c r="F337" i="1"/>
  <c r="G337" i="1"/>
  <c r="H337" i="1"/>
  <c r="I337" i="1"/>
  <c r="J337" i="1"/>
  <c r="K337" i="1"/>
  <c r="K338" i="1" s="1"/>
  <c r="K352" i="1" s="1"/>
  <c r="F362" i="1"/>
  <c r="G362" i="1"/>
  <c r="H362" i="1"/>
  <c r="I362" i="1"/>
  <c r="G634" i="1" s="1"/>
  <c r="J362" i="1"/>
  <c r="K362" i="1"/>
  <c r="I368" i="1"/>
  <c r="F369" i="1"/>
  <c r="G369" i="1"/>
  <c r="H369" i="1"/>
  <c r="I369" i="1"/>
  <c r="H634" i="1" s="1"/>
  <c r="L381" i="1"/>
  <c r="F382" i="1"/>
  <c r="G382" i="1"/>
  <c r="H382" i="1"/>
  <c r="I382" i="1"/>
  <c r="J382" i="1"/>
  <c r="K382" i="1"/>
  <c r="F393" i="1"/>
  <c r="G393" i="1"/>
  <c r="H393" i="1"/>
  <c r="I393" i="1"/>
  <c r="F401" i="1"/>
  <c r="G401" i="1"/>
  <c r="H401" i="1"/>
  <c r="I401" i="1"/>
  <c r="F407" i="1"/>
  <c r="G407" i="1"/>
  <c r="H407" i="1"/>
  <c r="I407" i="1"/>
  <c r="F408" i="1"/>
  <c r="G408" i="1"/>
  <c r="H408" i="1"/>
  <c r="H644" i="1" s="1"/>
  <c r="I408" i="1"/>
  <c r="L413" i="1"/>
  <c r="L414" i="1"/>
  <c r="L415" i="1"/>
  <c r="L416" i="1"/>
  <c r="L417" i="1"/>
  <c r="L418" i="1"/>
  <c r="L419" i="1" s="1"/>
  <c r="F419" i="1"/>
  <c r="G419" i="1"/>
  <c r="H419" i="1"/>
  <c r="I419" i="1"/>
  <c r="J419" i="1"/>
  <c r="L421" i="1"/>
  <c r="L422" i="1"/>
  <c r="L423" i="1"/>
  <c r="L424" i="1"/>
  <c r="L425" i="1"/>
  <c r="L426" i="1"/>
  <c r="F427" i="1"/>
  <c r="G427" i="1"/>
  <c r="H427" i="1"/>
  <c r="I427" i="1"/>
  <c r="J427" i="1"/>
  <c r="L429" i="1"/>
  <c r="L430" i="1"/>
  <c r="L433" i="1" s="1"/>
  <c r="L431" i="1"/>
  <c r="L432" i="1"/>
  <c r="F433" i="1"/>
  <c r="G433" i="1"/>
  <c r="H433" i="1"/>
  <c r="I433" i="1"/>
  <c r="J433" i="1"/>
  <c r="F446" i="1"/>
  <c r="G639" i="1" s="1"/>
  <c r="G446" i="1"/>
  <c r="H446" i="1"/>
  <c r="G641" i="1" s="1"/>
  <c r="J641" i="1" s="1"/>
  <c r="F452" i="1"/>
  <c r="F461" i="1" s="1"/>
  <c r="H639" i="1" s="1"/>
  <c r="G452" i="1"/>
  <c r="G461" i="1" s="1"/>
  <c r="H640" i="1" s="1"/>
  <c r="H452" i="1"/>
  <c r="F460" i="1"/>
  <c r="G460" i="1"/>
  <c r="H460" i="1"/>
  <c r="H461" i="1" s="1"/>
  <c r="H641" i="1" s="1"/>
  <c r="F470" i="1"/>
  <c r="G470" i="1"/>
  <c r="H470" i="1"/>
  <c r="I470" i="1"/>
  <c r="J470" i="1"/>
  <c r="F474" i="1"/>
  <c r="G474" i="1"/>
  <c r="G476" i="1" s="1"/>
  <c r="H623" i="1" s="1"/>
  <c r="H474" i="1"/>
  <c r="I474" i="1"/>
  <c r="I476" i="1" s="1"/>
  <c r="H625" i="1" s="1"/>
  <c r="J474"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58" i="1"/>
  <c r="L559" i="1"/>
  <c r="F560" i="1"/>
  <c r="G560" i="1"/>
  <c r="H560" i="1"/>
  <c r="I560" i="1"/>
  <c r="J560" i="1"/>
  <c r="K560" i="1"/>
  <c r="L562" i="1"/>
  <c r="L563" i="1"/>
  <c r="L564" i="1"/>
  <c r="F565" i="1"/>
  <c r="G565" i="1"/>
  <c r="H565" i="1"/>
  <c r="I565" i="1"/>
  <c r="J565" i="1"/>
  <c r="J571" i="1" s="1"/>
  <c r="K565" i="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G619" i="1"/>
  <c r="G622" i="1"/>
  <c r="G623" i="1"/>
  <c r="G624" i="1"/>
  <c r="H627" i="1"/>
  <c r="H628" i="1"/>
  <c r="H629" i="1"/>
  <c r="H630" i="1"/>
  <c r="H631" i="1"/>
  <c r="H632" i="1"/>
  <c r="H633" i="1"/>
  <c r="H635" i="1"/>
  <c r="H636" i="1"/>
  <c r="H637" i="1"/>
  <c r="H638" i="1"/>
  <c r="G640" i="1"/>
  <c r="G643" i="1"/>
  <c r="H643" i="1"/>
  <c r="G644" i="1"/>
  <c r="G645" i="1"/>
  <c r="H645" i="1"/>
  <c r="G651" i="1"/>
  <c r="G652" i="1"/>
  <c r="H652" i="1"/>
  <c r="G653" i="1"/>
  <c r="H653" i="1"/>
  <c r="G654" i="1"/>
  <c r="H654" i="1"/>
  <c r="H655" i="1"/>
  <c r="L256" i="1"/>
  <c r="C91" i="2"/>
  <c r="D91" i="2"/>
  <c r="G62" i="2"/>
  <c r="I169" i="1"/>
  <c r="G552" i="1"/>
  <c r="J643" i="1"/>
  <c r="G338" i="1"/>
  <c r="G352" i="1" s="1"/>
  <c r="J140" i="1"/>
  <c r="G22" i="2"/>
  <c r="H140" i="1"/>
  <c r="L560" i="1"/>
  <c r="J655" i="1"/>
  <c r="J645" i="1"/>
  <c r="I545" i="1" l="1"/>
  <c r="J545" i="1"/>
  <c r="H552" i="1"/>
  <c r="F552" i="1"/>
  <c r="E62" i="2"/>
  <c r="E63" i="2" s="1"/>
  <c r="F571" i="1"/>
  <c r="G545" i="1"/>
  <c r="J552" i="1"/>
  <c r="H662" i="1"/>
  <c r="F18" i="2"/>
  <c r="G662" i="1"/>
  <c r="C20" i="10"/>
  <c r="J257" i="1"/>
  <c r="J271" i="1" s="1"/>
  <c r="D6" i="13"/>
  <c r="C6" i="13" s="1"/>
  <c r="C11" i="10"/>
  <c r="H257" i="1"/>
  <c r="H271" i="1" s="1"/>
  <c r="H476" i="1"/>
  <c r="H624" i="1" s="1"/>
  <c r="J624" i="1" s="1"/>
  <c r="F338" i="1"/>
  <c r="F352" i="1" s="1"/>
  <c r="C121" i="2"/>
  <c r="D15" i="13"/>
  <c r="C15" i="13" s="1"/>
  <c r="J651" i="1"/>
  <c r="C110" i="2"/>
  <c r="F257" i="1"/>
  <c r="F271" i="1" s="1"/>
  <c r="A40" i="12"/>
  <c r="C13" i="10"/>
  <c r="C18" i="10"/>
  <c r="K605" i="1"/>
  <c r="G648" i="1" s="1"/>
  <c r="I552" i="1"/>
  <c r="K549" i="1"/>
  <c r="E78" i="2"/>
  <c r="F192" i="1"/>
  <c r="D50" i="2"/>
  <c r="D31" i="2"/>
  <c r="D51" i="2" s="1"/>
  <c r="D18" i="2"/>
  <c r="J634" i="1"/>
  <c r="F661" i="1"/>
  <c r="L362" i="1"/>
  <c r="C27" i="10" s="1"/>
  <c r="J476" i="1"/>
  <c r="H626" i="1" s="1"/>
  <c r="C18" i="2"/>
  <c r="F476" i="1"/>
  <c r="H622" i="1" s="1"/>
  <c r="J622" i="1" s="1"/>
  <c r="L247" i="1"/>
  <c r="L211" i="1"/>
  <c r="I52" i="1"/>
  <c r="H620" i="1" s="1"/>
  <c r="L328" i="1"/>
  <c r="L309" i="1"/>
  <c r="E122" i="2"/>
  <c r="E118" i="2"/>
  <c r="L290" i="1"/>
  <c r="J623" i="1"/>
  <c r="L614" i="1"/>
  <c r="K598" i="1"/>
  <c r="G647" i="1" s="1"/>
  <c r="K571" i="1"/>
  <c r="L570" i="1"/>
  <c r="L571" i="1" s="1"/>
  <c r="H571" i="1"/>
  <c r="L565" i="1"/>
  <c r="I571" i="1"/>
  <c r="K545" i="1"/>
  <c r="H52" i="1"/>
  <c r="H619" i="1" s="1"/>
  <c r="J640" i="1"/>
  <c r="E31" i="2"/>
  <c r="F112" i="1"/>
  <c r="L393" i="1"/>
  <c r="C138" i="2" s="1"/>
  <c r="H647" i="1"/>
  <c r="J644" i="1"/>
  <c r="G625" i="1"/>
  <c r="L529" i="1"/>
  <c r="H545" i="1"/>
  <c r="G164" i="2"/>
  <c r="G161" i="2"/>
  <c r="G157" i="2"/>
  <c r="G156" i="2"/>
  <c r="G81" i="2"/>
  <c r="C78" i="2"/>
  <c r="F78" i="2"/>
  <c r="F81" i="2" s="1"/>
  <c r="C70" i="2"/>
  <c r="D62" i="2"/>
  <c r="D63" i="2" s="1"/>
  <c r="C131" i="2"/>
  <c r="C26" i="10"/>
  <c r="J625" i="1"/>
  <c r="L427" i="1"/>
  <c r="L434" i="1" s="1"/>
  <c r="G638" i="1" s="1"/>
  <c r="J638" i="1" s="1"/>
  <c r="I257" i="1"/>
  <c r="I271" i="1" s="1"/>
  <c r="K257" i="1"/>
  <c r="K271" i="1" s="1"/>
  <c r="L351" i="1"/>
  <c r="F130" i="2"/>
  <c r="F144" i="2" s="1"/>
  <c r="F145" i="2" s="1"/>
  <c r="J617" i="1"/>
  <c r="J639" i="1"/>
  <c r="K551" i="1"/>
  <c r="I25" i="13"/>
  <c r="K550" i="1"/>
  <c r="L534" i="1"/>
  <c r="K500" i="1"/>
  <c r="I460" i="1"/>
  <c r="I452" i="1"/>
  <c r="I446" i="1"/>
  <c r="G642" i="1" s="1"/>
  <c r="H338" i="1"/>
  <c r="H352" i="1" s="1"/>
  <c r="C123" i="2"/>
  <c r="E109" i="2"/>
  <c r="E115" i="2" s="1"/>
  <c r="C56" i="2"/>
  <c r="F662" i="1"/>
  <c r="I662" i="1" s="1"/>
  <c r="C25" i="10"/>
  <c r="C21" i="10"/>
  <c r="C17" i="10"/>
  <c r="D19" i="13"/>
  <c r="C19" i="13" s="1"/>
  <c r="D14" i="13"/>
  <c r="C14" i="13" s="1"/>
  <c r="C62" i="2"/>
  <c r="G22" i="13"/>
  <c r="C22" i="13" s="1"/>
  <c r="L539" i="1"/>
  <c r="K503" i="1"/>
  <c r="L382" i="1"/>
  <c r="G636" i="1" s="1"/>
  <c r="J636" i="1" s="1"/>
  <c r="G257" i="1"/>
  <c r="G271" i="1" s="1"/>
  <c r="C142" i="2"/>
  <c r="C111" i="2"/>
  <c r="H661" i="1"/>
  <c r="C15" i="10"/>
  <c r="A13" i="12"/>
  <c r="D29" i="13"/>
  <c r="C29" i="13" s="1"/>
  <c r="D12" i="13"/>
  <c r="C12" i="13" s="1"/>
  <c r="D5" i="13"/>
  <c r="C5" i="13" s="1"/>
  <c r="E8" i="13"/>
  <c r="C8" i="13" s="1"/>
  <c r="C35" i="10"/>
  <c r="C29" i="10"/>
  <c r="E81" i="2"/>
  <c r="G649" i="1"/>
  <c r="J649" i="1" s="1"/>
  <c r="L544" i="1"/>
  <c r="L524" i="1"/>
  <c r="J338" i="1"/>
  <c r="J352" i="1" s="1"/>
  <c r="D127" i="2"/>
  <c r="D128" i="2" s="1"/>
  <c r="D145" i="2" s="1"/>
  <c r="C124" i="2"/>
  <c r="C122" i="2"/>
  <c r="C118" i="2"/>
  <c r="C19" i="10"/>
  <c r="C16" i="10"/>
  <c r="D17" i="13"/>
  <c r="C17" i="13" s="1"/>
  <c r="D7" i="13"/>
  <c r="C7" i="13" s="1"/>
  <c r="E16" i="13"/>
  <c r="C16" i="13" s="1"/>
  <c r="C10" i="10"/>
  <c r="C109" i="2"/>
  <c r="L229" i="1"/>
  <c r="L337" i="1"/>
  <c r="F62" i="2"/>
  <c r="F63" i="2" s="1"/>
  <c r="C23" i="10"/>
  <c r="G163" i="2"/>
  <c r="G162" i="2"/>
  <c r="G160" i="2"/>
  <c r="G159" i="2"/>
  <c r="G158" i="2"/>
  <c r="G103" i="2"/>
  <c r="F103" i="2"/>
  <c r="C103" i="2"/>
  <c r="F91" i="2"/>
  <c r="E50" i="2"/>
  <c r="C50" i="2"/>
  <c r="F31" i="2"/>
  <c r="C31" i="2"/>
  <c r="E18" i="2"/>
  <c r="E144" i="2"/>
  <c r="F50" i="2"/>
  <c r="F51" i="2" s="1"/>
  <c r="C24" i="10"/>
  <c r="H31" i="13"/>
  <c r="H33" i="13" s="1"/>
  <c r="I338" i="1"/>
  <c r="I352" i="1" s="1"/>
  <c r="J650" i="1"/>
  <c r="L407" i="1"/>
  <c r="C140" i="2" s="1"/>
  <c r="C141" i="2" s="1"/>
  <c r="I192" i="1"/>
  <c r="E91" i="2"/>
  <c r="E104" i="2" s="1"/>
  <c r="L408" i="1"/>
  <c r="G637" i="1" s="1"/>
  <c r="J637" i="1" s="1"/>
  <c r="J654" i="1"/>
  <c r="J653" i="1"/>
  <c r="G21" i="2"/>
  <c r="G31" i="2" s="1"/>
  <c r="J32" i="1"/>
  <c r="J434" i="1"/>
  <c r="F434" i="1"/>
  <c r="K434" i="1"/>
  <c r="G134" i="2" s="1"/>
  <c r="G144" i="2" s="1"/>
  <c r="G145" i="2" s="1"/>
  <c r="G31" i="13"/>
  <c r="J193" i="1"/>
  <c r="G646" i="1" s="1"/>
  <c r="F104" i="2"/>
  <c r="H193" i="1"/>
  <c r="G629" i="1" s="1"/>
  <c r="J629" i="1" s="1"/>
  <c r="G169" i="1"/>
  <c r="C39" i="10" s="1"/>
  <c r="G140" i="1"/>
  <c r="F140" i="1"/>
  <c r="G63" i="2"/>
  <c r="J618" i="1"/>
  <c r="G42" i="2"/>
  <c r="J51" i="1"/>
  <c r="G16" i="2"/>
  <c r="G18" i="2" s="1"/>
  <c r="J19" i="1"/>
  <c r="G621" i="1" s="1"/>
  <c r="F545" i="1"/>
  <c r="H434" i="1"/>
  <c r="J620" i="1"/>
  <c r="J619" i="1"/>
  <c r="D103" i="2"/>
  <c r="D104" i="2" s="1"/>
  <c r="I140" i="1"/>
  <c r="A22" i="12"/>
  <c r="H646" i="1"/>
  <c r="G50" i="2"/>
  <c r="G51" i="2" s="1"/>
  <c r="J652" i="1"/>
  <c r="G571" i="1"/>
  <c r="I434" i="1"/>
  <c r="G434" i="1"/>
  <c r="I663" i="1"/>
  <c r="H660" i="1" l="1"/>
  <c r="E128" i="2"/>
  <c r="E145" i="2" s="1"/>
  <c r="H648" i="1"/>
  <c r="J648" i="1" s="1"/>
  <c r="G24" i="14"/>
  <c r="H24" i="14" s="1"/>
  <c r="I24" i="14" s="1"/>
  <c r="G36" i="14"/>
  <c r="H36" i="14" s="1"/>
  <c r="I36" i="14" s="1"/>
  <c r="C115" i="2"/>
  <c r="E33" i="13"/>
  <c r="D35" i="13" s="1"/>
  <c r="G4" i="14"/>
  <c r="H4" i="14" s="1"/>
  <c r="I4" i="14" s="1"/>
  <c r="C144" i="2"/>
  <c r="C36" i="10"/>
  <c r="F193" i="1"/>
  <c r="G627" i="1" s="1"/>
  <c r="J627" i="1" s="1"/>
  <c r="G635" i="1"/>
  <c r="J635" i="1" s="1"/>
  <c r="I661" i="1"/>
  <c r="H664" i="1"/>
  <c r="H667" i="1" s="1"/>
  <c r="L257" i="1"/>
  <c r="L271" i="1" s="1"/>
  <c r="G632" i="1" s="1"/>
  <c r="J632" i="1" s="1"/>
  <c r="C63" i="2"/>
  <c r="J647" i="1"/>
  <c r="G104" i="2"/>
  <c r="G33" i="13"/>
  <c r="E51" i="2"/>
  <c r="F660" i="1"/>
  <c r="F664" i="1" s="1"/>
  <c r="F672" i="1" s="1"/>
  <c r="C4" i="10" s="1"/>
  <c r="C128" i="2"/>
  <c r="I193" i="1"/>
  <c r="G630" i="1" s="1"/>
  <c r="J630" i="1" s="1"/>
  <c r="L338" i="1"/>
  <c r="L352" i="1" s="1"/>
  <c r="G633" i="1" s="1"/>
  <c r="J633" i="1" s="1"/>
  <c r="L545" i="1"/>
  <c r="C81" i="2"/>
  <c r="D31" i="13"/>
  <c r="C31" i="13" s="1"/>
  <c r="I461" i="1"/>
  <c r="H642" i="1" s="1"/>
  <c r="J642" i="1" s="1"/>
  <c r="G660" i="1"/>
  <c r="G664" i="1" s="1"/>
  <c r="G667" i="1" s="1"/>
  <c r="C25" i="13"/>
  <c r="I33" i="13"/>
  <c r="K552" i="1"/>
  <c r="C28" i="10"/>
  <c r="D23" i="10" s="1"/>
  <c r="C51" i="2"/>
  <c r="G631" i="1"/>
  <c r="J631" i="1" s="1"/>
  <c r="J646" i="1"/>
  <c r="G193" i="1"/>
  <c r="G628" i="1" s="1"/>
  <c r="J628" i="1" s="1"/>
  <c r="G626" i="1"/>
  <c r="J626" i="1" s="1"/>
  <c r="J52" i="1"/>
  <c r="H621" i="1" s="1"/>
  <c r="J621" i="1" s="1"/>
  <c r="C38" i="10"/>
  <c r="C145" i="2" l="1"/>
  <c r="D25" i="10"/>
  <c r="G672" i="1"/>
  <c r="C5" i="10" s="1"/>
  <c r="H672" i="1"/>
  <c r="C6" i="10" s="1"/>
  <c r="F667" i="1"/>
  <c r="I660" i="1"/>
  <c r="I664" i="1" s="1"/>
  <c r="I672" i="1" s="1"/>
  <c r="C7" i="10" s="1"/>
  <c r="C104" i="2"/>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<sst xmlns="http://schemas.openxmlformats.org/spreadsheetml/2006/main" count="5526" uniqueCount="1626">
  <si>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</si>
  <si>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</si>
  <si>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</si>
  <si>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</si>
  <si>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</si>
  <si>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</si>
  <si>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</si>
  <si>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</si>
  <si>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</si>
  <si>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</si>
  <si>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</si>
  <si>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</si>
  <si>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</si>
  <si>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</si>
  <si>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</si>
  <si>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</si>
  <si>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</si>
  <si>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</si>
  <si>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</si>
  <si>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</si>
  <si>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</si>
  <si>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</si>
  <si>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</si>
  <si>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</si>
  <si>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</si>
  <si>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</si>
  <si>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</si>
  <si>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</si>
  <si>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</si>
  <si>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</si>
  <si>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</si>
  <si>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</si>
  <si>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</si>
  <si>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</si>
  <si>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</si>
  <si>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</si>
  <si>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</si>
  <si>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</si>
  <si>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</si>
  <si>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</si>
  <si>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</si>
  <si>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</si>
  <si>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</si>
  <si>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</si>
  <si>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</si>
  <si>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</si>
  <si>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</si>
  <si>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</si>
  <si>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</si>
  <si>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</si>
  <si>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</si>
  <si>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</si>
  <si>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</si>
  <si>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</si>
  <si>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</si>
  <si>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</si>
  <si>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</si>
  <si>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</si>
  <si>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</si>
  <si>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</si>
  <si>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</si>
  <si>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</si>
  <si>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</si>
  <si>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</si>
  <si>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</si>
  <si>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</si>
  <si>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</si>
  <si>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</si>
  <si>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</si>
  <si>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</si>
  <si>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</si>
  <si>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</si>
  <si>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</si>
  <si>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</si>
  <si>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</si>
  <si>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</si>
  <si>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</si>
  <si>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</si>
  <si>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</si>
  <si>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</si>
  <si>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</si>
  <si>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</si>
  <si>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</si>
  <si>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</si>
  <si>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</si>
  <si>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</si>
  <si>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</si>
  <si>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</si>
  <si>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</si>
  <si>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</si>
  <si>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</si>
  <si>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</si>
  <si>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</si>
  <si>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</si>
  <si>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</si>
  <si>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</si>
  <si>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</si>
  <si>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</si>
  <si>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</si>
  <si>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</si>
  <si>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</si>
  <si>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</si>
  <si>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</si>
  <si>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</si>
  <si>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</si>
  <si>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</si>
  <si>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</si>
  <si>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</si>
  <si>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</si>
  <si>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</si>
  <si>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</si>
  <si>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</si>
  <si>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</si>
  <si>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</si>
  <si>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</si>
  <si>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</si>
  <si>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</si>
  <si>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</si>
  <si>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</si>
  <si>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</si>
  <si>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</si>
  <si>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</si>
  <si>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</si>
  <si>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</si>
  <si>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</si>
  <si>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</si>
  <si>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</si>
  <si>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</si>
  <si>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</si>
  <si>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</si>
  <si>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</si>
  <si>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</si>
  <si>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</si>
  <si>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</si>
  <si>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</si>
  <si>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</si>
  <si>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</si>
  <si>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</si>
  <si>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</si>
  <si>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</si>
  <si>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</si>
  <si>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</si>
  <si>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</si>
  <si>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</si>
  <si>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</si>
  <si>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</si>
  <si>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</si>
  <si>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</si>
  <si>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</si>
  <si>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</si>
  <si>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</si>
  <si>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</si>
  <si>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</si>
  <si>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</si>
  <si>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</si>
  <si>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</si>
  <si>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</si>
  <si>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</si>
  <si>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</si>
  <si>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</si>
  <si>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</si>
  <si>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</si>
  <si>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</si>
  <si>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</si>
  <si>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</si>
  <si>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</si>
  <si>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</si>
  <si>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</si>
  <si>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</si>
  <si>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</si>
  <si>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</si>
  <si>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</si>
  <si>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</si>
  <si>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</si>
  <si>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</si>
  <si>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</si>
  <si>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</si>
  <si>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</si>
  <si>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</si>
  <si>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</si>
  <si>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</si>
  <si>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</si>
  <si>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</si>
  <si>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</si>
  <si>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</si>
  <si>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</si>
  <si>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</si>
  <si>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</si>
  <si>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</si>
  <si>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</si>
  <si>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</si>
  <si>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</si>
  <si>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</si>
  <si>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</si>
  <si>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</si>
  <si>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</si>
  <si>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</si>
  <si>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</si>
  <si>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</si>
  <si>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</si>
  <si>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</si>
  <si>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</si>
  <si>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</si>
  <si>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</si>
  <si>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</si>
  <si>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</si>
  <si>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</si>
  <si>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</si>
  <si>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</si>
  <si>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</si>
  <si>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</si>
  <si>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</si>
  <si>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</si>
  <si>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</si>
  <si>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</si>
  <si>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</si>
  <si>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</si>
  <si>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</si>
  <si>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</si>
  <si>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</si>
  <si>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</si>
  <si>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</si>
  <si>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</si>
  <si>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</si>
  <si>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</si>
  <si>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</si>
  <si>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</si>
  <si>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</si>
  <si>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</si>
  <si>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</si>
  <si>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</si>
  <si>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</si>
  <si>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</si>
  <si>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</si>
  <si>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</si>
  <si>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</si>
  <si>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</si>
  <si>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</si>
  <si>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</si>
  <si>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</si>
  <si>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</si>
  <si>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</si>
  <si>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</si>
  <si>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</si>
  <si>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</si>
  <si>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</si>
  <si>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</si>
  <si>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</si>
  <si>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</si>
  <si>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</si>
  <si>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</si>
  <si>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</si>
  <si>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</si>
  <si>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</si>
  <si>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</si>
  <si>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</si>
  <si>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</si>
  <si>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</si>
  <si>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</si>
  <si>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</si>
  <si>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</si>
  <si>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</si>
  <si>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</si>
  <si>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</si>
  <si>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</si>
  <si>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</si>
  <si>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</si>
  <si>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</si>
  <si>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</si>
  <si>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</si>
  <si>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</si>
  <si>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</si>
  <si>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</si>
  <si>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</si>
  <si>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</si>
  <si>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</si>
  <si>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</si>
  <si>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</si>
  <si>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</si>
  <si>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</si>
  <si>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</si>
  <si>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</si>
  <si>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</si>
  <si>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</si>
  <si>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</si>
  <si>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</si>
  <si>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</si>
  <si>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</si>
  <si>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</si>
  <si>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</si>
  <si>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</si>
  <si>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</si>
  <si>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</si>
  <si>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</si>
  <si>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</si>
  <si>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</si>
  <si>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</si>
  <si>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</si>
  <si>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</si>
  <si>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</si>
  <si>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</si>
  <si>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</si>
  <si>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</si>
  <si>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</si>
  <si>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</si>
  <si>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</si>
  <si>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</si>
  <si>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</si>
  <si>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</si>
  <si>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</si>
  <si>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</si>
  <si>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</si>
  <si>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</si>
  <si>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</si>
  <si>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</si>
  <si>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</si>
  <si>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</si>
  <si>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</si>
  <si>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</si>
  <si>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</si>
  <si>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</si>
  <si>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</si>
  <si>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</si>
  <si>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</si>
  <si>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</si>
  <si>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</si>
  <si>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</si>
  <si>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</si>
  <si>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</si>
  <si>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</si>
  <si>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</si>
  <si>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</si>
  <si>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</si>
  <si>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</si>
  <si>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</si>
  <si>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</si>
  <si>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</si>
  <si>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</si>
  <si>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</si>
  <si>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</si>
  <si>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</si>
  <si>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</si>
  <si>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</si>
  <si>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</si>
  <si>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</si>
  <si>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</si>
  <si>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</si>
  <si>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</si>
  <si>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</si>
  <si>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</si>
  <si>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</si>
  <si>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</si>
  <si>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</si>
  <si>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</si>
  <si>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</si>
  <si>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</si>
  <si>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</si>
  <si>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</si>
  <si>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</si>
  <si>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</si>
  <si>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</si>
  <si>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</si>
  <si>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</si>
  <si>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</si>
  <si>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</si>
  <si>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</si>
  <si>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</si>
  <si>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</si>
  <si>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</si>
  <si>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</si>
  <si>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</si>
  <si>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</si>
  <si>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</si>
  <si>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</si>
  <si>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</si>
  <si>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</si>
  <si>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</si>
  <si>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</si>
  <si>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</si>
  <si>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</si>
  <si>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</si>
  <si>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</si>
  <si>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</si>
  <si>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</si>
  <si>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</si>
  <si>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</si>
  <si>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</si>
  <si>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</si>
  <si>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</si>
  <si>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</si>
  <si>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</si>
  <si>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</si>
  <si>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</si>
  <si>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</si>
  <si>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</si>
  <si>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</si>
  <si>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</si>
  <si>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</si>
  <si>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</si>
  <si>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</si>
  <si>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</si>
  <si>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</si>
  <si>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</si>
  <si>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</si>
  <si>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</si>
  <si>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</si>
  <si>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</si>
  <si>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</si>
  <si>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</si>
  <si>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</si>
  <si>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</si>
  <si>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</si>
  <si>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</si>
  <si>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</si>
  <si>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</si>
  <si>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</si>
  <si>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</si>
  <si>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</si>
  <si>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</si>
  <si>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</si>
  <si>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</si>
  <si>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</si>
  <si>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</si>
  <si>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</si>
  <si>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</si>
  <si>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</si>
  <si>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</si>
  <si>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</si>
  <si>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</si>
  <si>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</si>
  <si>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</si>
  <si>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</si>
  <si>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</si>
  <si>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</si>
  <si>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</si>
  <si>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</si>
  <si>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</si>
  <si>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</si>
  <si>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</si>
  <si>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</si>
  <si>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</si>
  <si>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</si>
  <si>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</si>
  <si>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</si>
  <si>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</si>
  <si>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</si>
  <si>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</si>
  <si>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</si>
  <si>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</si>
  <si>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</si>
  <si>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</si>
  <si>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</si>
  <si>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</si>
  <si>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</si>
  <si>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</si>
  <si>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</si>
  <si>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</si>
  <si>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</si>
  <si>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</si>
  <si>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</si>
  <si>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</si>
  <si>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</si>
  <si>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</si>
  <si>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</si>
  <si>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</si>
  <si>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</si>
  <si>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</si>
  <si>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</si>
  <si>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</si>
  <si>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</si>
  <si>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</si>
  <si>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</si>
  <si>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</si>
  <si>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</si>
  <si>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</si>
  <si>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</si>
  <si>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</si>
  <si>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</si>
  <si>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</si>
  <si>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</si>
  <si>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</si>
  <si>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</si>
  <si>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</si>
  <si>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</si>
  <si>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</si>
  <si>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</si>
  <si>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</si>
  <si>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</si>
  <si>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</si>
  <si>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</si>
  <si>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</si>
  <si>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</si>
  <si>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</si>
  <si>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</si>
  <si>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</si>
  <si>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</si>
  <si>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</si>
  <si>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</si>
  <si>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</si>
  <si>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</si>
  <si>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</si>
  <si>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</si>
  <si>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</si>
  <si>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</si>
  <si>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</si>
  <si>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</si>
  <si>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</si>
  <si>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</si>
  <si>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</si>
  <si>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</si>
  <si>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</si>
  <si>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</si>
  <si>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</si>
  <si>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</si>
  <si>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</si>
  <si>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</si>
  <si>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</si>
  <si>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</si>
  <si>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</si>
  <si>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</si>
  <si>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</si>
  <si>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</si>
  <si>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</si>
  <si>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</si>
  <si>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</si>
  <si>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</si>
  <si>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</si>
  <si>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</si>
  <si>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</si>
  <si>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</si>
  <si>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</si>
  <si>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</si>
  <si>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</si>
  <si>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</si>
  <si>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</si>
  <si>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</si>
  <si>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</si>
  <si>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</si>
  <si>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</si>
  <si>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</si>
  <si>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</si>
  <si>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</si>
  <si>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</si>
  <si>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</si>
  <si>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</si>
  <si>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</si>
  <si>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</si>
  <si>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</si>
  <si>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</si>
  <si>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</si>
  <si>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</si>
  <si>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</si>
  <si>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</si>
  <si>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</si>
  <si>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</si>
  <si>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</si>
  <si>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</si>
  <si>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</si>
  <si>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</si>
  <si>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</si>
  <si>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</si>
  <si>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</si>
  <si>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</si>
  <si>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</si>
  <si>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</si>
  <si>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</si>
  <si>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</si>
  <si>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</si>
  <si>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</si>
  <si>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</si>
  <si>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</si>
  <si>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</si>
  <si>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</si>
  <si>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</si>
  <si>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</si>
  <si>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</si>
  <si>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</si>
  <si>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</si>
  <si>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</si>
  <si>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</si>
  <si>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</si>
  <si>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</si>
  <si>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</si>
  <si>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</si>
  <si>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</si>
  <si>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</si>
  <si>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</si>
  <si>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</si>
  <si>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</si>
  <si>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</si>
  <si>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</si>
  <si>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</si>
  <si>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</si>
  <si>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</si>
  <si>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</si>
  <si>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</si>
  <si>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</si>
  <si>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</si>
  <si>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</si>
  <si>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</si>
  <si>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</si>
  <si>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</si>
  <si>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</si>
  <si>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</si>
  <si>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</si>
  <si>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</si>
  <si>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</si>
  <si>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</si>
  <si>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</si>
  <si>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</si>
  <si>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</si>
  <si>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</si>
  <si>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</si>
  <si>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</si>
  <si>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</si>
  <si>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</si>
  <si>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</si>
  <si>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</si>
  <si>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</si>
  <si>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</si>
  <si>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</si>
  <si>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</si>
  <si>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</si>
  <si>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</si>
  <si>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</si>
  <si>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</si>
  <si>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</si>
  <si>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</si>
  <si>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</si>
  <si>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</si>
  <si>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</si>
  <si>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</si>
  <si>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</si>
  <si>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</si>
  <si>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</si>
  <si>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</si>
  <si>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</si>
  <si>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</si>
  <si>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</si>
  <si>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</si>
  <si>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</si>
  <si>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</si>
  <si>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</si>
  <si>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</si>
  <si>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</si>
  <si>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</si>
  <si>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</si>
  <si>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</si>
  <si>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</si>
  <si>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</si>
  <si>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</si>
  <si>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</si>
  <si>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</si>
  <si>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</si>
  <si>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</si>
  <si>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</si>
  <si>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</si>
  <si>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</si>
  <si>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</si>
  <si>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</si>
  <si>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</si>
  <si>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</si>
  <si>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</si>
  <si>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</si>
  <si>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</si>
  <si>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</si>
  <si>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</si>
  <si>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</si>
  <si>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</si>
  <si>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</si>
  <si>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</si>
  <si>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</si>
  <si>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</si>
  <si>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</si>
  <si>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</si>
  <si>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</si>
  <si>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</si>
  <si>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</si>
  <si>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</si>
  <si>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</si>
  <si>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</si>
  <si>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</si>
  <si>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</si>
  <si>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</si>
  <si>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</si>
  <si>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</si>
  <si>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</si>
  <si>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</si>
  <si>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</si>
  <si>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</si>
  <si>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</si>
  <si>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</si>
  <si>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</si>
  <si>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</si>
  <si>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</si>
  <si>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</si>
  <si>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</si>
  <si>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</si>
  <si>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</si>
  <si>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</si>
  <si>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</si>
  <si>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</si>
  <si>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</si>
  <si>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</si>
  <si>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</si>
  <si>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</si>
  <si>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</si>
  <si>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</si>
  <si>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</si>
  <si>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</si>
  <si>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</si>
  <si>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</si>
  <si>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</si>
  <si>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</si>
  <si>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</si>
  <si>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</si>
  <si>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</si>
  <si>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</si>
  <si>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</si>
  <si>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</si>
  <si>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</si>
  <si>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</si>
  <si>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</si>
  <si>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</si>
  <si>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</si>
  <si>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</si>
  <si>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</si>
  <si>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</si>
  <si>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</si>
  <si>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</si>
  <si>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</si>
  <si>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</si>
  <si>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</si>
  <si>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</si>
  <si>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</si>
  <si>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</si>
  <si>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</si>
  <si>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</si>
  <si>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</si>
  <si>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</si>
  <si>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</si>
  <si>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</si>
  <si>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</si>
  <si>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</si>
  <si>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</si>
  <si>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</si>
  <si>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</si>
  <si>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</si>
  <si>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</si>
  <si>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</si>
  <si>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</si>
  <si>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</si>
  <si>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</si>
  <si>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</si>
  <si>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</si>
  <si>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</si>
  <si>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</si>
  <si>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</si>
  <si>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</si>
  <si>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</si>
  <si>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</si>
  <si>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</si>
  <si>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</si>
  <si>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</si>
  <si>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</si>
  <si>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</si>
  <si>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</si>
  <si>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</si>
  <si>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</si>
  <si>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</si>
  <si>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</si>
  <si>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</si>
  <si>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</si>
  <si>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</si>
  <si>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</si>
  <si>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</si>
  <si>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</si>
  <si>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</si>
  <si>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</si>
  <si>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</si>
  <si>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</si>
  <si>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</si>
  <si>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</si>
  <si>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</si>
  <si>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</si>
  <si>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</si>
  <si>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</si>
  <si>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</si>
  <si>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</si>
  <si>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</si>
  <si>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</si>
  <si>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</si>
  <si>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</si>
  <si>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</si>
  <si>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</si>
  <si>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</si>
  <si>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</si>
  <si>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</si>
  <si>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</si>
  <si>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</si>
  <si>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</si>
  <si>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</si>
  <si>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</si>
  <si>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</si>
  <si>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</si>
  <si>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</si>
  <si>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</si>
  <si>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</si>
  <si>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</si>
  <si>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</si>
  <si>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</si>
  <si>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</si>
  <si>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</si>
  <si>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</si>
  <si>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</si>
  <si>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</si>
  <si>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</si>
  <si>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</si>
  <si>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</si>
  <si>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</si>
  <si>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</si>
  <si>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</si>
  <si>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</si>
  <si>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</si>
  <si>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</si>
  <si>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</si>
  <si>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</si>
  <si>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</si>
  <si>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</si>
  <si>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</si>
  <si>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</si>
  <si>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</si>
  <si>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</si>
  <si>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</si>
  <si>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</si>
  <si>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</si>
  <si>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</si>
  <si>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</si>
  <si>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</si>
  <si>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</si>
  <si>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</si>
  <si>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</si>
  <si>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</si>
  <si>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</si>
  <si>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</si>
  <si>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</si>
  <si>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</si>
  <si>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</si>
  <si>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</si>
  <si>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</si>
  <si>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</si>
  <si>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</si>
  <si>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</si>
  <si>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</si>
  <si>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</si>
  <si>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</si>
  <si>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</si>
  <si>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</si>
  <si>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</si>
  <si>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</si>
  <si>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</si>
  <si>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</si>
  <si>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</si>
  <si>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</si>
  <si>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</si>
  <si>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</si>
  <si>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</si>
  <si>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</si>
  <si>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</si>
  <si>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</si>
  <si>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</si>
  <si>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</si>
  <si>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</si>
  <si>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</si>
  <si>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</si>
  <si>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</si>
  <si>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</si>
  <si>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</si>
  <si>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</si>
  <si>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</si>
  <si>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</si>
  <si>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</si>
  <si>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</si>
  <si>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</si>
  <si>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</si>
  <si>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</si>
  <si>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</si>
  <si>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</si>
  <si>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</si>
  <si>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</si>
  <si>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</si>
  <si>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</si>
  <si>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</si>
  <si>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</si>
  <si>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</si>
  <si>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</si>
  <si>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</si>
  <si>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</si>
  <si>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</si>
  <si>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</si>
  <si>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</si>
  <si>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</si>
  <si>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</si>
  <si>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</si>
  <si>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</si>
  <si>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</si>
  <si>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</si>
  <si>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</si>
  <si>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</si>
  <si>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</si>
  <si>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</si>
  <si>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</si>
  <si>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</si>
  <si>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</si>
  <si>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</si>
  <si>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</si>
  <si>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</si>
  <si>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</si>
  <si>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</si>
  <si>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</si>
  <si>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</si>
  <si>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</si>
  <si>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</si>
  <si>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</si>
  <si>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</si>
  <si>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</si>
  <si>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</si>
  <si>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</si>
  <si>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</si>
  <si>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</si>
  <si>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</si>
  <si>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</si>
  <si>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</si>
  <si>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</si>
  <si>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</si>
  <si>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</si>
  <si>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</si>
  <si>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</si>
  <si>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</si>
  <si>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</si>
  <si>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</si>
  <si>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</si>
  <si>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</si>
  <si>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</si>
  <si>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</si>
  <si>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</si>
  <si>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</si>
  <si>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</si>
  <si>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</si>
  <si>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</si>
  <si>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</si>
  <si>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</si>
  <si>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</si>
  <si>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</si>
  <si>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</si>
  <si>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</si>
  <si>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</si>
  <si>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</si>
  <si>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</si>
  <si>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</si>
  <si>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</si>
  <si>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</si>
  <si>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</si>
  <si>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</si>
  <si>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</si>
  <si>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</si>
  <si>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</si>
  <si>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</si>
  <si>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</si>
  <si>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</si>
  <si>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</si>
  <si>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</si>
  <si>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</si>
  <si>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</si>
  <si>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</si>
  <si>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</si>
  <si>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</si>
  <si>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</si>
  <si>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</si>
  <si>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</si>
  <si>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</si>
  <si>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</si>
  <si>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</si>
  <si>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</si>
  <si>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</si>
  <si>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</si>
  <si>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</si>
  <si>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</si>
  <si>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</si>
  <si>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</si>
  <si>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</si>
  <si>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</si>
  <si>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</si>
  <si>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</si>
  <si>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</si>
  <si>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</si>
  <si>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</si>
  <si>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</si>
  <si>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</si>
  <si>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</si>
  <si>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</si>
  <si>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</si>
  <si>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</si>
  <si>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</si>
  <si>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</si>
  <si>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</si>
  <si>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</si>
  <si>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</si>
  <si>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</si>
  <si>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</si>
  <si>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</si>
  <si>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</si>
  <si>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</si>
  <si>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</si>
  <si>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</si>
  <si>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</si>
  <si>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</si>
  <si>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</si>
  <si>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</si>
  <si>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</si>
  <si>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</si>
  <si>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</si>
  <si>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</si>
  <si>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</si>
  <si>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</si>
  <si>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</si>
  <si>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</si>
  <si>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</si>
  <si>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</si>
  <si>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</si>
  <si>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</si>
  <si>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</si>
  <si>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</si>
  <si>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</si>
  <si>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</si>
  <si>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</si>
  <si>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</si>
  <si>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</si>
  <si>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</si>
  <si>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</si>
  <si>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</si>
  <si>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</si>
  <si>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</si>
  <si>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</si>
  <si>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</si>
  <si>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</si>
  <si>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</si>
  <si>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</si>
  <si>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</si>
  <si>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</si>
  <si>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</si>
  <si>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</si>
  <si>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</si>
  <si>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</si>
  <si>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</si>
  <si>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</si>
  <si>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</si>
  <si>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</si>
  <si>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</si>
  <si>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</si>
  <si>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</si>
  <si>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</si>
  <si>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</si>
  <si>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</si>
  <si>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</si>
  <si>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</si>
  <si>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</si>
  <si>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</si>
  <si>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</si>
  <si>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</si>
  <si>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</si>
  <si>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</si>
  <si>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</si>
  <si>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</si>
  <si>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</si>
  <si>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</si>
  <si>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</si>
  <si>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</si>
  <si>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</si>
  <si>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</si>
  <si>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</si>
  <si>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</si>
  <si>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</si>
  <si>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</si>
  <si>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</si>
  <si>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</si>
  <si>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</si>
  <si>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</si>
  <si>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</si>
  <si>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</si>
  <si>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</si>
  <si>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</si>
  <si>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</si>
  <si>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</si>
  <si>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</si>
  <si>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</si>
  <si>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</si>
  <si>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</si>
  <si>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</si>
  <si>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</si>
  <si>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</si>
  <si>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</si>
  <si>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</si>
  <si>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</si>
  <si>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</si>
  <si>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</si>
  <si>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</si>
  <si>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</si>
  <si>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</si>
  <si>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</si>
  <si>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</si>
  <si>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</si>
  <si>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</si>
  <si>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</si>
  <si>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</si>
  <si>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</si>
  <si>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</si>
  <si>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</si>
  <si>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</si>
  <si>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</si>
  <si>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</si>
  <si>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</si>
  <si>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</si>
  <si>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</si>
  <si>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</si>
  <si>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</si>
  <si>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</si>
  <si>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</si>
  <si>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</si>
  <si>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</si>
  <si>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</si>
  <si>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</si>
  <si>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</si>
  <si>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</si>
  <si>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</si>
  <si>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</si>
  <si>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</si>
  <si>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</si>
  <si>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</si>
  <si>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</si>
  <si>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</si>
  <si>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</si>
  <si>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</si>
  <si>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</si>
  <si>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</si>
  <si>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</si>
  <si>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</si>
  <si>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</si>
  <si>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</si>
  <si>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</si>
  <si>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</si>
  <si>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</si>
  <si>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</si>
  <si>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</si>
  <si>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</si>
  <si>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</si>
  <si>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</si>
  <si>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</si>
  <si>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</si>
  <si>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</si>
  <si>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</si>
  <si>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</si>
  <si>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</si>
  <si>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</si>
  <si>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</si>
  <si>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</si>
  <si>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</si>
  <si>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</si>
  <si>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</si>
  <si>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</si>
  <si>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</si>
  <si>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</si>
  <si>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</si>
  <si>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</si>
  <si>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</si>
  <si>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</si>
  <si>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</si>
  <si>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</si>
  <si>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</si>
  <si>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</si>
  <si>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</si>
  <si>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</si>
  <si>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</si>
  <si>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</si>
  <si>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</si>
  <si>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</si>
  <si>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</si>
  <si>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</si>
  <si>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</si>
  <si>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</si>
  <si>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</si>
  <si>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</si>
  <si>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</si>
  <si>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</si>
  <si>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</si>
  <si>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</si>
  <si>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</si>
  <si>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</si>
  <si>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</si>
  <si>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</si>
  <si>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</si>
  <si>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</si>
  <si>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</si>
  <si>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</si>
  <si>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</si>
  <si>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</si>
  <si>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</si>
  <si>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</si>
  <si>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</si>
  <si>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</si>
  <si>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</si>
  <si>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</si>
  <si>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</si>
  <si>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</si>
  <si>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</si>
  <si>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</si>
  <si>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</si>
  <si>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</si>
  <si>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</si>
  <si>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</si>
  <si>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</si>
  <si>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</si>
  <si>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</si>
  <si>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</si>
  <si>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</si>
  <si>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</si>
  <si>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</si>
  <si>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</si>
  <si>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</si>
  <si>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</si>
  <si>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</si>
  <si>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</si>
  <si>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</si>
  <si>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</si>
  <si>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</si>
  <si>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</si>
  <si>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</si>
  <si>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</si>
  <si>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</si>
  <si>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</si>
  <si>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</si>
  <si>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</si>
  <si>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</si>
  <si>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</si>
  <si>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</si>
  <si>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</si>
  <si>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</si>
  <si>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</si>
  <si>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</si>
  <si>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</si>
  <si>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</si>
  <si>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</si>
  <si>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</si>
  <si>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</si>
  <si>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</si>
  <si>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</si>
  <si>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</si>
  <si>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</si>
  <si>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</si>
  <si>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</si>
  <si>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</si>
  <si>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</si>
  <si>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</si>
  <si>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</si>
  <si>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</si>
  <si>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</si>
  <si>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</si>
  <si>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</si>
  <si>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</si>
  <si>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</si>
  <si>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</si>
  <si>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</si>
  <si>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</si>
  <si>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</si>
  <si>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</si>
  <si>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</si>
  <si>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</si>
  <si>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</si>
  <si>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</si>
  <si>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</si>
  <si>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</si>
  <si>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</si>
  <si>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</si>
  <si>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</si>
  <si>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</si>
  <si>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</si>
  <si>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</si>
  <si>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</si>
  <si>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</si>
  <si>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</si>
  <si>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</si>
  <si>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</si>
  <si>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</si>
  <si>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</si>
  <si>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</si>
  <si>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</si>
  <si>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</si>
  <si>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</si>
  <si>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</si>
  <si>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</si>
  <si>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</si>
  <si>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</si>
  <si>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</si>
  <si>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</si>
  <si>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</si>
  <si>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</si>
  <si>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</si>
  <si>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</si>
  <si>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</si>
  <si>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</si>
  <si>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</si>
  <si>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</si>
  <si>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</si>
  <si>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</si>
  <si>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</si>
  <si>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</si>
  <si>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</si>
  <si>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</si>
  <si>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</si>
  <si>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</si>
  <si>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</si>
  <si>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</si>
  <si>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</si>
  <si>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</si>
  <si>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</si>
  <si>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</si>
  <si>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</si>
  <si>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</si>
  <si>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</si>
  <si>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</si>
  <si>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</si>
  <si>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</si>
  <si>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</si>
  <si>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</si>
  <si>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</si>
  <si>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</si>
  <si>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</si>
  <si>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</si>
  <si>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</si>
  <si>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</si>
  <si>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</si>
  <si>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</si>
  <si>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</si>
  <si>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</si>
  <si>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</si>
  <si>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</si>
  <si>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</si>
  <si>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</si>
  <si>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</si>
  <si>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</si>
  <si>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</si>
  <si>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</si>
  <si>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</si>
  <si>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</si>
  <si>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</si>
  <si>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</si>
  <si>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</si>
  <si>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</si>
  <si>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</si>
  <si>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</si>
  <si>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</si>
  <si>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</si>
  <si>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</si>
  <si>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</si>
  <si>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</si>
  <si>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</si>
  <si>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</si>
  <si>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</si>
  <si>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</si>
  <si>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</si>
  <si>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</si>
  <si>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</si>
  <si>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</si>
  <si>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</si>
  <si>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</si>
  <si>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</si>
  <si>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</si>
  <si>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</si>
  <si>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</si>
  <si>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</si>
  <si>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</si>
  <si>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</si>
  <si>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</si>
  <si>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</si>
  <si>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</si>
  <si>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</si>
  <si>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</si>
  <si>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</si>
  <si>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</si>
  <si>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</si>
  <si>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</si>
  <si>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</si>
  <si>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</si>
  <si>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</si>
  <si>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</si>
  <si>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</si>
  <si>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</si>
  <si>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</si>
  <si>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</si>
  <si>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</si>
  <si>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</si>
  <si>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</si>
  <si>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</si>
  <si>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</si>
  <si>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</si>
  <si>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</si>
  <si>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</si>
  <si>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</si>
  <si>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</si>
  <si>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</si>
  <si>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</si>
  <si>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</si>
  <si>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</si>
  <si>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</si>
  <si>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</si>
  <si>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</si>
  <si>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</si>
  <si>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</si>
  <si>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</si>
  <si>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</si>
  <si>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</si>
  <si>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</si>
  <si>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</si>
  <si>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</si>
  <si>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</si>
  <si>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</si>
  <si>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</si>
  <si>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</si>
  <si>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</si>
  <si>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</si>
  <si>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</si>
  <si>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</si>
  <si>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</si>
  <si>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</si>
  <si>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</si>
  <si>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</si>
  <si>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</si>
  <si>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</si>
  <si>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</si>
  <si>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</si>
  <si>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</si>
  <si>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</si>
  <si>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</si>
  <si>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</si>
  <si>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</si>
  <si>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</si>
  <si>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</si>
  <si>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</si>
  <si>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</si>
  <si>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</si>
  <si>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</si>
  <si>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</si>
  <si>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</si>
  <si>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</si>
  <si>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</si>
  <si>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</si>
  <si>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</si>
  <si>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</si>
  <si>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</si>
  <si>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</si>
  <si>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</si>
  <si>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</si>
  <si>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</si>
  <si>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</si>
  <si>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</si>
  <si>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</si>
  <si>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</si>
  <si>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</si>
  <si>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</si>
  <si>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</si>
  <si>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</si>
  <si>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</si>
  <si>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</si>
  <si>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</si>
  <si>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</si>
  <si>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</si>
  <si>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</si>
  <si>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</si>
  <si>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</si>
  <si>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</si>
  <si>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</si>
  <si>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</si>
  <si>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</si>
  <si>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</si>
  <si>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</si>
  <si>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</si>
  <si>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</si>
  <si>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</si>
  <si>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</si>
  <si>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</si>
  <si>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</si>
  <si>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</si>
  <si>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</si>
  <si>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</si>
  <si>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</si>
  <si>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</si>
  <si>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</si>
  <si>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</si>
  <si>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</si>
  <si>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</si>
  <si>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</si>
  <si>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</si>
  <si>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</si>
  <si>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</si>
  <si>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</si>
  <si>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</si>
  <si>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</si>
  <si>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</si>
  <si>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</si>
  <si>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</si>
  <si>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</si>
  <si>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</si>
  <si>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</si>
  <si>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</si>
  <si>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</si>
  <si>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</si>
  <si>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</si>
  <si>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</si>
  <si>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</si>
  <si>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</si>
  <si>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</si>
  <si>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</si>
  <si>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</si>
  <si>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</si>
  <si>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</si>
  <si>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</si>
  <si>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</si>
  <si>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</si>
  <si>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</si>
  <si>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</si>
  <si>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</si>
  <si>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</si>
  <si>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</si>
  <si>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</si>
  <si>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</si>
  <si>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</si>
  <si>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</si>
  <si>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</si>
  <si>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</si>
  <si>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</si>
  <si>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</si>
  <si>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</si>
  <si>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</si>
  <si>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</si>
  <si>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</si>
  <si>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</si>
  <si>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</si>
  <si>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</si>
  <si>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</si>
  <si>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</si>
  <si>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</si>
  <si>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</si>
  <si>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</si>
  <si>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</si>
  <si>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</si>
  <si>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</si>
  <si>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</si>
  <si>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</si>
  <si>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</si>
  <si>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</si>
  <si>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</si>
  <si>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</si>
  <si>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</si>
  <si>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</si>
  <si>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</si>
  <si>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</si>
  <si>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</si>
  <si>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</si>
  <si>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</si>
  <si>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</si>
  <si>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</si>
  <si>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</si>
  <si>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</si>
  <si>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</si>
  <si>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</si>
  <si>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</si>
  <si>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</si>
  <si>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</si>
  <si>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</si>
  <si>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</si>
  <si>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</si>
  <si>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</si>
  <si>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</si>
  <si>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</si>
  <si>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</si>
  <si>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</si>
  <si>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</si>
  <si>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</si>
  <si>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</si>
  <si>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</si>
  <si>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</si>
  <si>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</si>
  <si>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</si>
  <si>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</si>
  <si>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</si>
  <si>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</si>
  <si>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</si>
  <si>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</si>
  <si>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</si>
  <si>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</si>
  <si>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</si>
  <si>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</si>
  <si>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</si>
  <si>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</si>
  <si>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</si>
  <si>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</si>
  <si>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</si>
  <si>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</si>
  <si>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Maple Avenue School (Claremont)</t>
  </si>
  <si>
    <t>Maple Avenue School (Goffstown)</t>
  </si>
  <si>
    <t>Memorial School (Bedford)</t>
  </si>
  <si>
    <t>Memorial School (Sanborn)</t>
  </si>
  <si>
    <t>Bedford School District</t>
  </si>
  <si>
    <t>Prior year Interest Revenue Reported as a negative on page 16</t>
  </si>
  <si>
    <t>8/08</t>
  </si>
  <si>
    <t>6/06</t>
  </si>
  <si>
    <t>8/18</t>
  </si>
  <si>
    <t>7/26</t>
  </si>
  <si>
    <t>11/14</t>
  </si>
  <si>
    <t>07/29</t>
  </si>
  <si>
    <t>Carryover from prior year to Manchester School District</t>
  </si>
  <si>
    <t>Includes Cahrter School $4,657.45 &amp; State Water Main Assessment Refund through City of Manchester $26,514.90</t>
  </si>
  <si>
    <t>$6,476 reported FY18 $14,284.20 is FY19 accrual</t>
  </si>
  <si>
    <t>Infrastructure Funds</t>
  </si>
  <si>
    <t>Other District Expenditures by school = O.O.D. Tuition</t>
  </si>
  <si>
    <t>No Indirect Cost Rate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</si>
</sst>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4" x14ac:knownFonts="1">
    <font>
      <sz val="8"/>
      <name val="Arial"/>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10" borderId="0" applyNumberFormat="0" applyBorder="0" applyAlignment="0" applyProtection="0"/>
    <xf numFmtId="0" fontId="52" fillId="11" borderId="0" applyNumberFormat="0" applyBorder="0" applyAlignment="0" applyProtection="0"/>
    <xf numFmtId="0" fontId="53" fillId="12" borderId="0" applyNumberFormat="0" applyBorder="0" applyAlignment="0" applyProtection="0"/>
    <xf numFmtId="0" fontId="54" fillId="13" borderId="31" applyNumberFormat="0" applyAlignment="0" applyProtection="0"/>
    <xf numFmtId="0" fontId="55" fillId="14" borderId="32" applyNumberFormat="0" applyAlignment="0" applyProtection="0"/>
    <xf numFmtId="0" fontId="56" fillId="14" borderId="31" applyNumberFormat="0" applyAlignment="0" applyProtection="0"/>
    <xf numFmtId="0" fontId="57" fillId="0" borderId="33" applyNumberFormat="0" applyFill="0" applyAlignment="0" applyProtection="0"/>
    <xf numFmtId="0" fontId="58" fillId="15"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62" fillId="20" borderId="0" applyNumberFormat="0" applyBorder="0" applyAlignment="0" applyProtection="0"/>
    <xf numFmtId="0" fontId="6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62" fillId="24" borderId="0" applyNumberFormat="0" applyBorder="0" applyAlignment="0" applyProtection="0"/>
    <xf numFmtId="0" fontId="6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62" fillId="28" borderId="0" applyNumberFormat="0" applyBorder="0" applyAlignment="0" applyProtection="0"/>
    <xf numFmtId="0" fontId="6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62" fillId="32" borderId="0" applyNumberFormat="0" applyBorder="0" applyAlignment="0" applyProtection="0"/>
    <xf numFmtId="0" fontId="62"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62" fillId="36" borderId="0" applyNumberFormat="0" applyBorder="0" applyAlignment="0" applyProtection="0"/>
    <xf numFmtId="0" fontId="62" fillId="37"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62" fillId="40" borderId="0" applyNumberFormat="0" applyBorder="0" applyAlignment="0" applyProtection="0"/>
    <xf numFmtId="0" fontId="2" fillId="0" borderId="0"/>
    <xf numFmtId="0" fontId="63" fillId="0" borderId="0" applyNumberFormat="0" applyFill="0" applyBorder="0" applyAlignment="0" applyProtection="0"/>
    <xf numFmtId="0" fontId="2" fillId="16" borderId="35" applyNumberFormat="0" applyFont="0" applyAlignment="0" applyProtection="0"/>
  </cellStyleXfs>
  <cellXfs count="354">
    <xf numFmtId="0" fontId="0" fillId="0" borderId="0" xfId="0"/>
    <xf numFmtId="164" fontId="3" fillId="0" borderId="0" xfId="0" applyNumberFormat="1" applyFont="1" applyAlignment="1" applyProtection="1">
      <alignment horizontal="left"/>
    </xf>
    <xf numFmtId="165" fontId="3" fillId="0" borderId="0" xfId="0" applyNumberFormat="1" applyFont="1" applyAlignment="1" applyProtection="1">
      <alignment horizontal="left"/>
    </xf>
    <xf numFmtId="0" fontId="3" fillId="0" borderId="0" xfId="0" applyFont="1"/>
    <xf numFmtId="0" fontId="3" fillId="0" borderId="0" xfId="0" applyFont="1" applyProtection="1">
      <protection locked="0"/>
    </xf>
    <xf numFmtId="164" fontId="3" fillId="0" borderId="0" xfId="0" applyNumberFormat="1" applyFont="1" applyAlignment="1" applyProtection="1">
      <alignment horizontal="center"/>
    </xf>
    <xf numFmtId="165" fontId="3" fillId="0" borderId="0" xfId="0" applyNumberFormat="1" applyFont="1" applyAlignment="1" applyProtection="1">
      <alignment horizontal="center"/>
    </xf>
    <xf numFmtId="165" fontId="3" fillId="0" borderId="0" xfId="0" applyNumberFormat="1" applyFont="1" applyProtection="1"/>
    <xf numFmtId="165" fontId="4" fillId="0" borderId="0" xfId="0" applyNumberFormat="1" applyFont="1" applyProtection="1">
      <protection locked="0"/>
    </xf>
    <xf numFmtId="164" fontId="4" fillId="0" borderId="0" xfId="0" applyNumberFormat="1" applyFont="1" applyProtection="1">
      <protection locked="0"/>
    </xf>
    <xf numFmtId="4" fontId="4" fillId="0" borderId="0" xfId="0" applyNumberFormat="1" applyFont="1" applyProtection="1">
      <protection locked="0"/>
    </xf>
    <xf numFmtId="0" fontId="3" fillId="0" borderId="1" xfId="0" applyFont="1" applyBorder="1"/>
    <xf numFmtId="0" fontId="0" fillId="0" borderId="2" xfId="0" applyBorder="1"/>
    <xf numFmtId="40" fontId="3" fillId="0" borderId="0" xfId="0" applyNumberFormat="1" applyFont="1"/>
    <xf numFmtId="40" fontId="3" fillId="0" borderId="0" xfId="0" applyNumberFormat="1" applyFont="1" applyAlignment="1" applyProtection="1">
      <alignment horizontal="left"/>
    </xf>
    <xf numFmtId="40" fontId="3" fillId="0" borderId="0" xfId="0" quotePrefix="1" applyNumberFormat="1" applyFont="1" applyAlignment="1" applyProtection="1">
      <alignment horizontal="center"/>
    </xf>
    <xf numFmtId="40" fontId="3" fillId="0" borderId="0" xfId="0" applyNumberFormat="1" applyFont="1" applyAlignment="1" applyProtection="1">
      <alignment horizontal="center"/>
    </xf>
    <xf numFmtId="40" fontId="4" fillId="0" borderId="0" xfId="0" applyNumberFormat="1" applyFont="1" applyAlignment="1" applyProtection="1">
      <alignment horizontal="left"/>
      <protection locked="0"/>
    </xf>
    <xf numFmtId="40" fontId="4" fillId="0" borderId="0" xfId="0" applyNumberFormat="1" applyFont="1" applyProtection="1">
      <protection locked="0"/>
    </xf>
    <xf numFmtId="40" fontId="3" fillId="0" borderId="0" xfId="0" applyNumberFormat="1" applyFont="1" applyProtection="1"/>
    <xf numFmtId="40" fontId="0" fillId="0" borderId="0" xfId="0" applyNumberFormat="1"/>
    <xf numFmtId="0" fontId="0" fillId="0" borderId="0" xfId="0" applyProtection="1">
      <protection locked="0"/>
    </xf>
    <xf numFmtId="40" fontId="5" fillId="0" borderId="0" xfId="0" applyNumberFormat="1" applyFont="1" applyProtection="1"/>
    <xf numFmtId="0" fontId="3" fillId="0" borderId="0" xfId="0" applyFont="1" applyAlignment="1">
      <alignment horizontal="center"/>
    </xf>
    <xf numFmtId="40" fontId="3" fillId="2" borderId="0" xfId="0" applyNumberFormat="1" applyFont="1" applyFill="1" applyAlignment="1" applyProtection="1">
      <alignment horizontal="left"/>
    </xf>
    <xf numFmtId="40" fontId="7" fillId="0" borderId="0" xfId="0" applyNumberFormat="1" applyFont="1" applyAlignment="1" applyProtection="1">
      <alignment horizontal="center"/>
    </xf>
    <xf numFmtId="40" fontId="7" fillId="0" borderId="0" xfId="0" applyNumberFormat="1" applyFont="1" applyAlignment="1" applyProtection="1">
      <alignment horizontal="left"/>
    </xf>
    <xf numFmtId="0" fontId="8" fillId="0" borderId="0" xfId="0" applyFont="1"/>
    <xf numFmtId="0" fontId="9" fillId="0" borderId="0" xfId="0" applyFont="1"/>
    <xf numFmtId="164" fontId="7" fillId="0" borderId="0" xfId="0" applyNumberFormat="1" applyFont="1" applyAlignment="1" applyProtection="1">
      <alignment horizontal="left"/>
    </xf>
    <xf numFmtId="164" fontId="8" fillId="0" borderId="0" xfId="0" applyNumberFormat="1" applyFont="1" applyAlignment="1" applyProtection="1">
      <alignment horizontal="left"/>
    </xf>
    <xf numFmtId="165" fontId="10" fillId="0" borderId="0" xfId="0" applyNumberFormat="1" applyFont="1" applyProtection="1">
      <protection locked="0"/>
    </xf>
    <xf numFmtId="0" fontId="0" fillId="0" borderId="0" xfId="0" applyAlignment="1">
      <alignment horizontal="center"/>
    </xf>
    <xf numFmtId="0" fontId="11" fillId="0" borderId="0" xfId="0" applyFont="1"/>
    <xf numFmtId="0" fontId="7" fillId="0" borderId="0" xfId="0" applyFont="1"/>
    <xf numFmtId="165" fontId="13" fillId="0" borderId="0" xfId="0" applyNumberFormat="1" applyFont="1" applyProtection="1">
      <protection locked="0"/>
    </xf>
    <xf numFmtId="165" fontId="3" fillId="0" borderId="0" xfId="0" applyNumberFormat="1" applyFont="1" applyBorder="1" applyAlignment="1" applyProtection="1">
      <alignment horizontal="left"/>
    </xf>
    <xf numFmtId="165" fontId="3" fillId="0" borderId="0" xfId="0" applyNumberFormat="1" applyFont="1" applyBorder="1" applyAlignment="1" applyProtection="1">
      <alignment horizontal="center"/>
    </xf>
    <xf numFmtId="164" fontId="7" fillId="0" borderId="3" xfId="0" applyNumberFormat="1" applyFont="1" applyBorder="1" applyAlignment="1" applyProtection="1">
      <alignment horizontal="left"/>
    </xf>
    <xf numFmtId="165" fontId="3" fillId="0" borderId="3" xfId="0" applyNumberFormat="1" applyFont="1" applyBorder="1" applyAlignment="1" applyProtection="1">
      <alignment horizontal="left"/>
    </xf>
    <xf numFmtId="165" fontId="3" fillId="0" borderId="3" xfId="0" applyNumberFormat="1" applyFont="1" applyBorder="1" applyAlignment="1" applyProtection="1">
      <alignment horizontal="center"/>
    </xf>
    <xf numFmtId="40" fontId="3" fillId="0" borderId="3" xfId="0" applyNumberFormat="1" applyFont="1" applyBorder="1" applyProtection="1"/>
    <xf numFmtId="40" fontId="0" fillId="0" borderId="3" xfId="0" applyNumberFormat="1" applyBorder="1"/>
    <xf numFmtId="0" fontId="11" fillId="0" borderId="3" xfId="0" applyFont="1" applyBorder="1"/>
    <xf numFmtId="0" fontId="3" fillId="0" borderId="3" xfId="0" applyFont="1" applyBorder="1" applyAlignment="1">
      <alignment horizontal="center"/>
    </xf>
    <xf numFmtId="40" fontId="3" fillId="2" borderId="3" xfId="0" applyNumberFormat="1" applyFont="1" applyFill="1" applyBorder="1" applyAlignment="1" applyProtection="1">
      <alignment horizontal="left"/>
    </xf>
    <xf numFmtId="0" fontId="7" fillId="0" borderId="3" xfId="0" applyFont="1" applyBorder="1"/>
    <xf numFmtId="40" fontId="3" fillId="0" borderId="3" xfId="0" applyNumberFormat="1" applyFont="1" applyBorder="1"/>
    <xf numFmtId="165" fontId="3" fillId="0" borderId="4" xfId="0" applyNumberFormat="1" applyFont="1" applyBorder="1" applyAlignment="1" applyProtection="1">
      <alignment horizontal="left"/>
    </xf>
    <xf numFmtId="40" fontId="3" fillId="2" borderId="4" xfId="0" applyNumberFormat="1" applyFont="1" applyFill="1" applyBorder="1" applyAlignment="1" applyProtection="1">
      <alignment horizontal="left"/>
    </xf>
    <xf numFmtId="164" fontId="7" fillId="0" borderId="4" xfId="0" applyNumberFormat="1" applyFont="1" applyBorder="1" applyAlignment="1" applyProtection="1">
      <alignment horizontal="left"/>
    </xf>
    <xf numFmtId="165" fontId="3"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1" fillId="0" borderId="0" xfId="0" applyFont="1" applyBorder="1"/>
    <xf numFmtId="0" fontId="7" fillId="0" borderId="0" xfId="0" applyFont="1" applyBorder="1"/>
    <xf numFmtId="40" fontId="3" fillId="0" borderId="0" xfId="0" applyNumberFormat="1" applyFont="1" applyBorder="1"/>
    <xf numFmtId="49" fontId="3" fillId="0" borderId="0" xfId="0" applyNumberFormat="1" applyFont="1" applyBorder="1" applyAlignment="1">
      <alignment horizontal="center"/>
    </xf>
    <xf numFmtId="0" fontId="3" fillId="0" borderId="0" xfId="0" applyFont="1" applyBorder="1"/>
    <xf numFmtId="0" fontId="3" fillId="0" borderId="5" xfId="0" applyFont="1" applyBorder="1"/>
    <xf numFmtId="49" fontId="3" fillId="0" borderId="5" xfId="0" applyNumberFormat="1" applyFont="1" applyBorder="1" applyAlignment="1">
      <alignment horizontal="center"/>
    </xf>
    <xf numFmtId="0" fontId="3" fillId="0" borderId="6" xfId="0" applyFont="1" applyBorder="1"/>
    <xf numFmtId="165" fontId="3" fillId="0" borderId="6" xfId="0" applyNumberFormat="1" applyFont="1" applyBorder="1" applyAlignment="1" applyProtection="1">
      <alignment horizontal="left"/>
    </xf>
    <xf numFmtId="40" fontId="4" fillId="0" borderId="6" xfId="0" applyNumberFormat="1" applyFont="1" applyBorder="1" applyProtection="1">
      <protection locked="0"/>
    </xf>
    <xf numFmtId="40" fontId="4" fillId="0" borderId="0" xfId="0" applyNumberFormat="1" applyFont="1" applyBorder="1" applyProtection="1">
      <protection locked="0"/>
    </xf>
    <xf numFmtId="40" fontId="5" fillId="0" borderId="3" xfId="0" applyNumberFormat="1" applyFont="1" applyBorder="1" applyProtection="1">
      <protection locked="0"/>
    </xf>
    <xf numFmtId="40" fontId="5" fillId="0" borderId="0" xfId="0" applyNumberFormat="1" applyFont="1" applyBorder="1" applyProtection="1">
      <protection locked="0"/>
    </xf>
    <xf numFmtId="40" fontId="3" fillId="0" borderId="0" xfId="0" applyNumberFormat="1" applyFont="1" applyBorder="1" applyProtection="1"/>
    <xf numFmtId="165" fontId="4" fillId="0" borderId="0" xfId="0" applyNumberFormat="1" applyFont="1" applyBorder="1" applyProtection="1">
      <protection locked="0"/>
    </xf>
    <xf numFmtId="164" fontId="3" fillId="0" borderId="0" xfId="0" applyNumberFormat="1" applyFont="1" applyBorder="1" applyAlignment="1" applyProtection="1">
      <alignment horizontal="left"/>
    </xf>
    <xf numFmtId="164" fontId="7" fillId="0" borderId="0" xfId="0" applyNumberFormat="1" applyFont="1" applyBorder="1" applyAlignment="1" applyProtection="1">
      <alignment horizontal="left"/>
    </xf>
    <xf numFmtId="165" fontId="3" fillId="0" borderId="6" xfId="0" applyNumberFormat="1" applyFont="1" applyBorder="1" applyAlignment="1" applyProtection="1">
      <alignment horizontal="center"/>
    </xf>
    <xf numFmtId="40" fontId="3" fillId="0" borderId="6" xfId="0" applyNumberFormat="1" applyFont="1" applyBorder="1"/>
    <xf numFmtId="0" fontId="3" fillId="0" borderId="6" xfId="0" applyFont="1" applyBorder="1" applyAlignment="1">
      <alignment horizontal="center"/>
    </xf>
    <xf numFmtId="164" fontId="7" fillId="0" borderId="6" xfId="0" applyNumberFormat="1" applyFont="1" applyBorder="1" applyAlignment="1" applyProtection="1">
      <alignment horizontal="left"/>
    </xf>
    <xf numFmtId="0" fontId="3" fillId="0" borderId="0" xfId="0" applyFont="1" applyBorder="1" applyAlignment="1">
      <alignment horizontal="center"/>
    </xf>
    <xf numFmtId="165" fontId="7" fillId="0" borderId="0" xfId="0" applyNumberFormat="1" applyFont="1" applyAlignment="1" applyProtection="1">
      <alignment horizontal="left"/>
    </xf>
    <xf numFmtId="40" fontId="3" fillId="0" borderId="0" xfId="0" applyNumberFormat="1" applyFont="1" applyBorder="1" applyAlignment="1">
      <alignment horizontal="center"/>
    </xf>
    <xf numFmtId="49" fontId="7" fillId="0" borderId="0" xfId="0" applyNumberFormat="1" applyFont="1" applyAlignment="1" applyProtection="1">
      <alignment horizontal="left"/>
    </xf>
    <xf numFmtId="49" fontId="3" fillId="0" borderId="0" xfId="0" applyNumberFormat="1" applyFont="1" applyAlignment="1" applyProtection="1">
      <alignment horizontal="left"/>
    </xf>
    <xf numFmtId="0" fontId="0" fillId="0" borderId="0" xfId="0" applyBorder="1" applyAlignment="1">
      <alignment horizontal="center"/>
    </xf>
    <xf numFmtId="0" fontId="3" fillId="0" borderId="4" xfId="0" applyFont="1" applyBorder="1" applyAlignment="1">
      <alignment horizontal="center"/>
    </xf>
    <xf numFmtId="0" fontId="0" fillId="0" borderId="3" xfId="0" applyBorder="1" applyAlignment="1">
      <alignment horizontal="center"/>
    </xf>
    <xf numFmtId="40" fontId="3" fillId="0" borderId="4" xfId="0" applyNumberFormat="1" applyFont="1" applyBorder="1"/>
    <xf numFmtId="40" fontId="0" fillId="0" borderId="0" xfId="0" applyNumberFormat="1" applyBorder="1" applyAlignment="1">
      <alignment horizontal="center"/>
    </xf>
    <xf numFmtId="40" fontId="5" fillId="0" borderId="0" xfId="0" applyNumberFormat="1" applyFont="1" applyAlignment="1" applyProtection="1">
      <alignment horizontal="center" vertical="justify"/>
      <protection locked="0"/>
    </xf>
    <xf numFmtId="40" fontId="0" fillId="0" borderId="4" xfId="0" applyNumberFormat="1" applyBorder="1"/>
    <xf numFmtId="40" fontId="5" fillId="0" borderId="0" xfId="0" applyNumberFormat="1" applyFont="1" applyBorder="1" applyAlignment="1" applyProtection="1">
      <alignment horizontal="right"/>
    </xf>
    <xf numFmtId="40" fontId="5" fillId="0" borderId="0" xfId="0" applyNumberFormat="1" applyFont="1" applyAlignment="1" applyProtection="1">
      <alignment horizontal="right"/>
    </xf>
    <xf numFmtId="40" fontId="5" fillId="0" borderId="3" xfId="0" applyNumberFormat="1" applyFont="1" applyBorder="1" applyAlignment="1" applyProtection="1">
      <alignment horizontal="right"/>
    </xf>
    <xf numFmtId="0" fontId="7" fillId="0" borderId="0" xfId="0" applyFont="1" applyBorder="1" applyProtection="1"/>
    <xf numFmtId="0" fontId="11" fillId="0" borderId="3" xfId="0" applyFont="1" applyBorder="1" applyProtection="1"/>
    <xf numFmtId="0" fontId="11" fillId="0" borderId="0" xfId="0" applyFont="1" applyBorder="1" applyProtection="1"/>
    <xf numFmtId="0" fontId="12" fillId="0" borderId="0" xfId="0" applyFont="1" applyBorder="1" applyProtection="1"/>
    <xf numFmtId="0" fontId="14" fillId="0" borderId="0" xfId="0" applyFont="1" applyBorder="1" applyProtection="1"/>
    <xf numFmtId="40" fontId="4" fillId="0" borderId="0" xfId="0" applyNumberFormat="1" applyFont="1" applyProtection="1"/>
    <xf numFmtId="40" fontId="15" fillId="0" borderId="0" xfId="0" applyNumberFormat="1" applyFont="1" applyProtection="1"/>
    <xf numFmtId="40" fontId="15" fillId="0" borderId="0" xfId="0" applyNumberFormat="1" applyFont="1" applyBorder="1" applyProtection="1"/>
    <xf numFmtId="40" fontId="15" fillId="0" borderId="3" xfId="0" applyNumberFormat="1" applyFont="1" applyBorder="1" applyProtection="1"/>
    <xf numFmtId="40" fontId="5" fillId="0" borderId="0" xfId="0" applyNumberFormat="1" applyFont="1" applyBorder="1" applyProtection="1"/>
    <xf numFmtId="40" fontId="15" fillId="0" borderId="0" xfId="0" applyNumberFormat="1" applyFont="1" applyBorder="1" applyAlignment="1" applyProtection="1">
      <alignment horizontal="center"/>
    </xf>
    <xf numFmtId="40" fontId="5" fillId="0" borderId="0" xfId="0" applyNumberFormat="1" applyFont="1" applyBorder="1" applyAlignment="1" applyProtection="1">
      <alignment horizontal="center"/>
    </xf>
    <xf numFmtId="0" fontId="5" fillId="0" borderId="0" xfId="0" applyNumberFormat="1" applyFont="1" applyAlignment="1" applyProtection="1">
      <alignment horizontal="center" vertical="justify"/>
    </xf>
    <xf numFmtId="40" fontId="5" fillId="0" borderId="0" xfId="0" applyNumberFormat="1" applyFont="1" applyAlignment="1" applyProtection="1">
      <alignment horizontal="center" vertical="justify"/>
    </xf>
    <xf numFmtId="40" fontId="5" fillId="0" borderId="0" xfId="0" applyNumberFormat="1" applyFont="1" applyAlignment="1" applyProtection="1">
      <alignment horizontal="right" vertical="justify"/>
    </xf>
    <xf numFmtId="0" fontId="3" fillId="0" borderId="0" xfId="0" applyFont="1" applyBorder="1" applyAlignment="1" applyProtection="1">
      <alignment horizontal="center"/>
    </xf>
    <xf numFmtId="40" fontId="5" fillId="0" borderId="0" xfId="0" applyNumberFormat="1" applyFont="1" applyAlignment="1" applyProtection="1">
      <alignment horizontal="center"/>
    </xf>
    <xf numFmtId="0" fontId="3" fillId="0" borderId="3" xfId="0" applyFont="1" applyBorder="1" applyAlignment="1" applyProtection="1">
      <alignment horizontal="center"/>
    </xf>
    <xf numFmtId="40" fontId="5" fillId="0" borderId="3" xfId="0" applyNumberFormat="1" applyFont="1" applyBorder="1" applyAlignment="1" applyProtection="1">
      <alignment horizontal="right" vertical="justify"/>
    </xf>
    <xf numFmtId="40" fontId="5" fillId="0" borderId="0" xfId="0" applyNumberFormat="1" applyFont="1" applyBorder="1" applyAlignment="1" applyProtection="1">
      <alignment horizontal="right" vertical="justify"/>
    </xf>
    <xf numFmtId="49" fontId="3" fillId="0" borderId="0" xfId="0" applyNumberFormat="1" applyFont="1" applyAlignment="1" applyProtection="1">
      <alignment horizontal="left"/>
      <protection locked="0"/>
    </xf>
    <xf numFmtId="0" fontId="0" fillId="0" borderId="0" xfId="0" applyBorder="1" applyAlignment="1" applyProtection="1">
      <alignment horizontal="center"/>
    </xf>
    <xf numFmtId="40" fontId="4" fillId="0" borderId="0" xfId="0" applyNumberFormat="1" applyFont="1" applyAlignment="1" applyProtection="1"/>
    <xf numFmtId="40" fontId="15" fillId="0" borderId="0" xfId="0" applyNumberFormat="1" applyFont="1" applyAlignment="1" applyProtection="1">
      <alignment horizontal="center" vertical="justify"/>
    </xf>
    <xf numFmtId="40" fontId="15" fillId="0" borderId="0" xfId="0" applyNumberFormat="1" applyFont="1" applyAlignment="1" applyProtection="1">
      <alignment horizontal="center"/>
    </xf>
    <xf numFmtId="0" fontId="3" fillId="0" borderId="0" xfId="0" applyNumberFormat="1" applyFont="1" applyAlignment="1" applyProtection="1">
      <alignment horizontal="center"/>
    </xf>
    <xf numFmtId="40" fontId="0" fillId="0" borderId="0" xfId="0" applyNumberFormat="1" applyBorder="1" applyProtection="1"/>
    <xf numFmtId="40" fontId="11" fillId="0" borderId="0" xfId="0" applyNumberFormat="1" applyFont="1" applyBorder="1" applyAlignment="1" applyProtection="1">
      <alignment horizontal="center"/>
    </xf>
    <xf numFmtId="0" fontId="3" fillId="0" borderId="0" xfId="0" applyFont="1" applyAlignment="1" applyProtection="1">
      <alignment horizontal="center"/>
    </xf>
    <xf numFmtId="0" fontId="3" fillId="0" borderId="0" xfId="0" quotePrefix="1" applyNumberFormat="1" applyFont="1" applyAlignment="1" applyProtection="1">
      <alignment horizontal="left"/>
    </xf>
    <xf numFmtId="14" fontId="3" fillId="0" borderId="0" xfId="0" quotePrefix="1" applyNumberFormat="1" applyFont="1" applyAlignment="1" applyProtection="1">
      <alignment horizontal="left"/>
    </xf>
    <xf numFmtId="40" fontId="5" fillId="0" borderId="0" xfId="0" quotePrefix="1" applyNumberFormat="1" applyFont="1" applyBorder="1" applyAlignment="1" applyProtection="1">
      <alignment horizontal="left" vertical="justify"/>
    </xf>
    <xf numFmtId="40" fontId="15" fillId="0" borderId="0" xfId="0" applyNumberFormat="1" applyFont="1" applyAlignment="1" applyProtection="1">
      <alignment horizontal="centerContinuous" vertical="justify"/>
    </xf>
    <xf numFmtId="40" fontId="15" fillId="0" borderId="0" xfId="0" applyNumberFormat="1" applyFont="1" applyAlignment="1" applyProtection="1">
      <alignment horizontal="centerContinuous"/>
    </xf>
    <xf numFmtId="40" fontId="3" fillId="0" borderId="0" xfId="0" applyNumberFormat="1" applyFont="1" applyProtection="1">
      <protection locked="0"/>
    </xf>
    <xf numFmtId="40" fontId="3" fillId="0" borderId="0" xfId="0" quotePrefix="1" applyNumberFormat="1" applyFont="1" applyAlignment="1" applyProtection="1">
      <alignment horizontal="center"/>
      <protection locked="0"/>
    </xf>
    <xf numFmtId="0" fontId="0" fillId="0" borderId="0" xfId="0" applyProtection="1"/>
    <xf numFmtId="0" fontId="3" fillId="0" borderId="0" xfId="0" applyFont="1" applyProtection="1"/>
    <xf numFmtId="0" fontId="7" fillId="0" borderId="0" xfId="0" applyFont="1" applyProtection="1"/>
    <xf numFmtId="40" fontId="16" fillId="0" borderId="0" xfId="0" applyNumberFormat="1" applyFont="1"/>
    <xf numFmtId="40" fontId="5" fillId="0" borderId="4" xfId="0" applyNumberFormat="1" applyFont="1" applyBorder="1" applyProtection="1"/>
    <xf numFmtId="40" fontId="17" fillId="0" borderId="4" xfId="0" applyNumberFormat="1" applyFont="1" applyBorder="1"/>
    <xf numFmtId="0" fontId="0" fillId="0" borderId="0" xfId="0" applyAlignment="1"/>
    <xf numFmtId="0" fontId="3" fillId="0" borderId="0" xfId="0" applyNumberFormat="1" applyFont="1" applyAlignment="1" applyProtection="1">
      <alignment horizontal="left"/>
    </xf>
    <xf numFmtId="0" fontId="3" fillId="0" borderId="0" xfId="0" applyNumberFormat="1" applyFont="1" applyProtection="1">
      <protection locked="0"/>
    </xf>
    <xf numFmtId="40" fontId="15" fillId="0" borderId="0" xfId="0" applyNumberFormat="1" applyFont="1" applyAlignment="1" applyProtection="1"/>
    <xf numFmtId="40" fontId="5" fillId="0" borderId="0" xfId="0" applyNumberFormat="1" applyFont="1" applyAlignment="1" applyProtection="1"/>
    <xf numFmtId="40" fontId="0" fillId="0" borderId="0" xfId="0" applyNumberFormat="1" applyAlignment="1"/>
    <xf numFmtId="2" fontId="0" fillId="0" borderId="0" xfId="0" applyNumberFormat="1" applyAlignment="1"/>
    <xf numFmtId="40" fontId="5" fillId="0" borderId="3" xfId="0" applyNumberFormat="1" applyFont="1" applyBorder="1" applyProtection="1"/>
    <xf numFmtId="40" fontId="5" fillId="0" borderId="0" xfId="0" quotePrefix="1" applyNumberFormat="1" applyFont="1" applyAlignment="1" applyProtection="1">
      <alignment horizontal="left" vertical="justify"/>
    </xf>
    <xf numFmtId="40" fontId="0" fillId="0" borderId="7" xfId="0" applyNumberFormat="1" applyBorder="1"/>
    <xf numFmtId="14" fontId="3" fillId="0" borderId="0" xfId="0" applyNumberFormat="1" applyFont="1" applyAlignment="1" applyProtection="1">
      <alignment horizontal="left"/>
    </xf>
    <xf numFmtId="40" fontId="5" fillId="0" borderId="0" xfId="0" applyNumberFormat="1" applyFont="1" applyAlignment="1" applyProtection="1">
      <alignment horizontal="left" vertical="justify"/>
    </xf>
    <xf numFmtId="40" fontId="0" fillId="0" borderId="0" xfId="0" applyNumberFormat="1" applyBorder="1" applyProtection="1">
      <protection locked="0"/>
    </xf>
    <xf numFmtId="0" fontId="4" fillId="0" borderId="0" xfId="0" applyNumberFormat="1" applyFont="1" applyProtection="1">
      <protection locked="0"/>
    </xf>
    <xf numFmtId="40" fontId="5" fillId="0" borderId="0" xfId="0" applyNumberFormat="1" applyFont="1" applyBorder="1" applyAlignment="1" applyProtection="1">
      <alignment horizontal="left"/>
    </xf>
    <xf numFmtId="40" fontId="15" fillId="0" borderId="0" xfId="0" quotePrefix="1" applyNumberFormat="1" applyFont="1" applyAlignment="1" applyProtection="1">
      <alignment horizontal="left"/>
    </xf>
    <xf numFmtId="0" fontId="5" fillId="0" borderId="3" xfId="0" applyNumberFormat="1" applyFont="1" applyBorder="1" applyAlignment="1" applyProtection="1">
      <alignment horizontal="center" vertical="justify"/>
    </xf>
    <xf numFmtId="40" fontId="5" fillId="0" borderId="3" xfId="0" applyNumberFormat="1" applyFont="1" applyBorder="1" applyAlignment="1" applyProtection="1">
      <alignment horizontal="center" vertical="justify"/>
    </xf>
    <xf numFmtId="40" fontId="18" fillId="0" borderId="0" xfId="0" quotePrefix="1" applyNumberFormat="1" applyFont="1" applyBorder="1" applyAlignment="1" applyProtection="1">
      <alignment horizontal="center" vertical="justify"/>
    </xf>
    <xf numFmtId="40" fontId="18"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4" fillId="0" borderId="0" xfId="0" applyNumberFormat="1" applyFont="1" applyAlignment="1" applyProtection="1">
      <alignment horizontal="center"/>
      <protection locked="0"/>
    </xf>
    <xf numFmtId="49" fontId="4"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3" fillId="0" borderId="3" xfId="0" applyFont="1" applyBorder="1" applyAlignment="1" applyProtection="1">
      <alignment horizontal="left"/>
    </xf>
    <xf numFmtId="0" fontId="3" fillId="0" borderId="0" xfId="0" applyFont="1" applyAlignment="1">
      <alignment horizontal="left"/>
    </xf>
    <xf numFmtId="49" fontId="21" fillId="0" borderId="0" xfId="0" applyNumberFormat="1" applyFont="1" applyAlignment="1" applyProtection="1">
      <alignment horizontal="left"/>
    </xf>
    <xf numFmtId="40" fontId="18" fillId="0" borderId="0" xfId="0" applyNumberFormat="1" applyFont="1" applyProtection="1"/>
    <xf numFmtId="0" fontId="22" fillId="0" borderId="0" xfId="0" applyFont="1" applyBorder="1" applyAlignment="1" applyProtection="1">
      <alignment horizontal="center"/>
    </xf>
    <xf numFmtId="14" fontId="22" fillId="0" borderId="0" xfId="0" quotePrefix="1" applyNumberFormat="1" applyFont="1" applyAlignment="1" applyProtection="1">
      <alignment horizontal="left"/>
    </xf>
    <xf numFmtId="40" fontId="18" fillId="0" borderId="0" xfId="0" applyNumberFormat="1" applyFont="1" applyAlignment="1" applyProtection="1">
      <alignment horizontal="right" vertical="justify"/>
    </xf>
    <xf numFmtId="40" fontId="18" fillId="0" borderId="0" xfId="0" quotePrefix="1" applyNumberFormat="1" applyFont="1" applyAlignment="1" applyProtection="1">
      <alignment horizontal="left" vertical="justify"/>
    </xf>
    <xf numFmtId="40" fontId="18" fillId="0" borderId="0" xfId="0" applyNumberFormat="1" applyFont="1" applyAlignment="1" applyProtection="1">
      <alignment horizontal="center" vertical="justify"/>
      <protection locked="0"/>
    </xf>
    <xf numFmtId="40" fontId="18" fillId="0" borderId="0" xfId="0" applyNumberFormat="1" applyFont="1" applyAlignment="1" applyProtection="1">
      <alignment horizontal="right"/>
    </xf>
    <xf numFmtId="165" fontId="23" fillId="0" borderId="0" xfId="0" applyNumberFormat="1" applyFont="1" applyProtection="1">
      <protection locked="0"/>
    </xf>
    <xf numFmtId="0" fontId="22" fillId="0" borderId="0" xfId="0" applyFont="1"/>
    <xf numFmtId="164" fontId="24" fillId="0" borderId="0" xfId="0" applyNumberFormat="1" applyFont="1" applyAlignment="1" applyProtection="1">
      <alignment horizontal="left"/>
    </xf>
    <xf numFmtId="40" fontId="5" fillId="0" borderId="0" xfId="0" applyNumberFormat="1" applyFont="1" applyAlignment="1" applyProtection="1">
      <alignment horizontal="left"/>
    </xf>
    <xf numFmtId="40" fontId="20" fillId="0" borderId="3" xfId="0" applyNumberFormat="1" applyFont="1" applyBorder="1" applyProtection="1"/>
    <xf numFmtId="40" fontId="20" fillId="0" borderId="0" xfId="0" applyNumberFormat="1" applyFont="1" applyProtection="1"/>
    <xf numFmtId="40" fontId="5" fillId="0" borderId="0" xfId="0" applyNumberFormat="1" applyFont="1" applyProtection="1">
      <protection locked="0"/>
    </xf>
    <xf numFmtId="0" fontId="0" fillId="0" borderId="0" xfId="0" applyBorder="1" applyProtection="1">
      <protection locked="0"/>
    </xf>
    <xf numFmtId="49" fontId="3" fillId="0" borderId="0" xfId="0" applyNumberFormat="1" applyFont="1" applyBorder="1" applyProtection="1">
      <protection locked="0"/>
    </xf>
    <xf numFmtId="40" fontId="3" fillId="0" borderId="0" xfId="0" quotePrefix="1" applyNumberFormat="1" applyFont="1" applyBorder="1" applyAlignment="1">
      <alignment horizontal="center"/>
    </xf>
    <xf numFmtId="40" fontId="15" fillId="0" borderId="0" xfId="0" quotePrefix="1" applyNumberFormat="1" applyFont="1" applyProtection="1"/>
    <xf numFmtId="38" fontId="0" fillId="0" borderId="0" xfId="0" applyNumberFormat="1"/>
    <xf numFmtId="38" fontId="11" fillId="0" borderId="0" xfId="0" applyNumberFormat="1" applyFont="1"/>
    <xf numFmtId="0" fontId="11" fillId="0" borderId="0" xfId="0" applyFont="1" applyAlignment="1">
      <alignment horizontal="center"/>
    </xf>
    <xf numFmtId="167" fontId="0" fillId="0" borderId="0" xfId="0" applyNumberFormat="1"/>
    <xf numFmtId="0" fontId="0" fillId="0" borderId="0" xfId="0" applyAlignment="1">
      <alignment horizontal="right"/>
    </xf>
    <xf numFmtId="167" fontId="11" fillId="0" borderId="0" xfId="0" applyNumberFormat="1" applyFont="1"/>
    <xf numFmtId="0" fontId="12" fillId="0" borderId="0" xfId="0" applyFont="1"/>
    <xf numFmtId="49" fontId="27" fillId="0" borderId="0" xfId="0" applyNumberFormat="1" applyFont="1"/>
    <xf numFmtId="0" fontId="28" fillId="0" borderId="0" xfId="0" applyFont="1"/>
    <xf numFmtId="0" fontId="28" fillId="0" borderId="0" xfId="0" quotePrefix="1" applyFont="1" applyAlignment="1">
      <alignment horizontal="left"/>
    </xf>
    <xf numFmtId="0" fontId="12" fillId="0" borderId="0" xfId="0" quotePrefix="1" applyFont="1" applyBorder="1" applyAlignment="1" applyProtection="1">
      <alignment horizontal="left"/>
    </xf>
    <xf numFmtId="40" fontId="5" fillId="0" borderId="0" xfId="0" quotePrefix="1" applyNumberFormat="1" applyFont="1" applyAlignment="1" applyProtection="1">
      <alignment horizontal="left"/>
    </xf>
    <xf numFmtId="0" fontId="3" fillId="0" borderId="4" xfId="0" applyFont="1" applyBorder="1" applyAlignment="1" applyProtection="1">
      <alignment horizontal="center"/>
    </xf>
    <xf numFmtId="0" fontId="3" fillId="0" borderId="4" xfId="0" applyFont="1" applyBorder="1" applyAlignment="1" applyProtection="1">
      <alignment horizontal="left"/>
    </xf>
    <xf numFmtId="40" fontId="5" fillId="0" borderId="4" xfId="0" applyNumberFormat="1" applyFont="1" applyBorder="1" applyAlignment="1" applyProtection="1">
      <alignment horizontal="right"/>
    </xf>
    <xf numFmtId="40" fontId="3" fillId="2" borderId="0" xfId="0" applyNumberFormat="1" applyFont="1" applyFill="1" applyBorder="1" applyAlignment="1" applyProtection="1">
      <alignment horizontal="left"/>
    </xf>
    <xf numFmtId="0" fontId="3" fillId="0" borderId="3" xfId="0" applyNumberFormat="1" applyFont="1" applyBorder="1" applyAlignment="1" applyProtection="1">
      <alignment horizontal="center"/>
    </xf>
    <xf numFmtId="0" fontId="3" fillId="0" borderId="3" xfId="0" applyNumberFormat="1" applyFont="1" applyBorder="1" applyAlignment="1" applyProtection="1">
      <alignment horizontal="left"/>
    </xf>
    <xf numFmtId="0" fontId="3" fillId="0" borderId="4" xfId="0" applyNumberFormat="1" applyFont="1" applyBorder="1" applyAlignment="1" applyProtection="1">
      <alignment horizontal="left"/>
    </xf>
    <xf numFmtId="164" fontId="22" fillId="0" borderId="0" xfId="0" applyNumberFormat="1" applyFont="1" applyAlignment="1" applyProtection="1">
      <alignment horizontal="left"/>
    </xf>
    <xf numFmtId="40" fontId="22" fillId="0" borderId="0" xfId="0" applyNumberFormat="1" applyFont="1" applyProtection="1"/>
    <xf numFmtId="40" fontId="5" fillId="0" borderId="5" xfId="0" applyNumberFormat="1" applyFont="1" applyBorder="1" applyProtection="1"/>
    <xf numFmtId="0" fontId="3" fillId="0" borderId="5" xfId="0" applyFont="1" applyBorder="1" applyAlignment="1">
      <alignment horizontal="center"/>
    </xf>
    <xf numFmtId="0" fontId="3" fillId="0" borderId="5" xfId="0" applyNumberFormat="1" applyFont="1" applyBorder="1" applyAlignment="1" applyProtection="1">
      <alignment horizontal="center"/>
    </xf>
    <xf numFmtId="165" fontId="3" fillId="0" borderId="5" xfId="0" applyNumberFormat="1" applyFont="1" applyBorder="1" applyAlignment="1" applyProtection="1">
      <alignment horizontal="left"/>
    </xf>
    <xf numFmtId="40" fontId="4" fillId="0" borderId="5" xfId="0" applyNumberFormat="1" applyFont="1" applyBorder="1" applyProtection="1">
      <protection locked="0"/>
    </xf>
    <xf numFmtId="40" fontId="0" fillId="0" borderId="5" xfId="0" applyNumberFormat="1" applyBorder="1"/>
    <xf numFmtId="40" fontId="3"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1" fillId="3" borderId="0" xfId="0" applyNumberFormat="1" applyFont="1" applyFill="1" applyAlignment="1" applyProtection="1">
      <alignment horizontal="center"/>
      <protection locked="0"/>
    </xf>
    <xf numFmtId="0" fontId="11" fillId="0" borderId="0" xfId="0" applyFont="1" applyAlignment="1" applyProtection="1">
      <alignment horizontal="center"/>
    </xf>
    <xf numFmtId="1" fontId="0" fillId="0" borderId="0" xfId="0" applyNumberFormat="1" applyAlignment="1" applyProtection="1">
      <alignment horizontal="right"/>
    </xf>
    <xf numFmtId="49" fontId="12"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1" fillId="0" borderId="11" xfId="0" applyFont="1" applyBorder="1" applyAlignment="1">
      <alignment horizontal="center"/>
    </xf>
    <xf numFmtId="0" fontId="11"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2" fillId="0" borderId="0" xfId="0" applyNumberFormat="1" applyFont="1" applyAlignment="1" applyProtection="1">
      <alignment horizontal="left"/>
    </xf>
    <xf numFmtId="1" fontId="0" fillId="0" borderId="0" xfId="0" applyNumberFormat="1" applyBorder="1" applyAlignment="1" applyProtection="1">
      <alignment horizontal="right"/>
    </xf>
    <xf numFmtId="40" fontId="3" fillId="4" borderId="0" xfId="0" applyNumberFormat="1" applyFont="1" applyFill="1" applyAlignment="1" applyProtection="1">
      <alignment horizontal="center"/>
    </xf>
    <xf numFmtId="40" fontId="22" fillId="0" borderId="0" xfId="0" applyNumberFormat="1" applyFont="1" applyAlignment="1" applyProtection="1">
      <alignment horizontal="center"/>
    </xf>
    <xf numFmtId="40" fontId="22" fillId="0" borderId="0" xfId="0" applyNumberFormat="1" applyFont="1"/>
    <xf numFmtId="0" fontId="7" fillId="0" borderId="0" xfId="0" applyFont="1" applyBorder="1" applyAlignment="1">
      <alignment horizontal="center"/>
    </xf>
    <xf numFmtId="0" fontId="11" fillId="0" borderId="1" xfId="0" applyFont="1" applyBorder="1" applyAlignment="1">
      <alignment horizontal="center"/>
    </xf>
    <xf numFmtId="40" fontId="11" fillId="0" borderId="14" xfId="0" applyNumberFormat="1" applyFont="1" applyBorder="1"/>
    <xf numFmtId="4" fontId="11" fillId="0" borderId="0" xfId="0" applyNumberFormat="1" applyFont="1" applyBorder="1"/>
    <xf numFmtId="4" fontId="11" fillId="0" borderId="5" xfId="0" applyNumberFormat="1" applyFont="1" applyBorder="1"/>
    <xf numFmtId="49" fontId="6" fillId="0" borderId="0" xfId="0" applyNumberFormat="1" applyFont="1"/>
    <xf numFmtId="0" fontId="11" fillId="0" borderId="0" xfId="0" applyFont="1" applyAlignment="1">
      <alignment horizontal="right"/>
    </xf>
    <xf numFmtId="4" fontId="11" fillId="0" borderId="14" xfId="0" applyNumberFormat="1" applyFont="1" applyBorder="1"/>
    <xf numFmtId="40" fontId="11" fillId="0" borderId="14" xfId="0" applyNumberFormat="1" applyFont="1" applyBorder="1" applyAlignment="1">
      <alignment horizontal="right"/>
    </xf>
    <xf numFmtId="49" fontId="11" fillId="0" borderId="0" xfId="0" applyNumberFormat="1" applyFont="1" applyAlignment="1">
      <alignment horizontal="center"/>
    </xf>
    <xf numFmtId="40" fontId="7" fillId="0" borderId="0" xfId="0" applyNumberFormat="1" applyFont="1" applyBorder="1" applyAlignment="1">
      <alignment horizontal="center"/>
    </xf>
    <xf numFmtId="0" fontId="33" fillId="0" borderId="0" xfId="0" applyFont="1" applyAlignment="1">
      <alignment horizontal="center"/>
    </xf>
    <xf numFmtId="164" fontId="25" fillId="0" borderId="0" xfId="0" applyNumberFormat="1" applyFont="1" applyAlignment="1" applyProtection="1">
      <alignment horizontal="left"/>
    </xf>
    <xf numFmtId="4" fontId="6" fillId="0" borderId="0" xfId="0" applyNumberFormat="1" applyFont="1" applyProtection="1">
      <protection locked="0"/>
    </xf>
    <xf numFmtId="0" fontId="11" fillId="0" borderId="15" xfId="0" applyFont="1" applyBorder="1" applyAlignment="1">
      <alignment horizontal="center"/>
    </xf>
    <xf numFmtId="0" fontId="11"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1" fillId="0" borderId="8" xfId="0" applyNumberFormat="1" applyFont="1" applyBorder="1"/>
    <xf numFmtId="2" fontId="6" fillId="0" borderId="0" xfId="0" applyNumberFormat="1" applyFont="1" applyProtection="1">
      <protection locked="0"/>
    </xf>
    <xf numFmtId="2" fontId="4" fillId="0" borderId="0" xfId="0" applyNumberFormat="1" applyFont="1" applyProtection="1">
      <protection locked="0"/>
    </xf>
    <xf numFmtId="166" fontId="11" fillId="0" borderId="0" xfId="0" applyNumberFormat="1" applyFont="1"/>
    <xf numFmtId="0" fontId="11" fillId="0" borderId="5" xfId="0" applyFont="1" applyBorder="1" applyAlignment="1">
      <alignment horizontal="center"/>
    </xf>
    <xf numFmtId="0" fontId="11"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3" fillId="0" borderId="0" xfId="0" applyFont="1"/>
    <xf numFmtId="49" fontId="28" fillId="0" borderId="0" xfId="0" applyNumberFormat="1" applyFont="1" applyAlignment="1">
      <alignment horizontal="left"/>
    </xf>
    <xf numFmtId="0" fontId="6" fillId="0" borderId="0" xfId="0" applyFont="1"/>
    <xf numFmtId="0" fontId="36" fillId="0" borderId="0" xfId="0" applyFont="1"/>
    <xf numFmtId="0" fontId="27" fillId="0" borderId="0" xfId="0" applyFont="1"/>
    <xf numFmtId="0" fontId="11" fillId="0" borderId="0" xfId="0" applyFont="1" applyAlignment="1">
      <alignment horizontal="center"/>
    </xf>
    <xf numFmtId="0" fontId="11" fillId="0" borderId="0" xfId="0" applyFont="1" applyBorder="1" applyAlignment="1">
      <alignment horizontal="center"/>
    </xf>
    <xf numFmtId="0" fontId="7" fillId="0" borderId="0" xfId="0" applyFont="1" applyAlignment="1">
      <alignment horizontal="center"/>
    </xf>
    <xf numFmtId="0" fontId="9" fillId="0" borderId="0" xfId="0" applyFont="1" applyAlignment="1">
      <alignment horizontal="center"/>
    </xf>
    <xf numFmtId="0" fontId="37" fillId="0" borderId="0" xfId="0" applyFont="1"/>
    <xf numFmtId="0" fontId="11" fillId="0" borderId="5" xfId="0" applyFont="1" applyBorder="1" applyAlignment="1">
      <alignment horizontal="center"/>
    </xf>
    <xf numFmtId="0" fontId="11" fillId="0" borderId="0" xfId="0" applyFont="1" applyBorder="1" applyAlignment="1">
      <alignment horizontal="center"/>
    </xf>
    <xf numFmtId="0" fontId="0" fillId="0" borderId="15" xfId="0" applyFill="1" applyBorder="1"/>
    <xf numFmtId="0" fontId="11" fillId="0" borderId="21" xfId="0" applyFont="1" applyBorder="1" applyAlignment="1">
      <alignment horizontal="center"/>
    </xf>
    <xf numFmtId="0" fontId="11" fillId="0" borderId="23" xfId="0" applyFont="1" applyBorder="1" applyAlignment="1">
      <alignment horizontal="center"/>
    </xf>
    <xf numFmtId="0" fontId="11" fillId="6" borderId="0" xfId="0" applyFont="1" applyFill="1" applyAlignment="1">
      <alignment horizontal="center"/>
    </xf>
    <xf numFmtId="0" fontId="11" fillId="6" borderId="5" xfId="0" applyFont="1" applyFill="1" applyBorder="1" applyAlignment="1">
      <alignment horizontal="center"/>
    </xf>
    <xf numFmtId="40" fontId="11" fillId="6" borderId="0" xfId="0" applyNumberFormat="1" applyFont="1" applyFill="1"/>
    <xf numFmtId="0" fontId="0" fillId="6" borderId="0" xfId="0" applyFill="1"/>
    <xf numFmtId="0" fontId="38" fillId="0" borderId="0" xfId="0" applyFont="1" applyAlignment="1">
      <alignment horizontal="center"/>
    </xf>
    <xf numFmtId="0" fontId="11" fillId="0" borderId="0" xfId="0" applyFont="1" applyAlignment="1">
      <alignment horizontal="center"/>
    </xf>
    <xf numFmtId="40" fontId="38" fillId="6" borderId="0" xfId="0" applyNumberFormat="1" applyFont="1" applyFill="1"/>
    <xf numFmtId="0" fontId="0" fillId="0" borderId="0" xfId="0" applyFill="1"/>
    <xf numFmtId="0" fontId="42" fillId="0" borderId="0" xfId="0" applyFont="1"/>
    <xf numFmtId="0" fontId="43" fillId="0" borderId="0" xfId="0" applyFont="1"/>
    <xf numFmtId="40" fontId="12" fillId="0" borderId="0" xfId="0" applyNumberFormat="1" applyFont="1"/>
    <xf numFmtId="10" fontId="0" fillId="7" borderId="0" xfId="0" applyNumberFormat="1" applyFill="1"/>
    <xf numFmtId="0" fontId="11" fillId="7" borderId="0" xfId="0" applyFont="1" applyFill="1" applyAlignment="1">
      <alignment horizontal="center"/>
    </xf>
    <xf numFmtId="0" fontId="11" fillId="8" borderId="24" xfId="0" applyFont="1" applyFill="1" applyBorder="1" applyAlignment="1">
      <alignment horizontal="center" vertical="center" wrapText="1"/>
    </xf>
    <xf numFmtId="0" fontId="11" fillId="8" borderId="25" xfId="0" applyFont="1" applyFill="1" applyBorder="1" applyAlignment="1">
      <alignment horizontal="center" vertical="center" wrapText="1"/>
    </xf>
    <xf numFmtId="0" fontId="11" fillId="7" borderId="24" xfId="0" applyFont="1" applyFill="1" applyBorder="1" applyAlignment="1">
      <alignment horizontal="center" vertical="center" wrapText="1"/>
    </xf>
    <xf numFmtId="0" fontId="11" fillId="7" borderId="25" xfId="0" applyFont="1" applyFill="1" applyBorder="1" applyAlignment="1">
      <alignment horizontal="center" vertical="center" wrapText="1"/>
    </xf>
    <xf numFmtId="0" fontId="0" fillId="7" borderId="0" xfId="0" applyFill="1"/>
    <xf numFmtId="0" fontId="29" fillId="9" borderId="0" xfId="0" applyFont="1" applyFill="1" applyProtection="1">
      <protection locked="0"/>
    </xf>
    <xf numFmtId="0" fontId="11"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9" fillId="9" borderId="0" xfId="0" applyFont="1" applyFill="1" applyProtection="1"/>
    <xf numFmtId="0" fontId="0" fillId="9" borderId="0" xfId="0" applyFill="1" applyProtection="1"/>
    <xf numFmtId="0" fontId="11" fillId="9" borderId="0" xfId="0" applyFont="1" applyFill="1" applyProtection="1"/>
    <xf numFmtId="0" fontId="11" fillId="9" borderId="26" xfId="0" applyFont="1" applyFill="1" applyBorder="1" applyAlignment="1" applyProtection="1">
      <alignment horizontal="center"/>
    </xf>
    <xf numFmtId="0" fontId="11" fillId="9" borderId="26" xfId="0" applyFont="1" applyFill="1" applyBorder="1" applyAlignment="1" applyProtection="1">
      <alignment horizontal="center" wrapText="1"/>
    </xf>
    <xf numFmtId="0" fontId="11" fillId="9" borderId="26" xfId="0" applyFont="1" applyFill="1" applyBorder="1" applyProtection="1"/>
    <xf numFmtId="2" fontId="11" fillId="9" borderId="27" xfId="0" applyNumberFormat="1" applyFont="1" applyFill="1" applyBorder="1" applyProtection="1"/>
    <xf numFmtId="40" fontId="0" fillId="9" borderId="27" xfId="0" applyNumberFormat="1" applyFill="1" applyBorder="1" applyAlignment="1" applyProtection="1">
      <alignment horizontal="center"/>
    </xf>
    <xf numFmtId="2" fontId="11"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8"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2" fillId="0" borderId="23" xfId="40" applyBorder="1" applyAlignment="1">
      <alignment horizontal="left"/>
    </xf>
    <xf numFmtId="0" fontId="2" fillId="0" borderId="37" xfId="40" applyBorder="1" applyAlignment="1">
      <alignment horizontal="left"/>
    </xf>
    <xf numFmtId="0" fontId="2" fillId="0" borderId="23" xfId="40" applyBorder="1" applyAlignment="1">
      <alignment horizontal="left"/>
    </xf>
    <xf numFmtId="0" fontId="2" fillId="0" borderId="37" xfId="40" applyBorder="1" applyAlignment="1">
      <alignment horizontal="left"/>
    </xf>
    <xf numFmtId="0" fontId="2" fillId="0" borderId="23" xfId="40" applyBorder="1" applyAlignment="1">
      <alignment horizontal="left"/>
    </xf>
    <xf numFmtId="0" fontId="2" fillId="0" borderId="37" xfId="40" applyBorder="1" applyAlignment="1">
      <alignment horizontal="left"/>
    </xf>
    <xf numFmtId="0" fontId="2" fillId="0" borderId="23" xfId="40" applyBorder="1" applyAlignment="1">
      <alignment horizontal="left"/>
    </xf>
    <xf numFmtId="0" fontId="2" fillId="0" borderId="37" xfId="40" applyBorder="1" applyAlignment="1">
      <alignment horizontal="left"/>
    </xf>
    <xf numFmtId="0" fontId="11" fillId="0" borderId="0" xfId="0" applyFont="1" applyProtection="1"/>
    <xf numFmtId="0" fontId="1" fillId="0" borderId="37" xfId="40" applyFont="1" applyBorder="1" applyAlignment="1">
      <alignment horizontal="left"/>
    </xf>
    <xf numFmtId="38" fontId="4" fillId="0" borderId="0" xfId="0" quotePrefix="1" applyNumberFormat="1" applyFont="1" applyAlignment="1" applyProtection="1">
      <alignment horizontal="center"/>
      <protection locked="0"/>
    </xf>
    <xf numFmtId="0" fontId="12" fillId="0" borderId="0" xfId="0" applyFont="1" applyProtection="1">
      <protection locked="0"/>
    </xf>
    <xf numFmtId="4" fontId="12" fillId="0" borderId="0" xfId="0" applyNumberFormat="1" applyFont="1" applyProtection="1">
      <protection locked="0"/>
    </xf>
    <xf numFmtId="0" fontId="28" fillId="0" borderId="0" xfId="0" applyFont="1" applyAlignment="1">
      <alignment horizontal="center"/>
    </xf>
    <xf numFmtId="0" fontId="28" fillId="0" borderId="0" xfId="0" applyFont="1" applyAlignment="1"/>
    <xf numFmtId="0" fontId="11" fillId="0" borderId="0" xfId="0" applyFont="1" applyAlignment="1">
      <alignment horizontal="center"/>
    </xf>
    <xf numFmtId="49" fontId="11" fillId="0" borderId="0" xfId="0" applyNumberFormat="1" applyFont="1" applyAlignment="1">
      <alignment horizontal="center"/>
    </xf>
    <xf numFmtId="0" fontId="11" fillId="0" borderId="22" xfId="0" applyFont="1" applyBorder="1" applyAlignment="1">
      <alignment horizontal="center"/>
    </xf>
    <xf numFmtId="0" fontId="11" fillId="0" borderId="14" xfId="0" applyFont="1" applyBorder="1" applyAlignment="1">
      <alignment horizontal="center"/>
    </xf>
    <xf numFmtId="0" fontId="0" fillId="0" borderId="0" xfId="0" applyAlignment="1"/>
    <xf numFmtId="0" fontId="42" fillId="0" borderId="0" xfId="0" applyFont="1" applyAlignment="1">
      <alignment horizontal="left" vertical="top" wrapText="1"/>
    </xf>
    <xf numFmtId="0" fontId="26" fillId="0" borderId="0" xfId="0" applyFont="1" applyAlignment="1">
      <alignment horizontal="center"/>
    </xf>
    <xf numFmtId="49" fontId="12" fillId="0" borderId="0" xfId="0" applyNumberFormat="1" applyFont="1" applyAlignment="1" applyProtection="1">
      <alignment horizontal="left"/>
      <protection locked="0"/>
    </xf>
    <xf numFmtId="49" fontId="12" fillId="0" borderId="0" xfId="0" applyNumberFormat="1" applyFont="1" applyAlignment="1" applyProtection="1">
      <alignment horizontal="left"/>
    </xf>
    <xf numFmtId="49" fontId="12" fillId="0" borderId="0" xfId="0" applyNumberFormat="1" applyFont="1" applyBorder="1" applyAlignment="1" applyProtection="1">
      <alignment horizontal="left"/>
      <protection locked="0"/>
    </xf>
    <xf numFmtId="49" fontId="12" fillId="0" borderId="10" xfId="0" applyNumberFormat="1" applyFont="1" applyBorder="1" applyAlignment="1" applyProtection="1">
      <alignment horizontal="left"/>
      <protection locked="0"/>
    </xf>
    <xf numFmtId="0" fontId="29" fillId="0" borderId="20" xfId="0" applyFont="1" applyBorder="1" applyAlignment="1">
      <alignment horizontal="center"/>
    </xf>
    <xf numFmtId="0" fontId="29" fillId="0" borderId="8" xfId="0" applyFont="1" applyBorder="1" applyAlignment="1">
      <alignment horizontal="center"/>
    </xf>
    <xf numFmtId="0" fontId="11" fillId="0" borderId="0" xfId="0" applyFont="1" applyBorder="1" applyAlignment="1">
      <alignment horizontal="center"/>
    </xf>
    <xf numFmtId="0" fontId="11" fillId="0" borderId="10" xfId="0" applyFont="1" applyBorder="1" applyAlignment="1">
      <alignment horizontal="center"/>
    </xf>
    <xf numFmtId="49" fontId="32" fillId="0" borderId="0" xfId="0" applyNumberFormat="1" applyFont="1" applyBorder="1" applyAlignment="1"/>
    <xf numFmtId="0" fontId="32" fillId="0" borderId="0" xfId="0" applyFont="1" applyBorder="1" applyAlignment="1"/>
    <xf numFmtId="0" fontId="31" fillId="0" borderId="11" xfId="0" applyFont="1" applyBorder="1" applyAlignment="1">
      <alignment horizontal="center"/>
    </xf>
    <xf numFmtId="0" fontId="31" fillId="0" borderId="0" xfId="0" applyFont="1" applyBorder="1" applyAlignment="1">
      <alignment horizontal="center"/>
    </xf>
    <xf numFmtId="49" fontId="12" fillId="0" borderId="0" xfId="0" applyNumberFormat="1" applyFont="1" applyBorder="1" applyAlignment="1" applyProtection="1">
      <alignment horizontal="left"/>
    </xf>
    <xf numFmtId="49" fontId="12" fillId="0" borderId="10" xfId="0" applyNumberFormat="1" applyFont="1" applyBorder="1" applyAlignment="1" applyProtection="1">
      <alignment horizontal="left"/>
    </xf>
    <xf numFmtId="49" fontId="11" fillId="0" borderId="0" xfId="0" applyNumberFormat="1" applyFont="1" applyAlignment="1" applyProtection="1">
      <alignment horizontal="center"/>
    </xf>
    <xf numFmtId="49" fontId="12" fillId="0" borderId="13" xfId="0" applyNumberFormat="1" applyFont="1" applyBorder="1" applyAlignment="1" applyProtection="1">
      <alignment horizontal="left"/>
      <protection locked="0"/>
    </xf>
    <xf numFmtId="49" fontId="12" fillId="0" borderId="19" xfId="0" applyNumberFormat="1" applyFont="1" applyBorder="1" applyAlignment="1" applyProtection="1">
      <alignment horizontal="left"/>
      <protection locked="0"/>
    </xf>
    <xf numFmtId="0" fontId="30"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3">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4" activePane="bottomRight" state="frozen"/>
      <selection pane="topRight" activeCell="F1" sqref="F1"/>
      <selection pane="bottomLeft" activeCell="A4" sqref="A4"/>
      <selection pane="bottomRight" activeCell="H670" sqref="H670"/>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1612</v>
      </c>
      <c r="B2" s="21">
        <v>41</v>
      </c>
      <c r="C2" s="21">
        <v>41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7914433.67</f>
        <v>7914433.6699999999</v>
      </c>
      <c r="G9" s="18">
        <v>202</v>
      </c>
      <c r="H9" s="18"/>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v>518812.09</v>
      </c>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f>136230.21-34.99</f>
        <v>136195.22</v>
      </c>
      <c r="G13" s="18">
        <f>5575.28-202</f>
        <v>5373.28</v>
      </c>
      <c r="H13" s="18">
        <f>326874.46+2397.69+0.25</f>
        <v>329272.40000000002</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f>14015.73+250802.88</f>
        <v>264818.61</v>
      </c>
      <c r="G14" s="18">
        <v>2010</v>
      </c>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v>14248.89</v>
      </c>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14574.54</v>
      </c>
      <c r="G17" s="18">
        <v>6875</v>
      </c>
      <c r="H17" s="18">
        <v>8302.65</v>
      </c>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v>0</v>
      </c>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8344270.9299999997</v>
      </c>
      <c r="G19" s="41">
        <f>SUM(G9:G18)</f>
        <v>533272.37</v>
      </c>
      <c r="H19" s="41">
        <f>SUM(H9:H18)</f>
        <v>337575.05000000005</v>
      </c>
      <c r="I19" s="41">
        <f>SUM(I9:I18)</f>
        <v>0</v>
      </c>
      <c r="J19" s="41">
        <f>SUM(J9:J18)</f>
        <v>0</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f>323627.43-24000-287.17-6210.98</f>
        <v>293129.28000000003</v>
      </c>
      <c r="G22" s="18"/>
      <c r="H22" s="18">
        <v>253203.33</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v>0</v>
      </c>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f>1387458.54</f>
        <v>1387458.54</v>
      </c>
      <c r="G24" s="18">
        <v>148.69</v>
      </c>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2497344.42</v>
      </c>
      <c r="G28" s="18">
        <v>458.81</v>
      </c>
      <c r="H28" s="18">
        <v>64863.53</v>
      </c>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67709.429999999993</v>
      </c>
      <c r="G30" s="18">
        <v>100159.79</v>
      </c>
      <c r="H30" s="18">
        <v>19508.189999999999</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4245641.67</v>
      </c>
      <c r="G32" s="41">
        <f>SUM(G22:G31)</f>
        <v>100767.29</v>
      </c>
      <c r="H32" s="41">
        <f>SUM(H22:H31)</f>
        <v>337575.05</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v>14248.89</v>
      </c>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v>14574.54</v>
      </c>
      <c r="G36" s="18">
        <v>6875</v>
      </c>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SUM(I459)</f>
        <v>0</v>
      </c>
      <c r="K48" s="24" t="s">
        <v>288</v>
      </c>
      <c r="L48" s="24" t="s">
        <v>288</v>
      </c>
      <c r="M48" s="8"/>
      <c r="N48" s="266"/>
    </row>
    <row r="49" spans="1:14" s="3" customFormat="1" ht="12.2" customHeight="1" x14ac:dyDescent="0.15">
      <c r="A49" s="1" t="s">
        <v>859</v>
      </c>
      <c r="B49" s="2" t="s">
        <v>289</v>
      </c>
      <c r="C49" s="6">
        <v>34</v>
      </c>
      <c r="D49" s="2"/>
      <c r="E49" s="6">
        <v>753</v>
      </c>
      <c r="F49" s="18">
        <v>153094.89000000001</v>
      </c>
      <c r="G49" s="18">
        <v>425630.08</v>
      </c>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f>3910534.95-34.99+6210.98</f>
        <v>3916710.94</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4098629.26</v>
      </c>
      <c r="G51" s="41">
        <f>SUM(G35:G50)</f>
        <v>432505.08</v>
      </c>
      <c r="H51" s="41">
        <f>SUM(H35:H50)</f>
        <v>0</v>
      </c>
      <c r="I51" s="41">
        <f>SUM(I35:I50)</f>
        <v>0</v>
      </c>
      <c r="J51" s="41">
        <f>SUM(J35:J50)</f>
        <v>0</v>
      </c>
      <c r="K51" s="45" t="s">
        <v>288</v>
      </c>
      <c r="L51" s="45" t="s">
        <v>288</v>
      </c>
      <c r="N51" s="264"/>
    </row>
    <row r="52" spans="1:14" s="3" customFormat="1" ht="12.2" customHeight="1" thickTop="1" x14ac:dyDescent="0.15">
      <c r="A52" s="38" t="s">
        <v>455</v>
      </c>
      <c r="B52" s="39" t="s">
        <v>289</v>
      </c>
      <c r="C52" s="6">
        <v>37</v>
      </c>
      <c r="D52" s="39" t="s">
        <v>653</v>
      </c>
      <c r="E52" s="39"/>
      <c r="F52" s="41">
        <f>F51+F32</f>
        <v>8344270.9299999997</v>
      </c>
      <c r="G52" s="41">
        <f>G51+G32</f>
        <v>533272.37</v>
      </c>
      <c r="H52" s="41">
        <f>H51+H32</f>
        <v>337575.05</v>
      </c>
      <c r="I52" s="41">
        <f>I51+I32</f>
        <v>0</v>
      </c>
      <c r="J52" s="41">
        <f>J51+J32</f>
        <v>0</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46811635</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46811635</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868825.62</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v>50051</v>
      </c>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v>2250</v>
      </c>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305492.90999999997</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1226619.53</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v>8546.7800000000007</v>
      </c>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v>0</v>
      </c>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8546.7800000000007</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37480.620000000003</v>
      </c>
      <c r="G96" s="18"/>
      <c r="H96" s="18"/>
      <c r="I96" s="18"/>
      <c r="J96" s="18"/>
      <c r="K96" s="24" t="s">
        <v>288</v>
      </c>
      <c r="L96" s="24" t="s">
        <v>288</v>
      </c>
      <c r="M96" s="8"/>
      <c r="N96" s="266"/>
    </row>
    <row r="97" spans="1:14" s="3" customFormat="1" ht="12.2" customHeight="1" x14ac:dyDescent="0.15">
      <c r="A97" s="1" t="s">
        <v>503</v>
      </c>
      <c r="B97" s="2" t="s">
        <v>315</v>
      </c>
      <c r="C97" s="6">
        <v>12</v>
      </c>
      <c r="D97" s="2" t="s">
        <v>430</v>
      </c>
      <c r="E97" s="6">
        <v>1600</v>
      </c>
      <c r="F97" s="24" t="s">
        <v>288</v>
      </c>
      <c r="G97" s="18">
        <v>1576637.84</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112100</v>
      </c>
      <c r="G101" s="18">
        <v>600</v>
      </c>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f>28458.93+99032.27-52394+2397.2</f>
        <v>77494.400000000009</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4398.84</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335049.09999999998</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489028.55999999994</v>
      </c>
      <c r="G111" s="41">
        <f>SUM(G96:G110)</f>
        <v>1577237.84</v>
      </c>
      <c r="H111" s="41">
        <f>SUM(H96:H110)</f>
        <v>77494.400000000009</v>
      </c>
      <c r="I111" s="41">
        <f>SUM(I96:I110)</f>
        <v>0</v>
      </c>
      <c r="J111" s="41">
        <f>SUM(J96:J110)</f>
        <v>0</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48535829.870000005</v>
      </c>
      <c r="G112" s="41">
        <f>G60+G111</f>
        <v>1577237.84</v>
      </c>
      <c r="H112" s="41">
        <f>H60+H79+H94+H111</f>
        <v>77494.400000000009</v>
      </c>
      <c r="I112" s="41">
        <f>I60+I111</f>
        <v>0</v>
      </c>
      <c r="J112" s="41">
        <f>J60+J111</f>
        <v>0</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8964403.8300000001</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8342946</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f>4657.45+26514.9</f>
        <v>31172.350000000002</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17338522.18</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667425.47</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f>537630.89-4657.45</f>
        <v>532973.44000000006</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14284.2</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v>0</v>
      </c>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v>5438</v>
      </c>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22366.81</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v>52394.400000000001</v>
      </c>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1214683.1100000001</v>
      </c>
      <c r="G136" s="41">
        <f>SUM(G123:G135)</f>
        <v>22366.81</v>
      </c>
      <c r="H136" s="41">
        <f>SUM(H123:H135)</f>
        <v>57832.4</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18553205.289999999</v>
      </c>
      <c r="G140" s="41">
        <f>G121+SUM(G136:G137)</f>
        <v>22366.81</v>
      </c>
      <c r="H140" s="41">
        <f>H121+SUM(H136:H139)</f>
        <v>57832.4</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f>117545.2+25217.35</f>
        <v>142762.54999999999</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68364.14+16383.12+20127.7+9032.85</f>
        <v>113907.81</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205421.07</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f>642209.11+12173.72+246055.09+21891.03+10058.35</f>
        <v>932387.29999999993</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295497.81</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295497.81</v>
      </c>
      <c r="G162" s="41">
        <f>SUM(G150:G161)</f>
        <v>205421.07</v>
      </c>
      <c r="H162" s="41">
        <f>SUM(H150:H161)</f>
        <v>1189057.6599999999</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295497.81</v>
      </c>
      <c r="G169" s="41">
        <f>G147+G162+SUM(G163:G168)</f>
        <v>205421.07</v>
      </c>
      <c r="H169" s="41">
        <f>H147+H162+SUM(H163:H168)</f>
        <v>1189057.6599999999</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c r="H179" s="18"/>
      <c r="I179" s="18"/>
      <c r="J179" s="18"/>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0</v>
      </c>
      <c r="H183" s="41">
        <f>SUM(H179:H182)</f>
        <v>0</v>
      </c>
      <c r="I183" s="41">
        <f>SUM(I179:I182)</f>
        <v>0</v>
      </c>
      <c r="J183" s="41">
        <f>SUM(J179:J182)</f>
        <v>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v>491153</v>
      </c>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491153</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491153</v>
      </c>
      <c r="G192" s="41">
        <f>G183+SUM(G188:G191)</f>
        <v>0</v>
      </c>
      <c r="H192" s="41">
        <f>+H183+SUM(H188:H191)</f>
        <v>0</v>
      </c>
      <c r="I192" s="41">
        <f>I177+I183+SUM(I188:I191)</f>
        <v>0</v>
      </c>
      <c r="J192" s="41">
        <f>J183</f>
        <v>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67875685.969999999</v>
      </c>
      <c r="G193" s="47">
        <f>G112+G140+G169+G192</f>
        <v>1805025.7200000002</v>
      </c>
      <c r="H193" s="47">
        <f>H112+H140+H169+H192</f>
        <v>1324384.46</v>
      </c>
      <c r="I193" s="47">
        <f>I112+I140+I169+I192</f>
        <v>0</v>
      </c>
      <c r="J193" s="47">
        <f>J112+J140+J192</f>
        <v>0</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f>538725.39+400680.23+2113680.7+1347302.42+2192431.63+2667235.33</f>
        <v>9260055.6999999993</v>
      </c>
      <c r="G197" s="18">
        <f>257256.89+4164686.47-0.01</f>
        <v>4421943.3500000006</v>
      </c>
      <c r="H197" s="18">
        <f>1101.24+55056.41</f>
        <v>56157.65</v>
      </c>
      <c r="I197" s="18">
        <f>460998.38+3418.88</f>
        <v>464417.26</v>
      </c>
      <c r="J197" s="18">
        <v>35385.24</v>
      </c>
      <c r="K197" s="18"/>
      <c r="L197" s="19">
        <f>SUM(F197:K197)</f>
        <v>14237959.200000001</v>
      </c>
      <c r="M197" s="8"/>
      <c r="N197" s="266"/>
    </row>
    <row r="198" spans="1:14" s="3" customFormat="1" ht="12.2" customHeight="1" x14ac:dyDescent="0.15">
      <c r="A198" s="1" t="s">
        <v>439</v>
      </c>
      <c r="B198" s="2" t="s">
        <v>341</v>
      </c>
      <c r="C198" s="2" t="s">
        <v>291</v>
      </c>
      <c r="D198" s="2" t="s">
        <v>431</v>
      </c>
      <c r="E198" s="6">
        <v>1200</v>
      </c>
      <c r="F198" s="18">
        <f>185864.43+385169.18+491912.99+796953.59+854559.15+973180.52</f>
        <v>3687639.86</v>
      </c>
      <c r="G198" s="18">
        <f>88755.62+1672198.65</f>
        <v>1760954.27</v>
      </c>
      <c r="H198" s="18">
        <f>1223.6+510392.27-7740</f>
        <v>503875.87</v>
      </c>
      <c r="I198" s="18">
        <f>32395.96+475.23</f>
        <v>32871.19</v>
      </c>
      <c r="J198" s="18"/>
      <c r="K198" s="18"/>
      <c r="L198" s="19">
        <f>SUM(F198:K198)</f>
        <v>5985341.1900000004</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f>210.54+26403.98+35436.25</f>
        <v>62050.770000000004</v>
      </c>
      <c r="G200" s="18">
        <f>100.54+29530.49</f>
        <v>29631.030000000002</v>
      </c>
      <c r="H200" s="18"/>
      <c r="I200" s="18"/>
      <c r="J200" s="18"/>
      <c r="K200" s="18"/>
      <c r="L200" s="19">
        <f>SUM(F200:K200)</f>
        <v>91681.8</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f>141737.17+129143.5+120199.77+191558.71+564261.04</f>
        <v>1146900.19</v>
      </c>
      <c r="G202" s="18">
        <v>547677.88</v>
      </c>
      <c r="H202" s="18">
        <f>588756.37+29759.94+4544.68+63686.76</f>
        <v>686747.75</v>
      </c>
      <c r="I202" s="18">
        <f>16276.12+8672.32</f>
        <v>24948.440000000002</v>
      </c>
      <c r="J202" s="18"/>
      <c r="K202" s="18"/>
      <c r="L202" s="19">
        <f t="shared" ref="L202:L208" si="0">SUM(F202:K202)</f>
        <v>2406274.2599999998</v>
      </c>
      <c r="M202" s="8"/>
      <c r="N202" s="266"/>
    </row>
    <row r="203" spans="1:14" s="3" customFormat="1" ht="12.2" customHeight="1" x14ac:dyDescent="0.15">
      <c r="A203" s="1" t="s">
        <v>443</v>
      </c>
      <c r="B203" s="2" t="s">
        <v>341</v>
      </c>
      <c r="C203" s="2" t="s">
        <v>295</v>
      </c>
      <c r="D203" s="2" t="s">
        <v>431</v>
      </c>
      <c r="E203" s="6">
        <v>2200</v>
      </c>
      <c r="F203" s="18">
        <v>306965.74</v>
      </c>
      <c r="G203" s="18">
        <f>146584.98+109878.78</f>
        <v>256463.76</v>
      </c>
      <c r="H203" s="18">
        <f>1194.08+14251.84+18555.04+381.05</f>
        <v>34382.01</v>
      </c>
      <c r="I203" s="18">
        <f>44968.61+10484.1</f>
        <v>55452.71</v>
      </c>
      <c r="J203" s="18">
        <f>947.03+127276.26</f>
        <v>128223.29</v>
      </c>
      <c r="K203" s="18">
        <v>30067.040000000001</v>
      </c>
      <c r="L203" s="19">
        <f t="shared" si="0"/>
        <v>811554.55</v>
      </c>
      <c r="M203" s="8"/>
      <c r="N203" s="266"/>
    </row>
    <row r="204" spans="1:14" s="3" customFormat="1" ht="12.2" customHeight="1" x14ac:dyDescent="0.15">
      <c r="A204" s="1" t="s">
        <v>444</v>
      </c>
      <c r="B204" s="2" t="s">
        <v>341</v>
      </c>
      <c r="C204" s="2" t="s">
        <v>296</v>
      </c>
      <c r="D204" s="2" t="s">
        <v>431</v>
      </c>
      <c r="E204" s="6">
        <v>2300</v>
      </c>
      <c r="F204" s="18">
        <v>498417.83</v>
      </c>
      <c r="G204" s="18">
        <v>238008.87</v>
      </c>
      <c r="H204" s="18">
        <f>992.75+10923.44+7803+40631.55</f>
        <v>60350.740000000005</v>
      </c>
      <c r="I204" s="18">
        <f>20979.76-8905.22</f>
        <v>12074.539999999999</v>
      </c>
      <c r="J204" s="18">
        <v>7396.85</v>
      </c>
      <c r="K204" s="18">
        <v>15440.95</v>
      </c>
      <c r="L204" s="19">
        <f t="shared" si="0"/>
        <v>831689.77999999991</v>
      </c>
      <c r="M204" s="8"/>
      <c r="N204" s="266"/>
    </row>
    <row r="205" spans="1:14" s="3" customFormat="1" ht="12.2" customHeight="1" x14ac:dyDescent="0.15">
      <c r="A205" s="1" t="s">
        <v>445</v>
      </c>
      <c r="B205" s="2" t="s">
        <v>341</v>
      </c>
      <c r="C205" s="2" t="s">
        <v>297</v>
      </c>
      <c r="D205" s="2" t="s">
        <v>431</v>
      </c>
      <c r="E205" s="6">
        <v>2400</v>
      </c>
      <c r="F205" s="18">
        <f>264040.5+275719.81+252097.7+277628.29+279851.04</f>
        <v>1349337.34</v>
      </c>
      <c r="G205" s="18">
        <f>518260.51+126086.95</f>
        <v>644347.46</v>
      </c>
      <c r="H205" s="18">
        <f>422+10557.76</f>
        <v>10979.76</v>
      </c>
      <c r="I205" s="18">
        <f>10091.38+8905.22</f>
        <v>18996.599999999999</v>
      </c>
      <c r="J205" s="18">
        <v>2891.45</v>
      </c>
      <c r="K205" s="18">
        <v>7051</v>
      </c>
      <c r="L205" s="19">
        <f t="shared" si="0"/>
        <v>2033603.61</v>
      </c>
      <c r="M205" s="8"/>
      <c r="N205" s="266"/>
    </row>
    <row r="206" spans="1:14" s="3" customFormat="1" ht="12.2" customHeight="1" x14ac:dyDescent="0.15">
      <c r="A206" s="1" t="s">
        <v>446</v>
      </c>
      <c r="B206" s="2" t="s">
        <v>341</v>
      </c>
      <c r="C206" s="2" t="s">
        <v>298</v>
      </c>
      <c r="D206" s="2" t="s">
        <v>431</v>
      </c>
      <c r="E206" s="6">
        <v>2500</v>
      </c>
      <c r="F206" s="18">
        <v>134982.48000000001</v>
      </c>
      <c r="G206" s="18">
        <v>64458.02</v>
      </c>
      <c r="H206" s="18">
        <v>147717.70000000001</v>
      </c>
      <c r="I206" s="18"/>
      <c r="J206" s="18"/>
      <c r="K206" s="18">
        <v>2172.35</v>
      </c>
      <c r="L206" s="19">
        <f t="shared" si="0"/>
        <v>349330.55</v>
      </c>
      <c r="M206" s="8"/>
      <c r="N206" s="266"/>
    </row>
    <row r="207" spans="1:14" s="3" customFormat="1" ht="12.2" customHeight="1" x14ac:dyDescent="0.15">
      <c r="A207" s="1" t="s">
        <v>447</v>
      </c>
      <c r="B207" s="2" t="s">
        <v>341</v>
      </c>
      <c r="C207" s="2" t="s">
        <v>299</v>
      </c>
      <c r="D207" s="2" t="s">
        <v>431</v>
      </c>
      <c r="E207" s="6">
        <v>2600</v>
      </c>
      <c r="F207" s="18">
        <f>261849.53+91392.17+149243.8+193230.22+209688.02</f>
        <v>905403.74</v>
      </c>
      <c r="G207" s="18">
        <f>125040.7+307315.68</f>
        <v>432356.38</v>
      </c>
      <c r="H207" s="18">
        <f>66643.03+146741.76+47252.27+730049.68+62003.76+5956.8+40466.29+4425.94</f>
        <v>1103539.53</v>
      </c>
      <c r="I207" s="18">
        <f>149269.88+399838.8</f>
        <v>549108.67999999993</v>
      </c>
      <c r="J207" s="18">
        <v>8959.69</v>
      </c>
      <c r="K207" s="18">
        <v>143.46</v>
      </c>
      <c r="L207" s="19">
        <f t="shared" si="0"/>
        <v>2999511.48</v>
      </c>
      <c r="M207" s="8"/>
      <c r="N207" s="266"/>
    </row>
    <row r="208" spans="1:14" s="3" customFormat="1" ht="12.2" customHeight="1" x14ac:dyDescent="0.15">
      <c r="A208" s="1" t="s">
        <v>448</v>
      </c>
      <c r="B208" s="2" t="s">
        <v>341</v>
      </c>
      <c r="C208" s="2" t="s">
        <v>300</v>
      </c>
      <c r="D208" s="2" t="s">
        <v>431</v>
      </c>
      <c r="E208" s="6">
        <v>2700</v>
      </c>
      <c r="F208" s="18">
        <v>23654.32</v>
      </c>
      <c r="G208" s="18">
        <v>11295.62</v>
      </c>
      <c r="H208" s="18">
        <v>1476384.31</v>
      </c>
      <c r="I208" s="18"/>
      <c r="J208" s="18"/>
      <c r="K208" s="18"/>
      <c r="L208" s="19">
        <f t="shared" si="0"/>
        <v>1511334.25</v>
      </c>
      <c r="M208" s="8"/>
      <c r="N208" s="266"/>
    </row>
    <row r="209" spans="1:14" s="3" customFormat="1" ht="12.2" customHeight="1" x14ac:dyDescent="0.15">
      <c r="A209" s="1" t="s">
        <v>449</v>
      </c>
      <c r="B209" s="2" t="s">
        <v>341</v>
      </c>
      <c r="C209" s="2" t="s">
        <v>343</v>
      </c>
      <c r="D209" s="2" t="s">
        <v>431</v>
      </c>
      <c r="E209" s="6">
        <v>2800</v>
      </c>
      <c r="F209" s="18"/>
      <c r="G209" s="18"/>
      <c r="H209" s="18">
        <f>5655.2+37378.67</f>
        <v>43033.869999999995</v>
      </c>
      <c r="I209" s="18"/>
      <c r="J209" s="18"/>
      <c r="K209" s="18"/>
      <c r="L209" s="19">
        <f>SUM(F209:K209)</f>
        <v>43033.869999999995</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17375407.969999999</v>
      </c>
      <c r="G211" s="41">
        <f t="shared" si="1"/>
        <v>8407136.6400000006</v>
      </c>
      <c r="H211" s="41">
        <f t="shared" si="1"/>
        <v>4123169.19</v>
      </c>
      <c r="I211" s="41">
        <f t="shared" si="1"/>
        <v>1157869.42</v>
      </c>
      <c r="J211" s="41">
        <f t="shared" si="1"/>
        <v>182856.52000000002</v>
      </c>
      <c r="K211" s="41">
        <f t="shared" si="1"/>
        <v>54874.8</v>
      </c>
      <c r="L211" s="41">
        <f t="shared" si="1"/>
        <v>31301314.540000007</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f>147885.4+3387570.61+0.01</f>
        <v>3535456.0199999996</v>
      </c>
      <c r="G215" s="18">
        <f>70619.54+1617662.56-0.02</f>
        <v>1688282.08</v>
      </c>
      <c r="H215" s="18">
        <f>122.36+25651.49</f>
        <v>25773.850000000002</v>
      </c>
      <c r="I215" s="18">
        <f>76422.75+938.52</f>
        <v>77361.27</v>
      </c>
      <c r="J215" s="18">
        <v>4672.53</v>
      </c>
      <c r="K215" s="18"/>
      <c r="L215" s="19">
        <f>SUM(F215:K215)</f>
        <v>5331545.7499999991</v>
      </c>
      <c r="M215" s="8"/>
      <c r="N215" s="266"/>
    </row>
    <row r="216" spans="1:14" s="3" customFormat="1" ht="12.2" customHeight="1" x14ac:dyDescent="0.15">
      <c r="A216" s="1" t="s">
        <v>439</v>
      </c>
      <c r="B216" s="2" t="s">
        <v>346</v>
      </c>
      <c r="C216" s="2" t="s">
        <v>291</v>
      </c>
      <c r="D216" s="2" t="s">
        <v>431</v>
      </c>
      <c r="E216" s="6">
        <v>1200</v>
      </c>
      <c r="F216" s="18">
        <f>51021.61+68651.09+928638.45</f>
        <v>1048311.1499999999</v>
      </c>
      <c r="G216" s="18">
        <f>24364.29+32782.87+443451.61</f>
        <v>500598.77</v>
      </c>
      <c r="H216" s="18">
        <f>375+171486.27</f>
        <v>171861.27</v>
      </c>
      <c r="I216" s="18">
        <f>8548.17+130.45</f>
        <v>8678.6200000000008</v>
      </c>
      <c r="J216" s="18"/>
      <c r="K216" s="18"/>
      <c r="L216" s="19">
        <f>SUM(F216:K216)</f>
        <v>1729449.81</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f>57.79+125608.04</f>
        <v>125665.82999999999</v>
      </c>
      <c r="G218" s="18">
        <f>27.6+59981.46</f>
        <v>60009.06</v>
      </c>
      <c r="H218" s="18">
        <f>19288.44</f>
        <v>19288.439999999999</v>
      </c>
      <c r="I218" s="18">
        <v>12946.56</v>
      </c>
      <c r="J218" s="18"/>
      <c r="K218" s="18">
        <v>2407.5</v>
      </c>
      <c r="L218" s="19">
        <f>SUM(F218:K218)</f>
        <v>220317.38999999998</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f>83011.45+283570.37</f>
        <v>366581.82</v>
      </c>
      <c r="G220" s="18">
        <f>39640.36+135413.02</f>
        <v>175053.38</v>
      </c>
      <c r="H220" s="18">
        <f>81451.72+8112.3+1247.56+17482.64</f>
        <v>108294.22</v>
      </c>
      <c r="I220" s="18">
        <f>4095.47+2380.64</f>
        <v>6476.11</v>
      </c>
      <c r="J220" s="18"/>
      <c r="K220" s="18"/>
      <c r="L220" s="19">
        <f t="shared" ref="L220:L226" si="2">SUM(F220:K220)</f>
        <v>656405.52999999991</v>
      </c>
      <c r="M220" s="8"/>
      <c r="N220" s="266"/>
    </row>
    <row r="221" spans="1:14" s="3" customFormat="1" ht="12.2" customHeight="1" x14ac:dyDescent="0.15">
      <c r="A221" s="1" t="s">
        <v>443</v>
      </c>
      <c r="B221" s="2" t="s">
        <v>346</v>
      </c>
      <c r="C221" s="2" t="s">
        <v>295</v>
      </c>
      <c r="D221" s="2" t="s">
        <v>431</v>
      </c>
      <c r="E221" s="6">
        <v>2200</v>
      </c>
      <c r="F221" s="18">
        <v>84265.11</v>
      </c>
      <c r="G221" s="18">
        <f>40239.02+30162.8</f>
        <v>70401.819999999992</v>
      </c>
      <c r="H221" s="18">
        <f>3912.27+5093.54+104.6</f>
        <v>9110.41</v>
      </c>
      <c r="I221" s="18">
        <f>14829.12+2877.99</f>
        <v>17707.11</v>
      </c>
      <c r="J221" s="18">
        <v>34938.58</v>
      </c>
      <c r="K221" s="18">
        <v>8253.7000000000007</v>
      </c>
      <c r="L221" s="19">
        <f t="shared" si="2"/>
        <v>224676.73000000004</v>
      </c>
      <c r="M221" s="8"/>
      <c r="N221" s="266"/>
    </row>
    <row r="222" spans="1:14" s="3" customFormat="1" ht="12.2" customHeight="1" x14ac:dyDescent="0.15">
      <c r="A222" s="1" t="s">
        <v>444</v>
      </c>
      <c r="B222" s="2" t="s">
        <v>346</v>
      </c>
      <c r="C222" s="2" t="s">
        <v>296</v>
      </c>
      <c r="D222" s="2" t="s">
        <v>431</v>
      </c>
      <c r="E222" s="6">
        <v>2300</v>
      </c>
      <c r="F222" s="18">
        <v>136820.57999999999</v>
      </c>
      <c r="G222" s="18">
        <v>65335.77</v>
      </c>
      <c r="H222" s="18">
        <f>272.52+2998.59+2142+11153.76</f>
        <v>16566.870000000003</v>
      </c>
      <c r="I222" s="18">
        <f>5759.15-2444.57</f>
        <v>3314.5799999999995</v>
      </c>
      <c r="J222" s="18">
        <v>2030.51</v>
      </c>
      <c r="K222" s="18">
        <v>4238.6899999999996</v>
      </c>
      <c r="L222" s="19">
        <f t="shared" si="2"/>
        <v>228306.99999999997</v>
      </c>
      <c r="M222" s="8"/>
      <c r="N222" s="266"/>
    </row>
    <row r="223" spans="1:14" s="3" customFormat="1" ht="12.2" customHeight="1" x14ac:dyDescent="0.15">
      <c r="A223" s="1" t="s">
        <v>445</v>
      </c>
      <c r="B223" s="2" t="s">
        <v>346</v>
      </c>
      <c r="C223" s="2" t="s">
        <v>297</v>
      </c>
      <c r="D223" s="2" t="s">
        <v>431</v>
      </c>
      <c r="E223" s="6">
        <v>2400</v>
      </c>
      <c r="F223" s="18">
        <f>72481.71+395662.33</f>
        <v>468144.04000000004</v>
      </c>
      <c r="G223" s="18">
        <f>34612.1+188940.16</f>
        <v>223552.26</v>
      </c>
      <c r="H223" s="18">
        <v>2356.12</v>
      </c>
      <c r="I223" s="18">
        <f>1252.55+2444.57</f>
        <v>3697.12</v>
      </c>
      <c r="J223" s="18">
        <v>793.73</v>
      </c>
      <c r="K223" s="18">
        <v>2023</v>
      </c>
      <c r="L223" s="19">
        <f t="shared" si="2"/>
        <v>700566.27</v>
      </c>
      <c r="M223" s="8"/>
      <c r="N223" s="266"/>
    </row>
    <row r="224" spans="1:14" s="3" customFormat="1" ht="12.2" customHeight="1" x14ac:dyDescent="0.15">
      <c r="A224" s="1" t="s">
        <v>446</v>
      </c>
      <c r="B224" s="2" t="s">
        <v>346</v>
      </c>
      <c r="C224" s="2" t="s">
        <v>298</v>
      </c>
      <c r="D224" s="2" t="s">
        <v>431</v>
      </c>
      <c r="E224" s="6">
        <v>2500</v>
      </c>
      <c r="F224" s="18">
        <v>37054.01</v>
      </c>
      <c r="G224" s="18">
        <v>17694.36</v>
      </c>
      <c r="H224" s="18">
        <v>40549.96</v>
      </c>
      <c r="I224" s="18"/>
      <c r="J224" s="18"/>
      <c r="K224" s="18">
        <v>596.33000000000004</v>
      </c>
      <c r="L224" s="19">
        <f t="shared" si="2"/>
        <v>95894.66</v>
      </c>
      <c r="M224" s="8"/>
      <c r="N224" s="266"/>
    </row>
    <row r="225" spans="1:14" s="3" customFormat="1" ht="12.2" customHeight="1" x14ac:dyDescent="0.15">
      <c r="A225" s="1" t="s">
        <v>447</v>
      </c>
      <c r="B225" s="2" t="s">
        <v>346</v>
      </c>
      <c r="C225" s="2" t="s">
        <v>299</v>
      </c>
      <c r="D225" s="2" t="s">
        <v>431</v>
      </c>
      <c r="E225" s="6">
        <v>2600</v>
      </c>
      <c r="F225" s="18">
        <f>71880.26+166533.78</f>
        <v>238414.03999999998</v>
      </c>
      <c r="G225" s="18">
        <f>34324.9+79524.68</f>
        <v>113849.57999999999</v>
      </c>
      <c r="H225" s="18">
        <v>302932.42</v>
      </c>
      <c r="I225" s="18">
        <f>5576.34+27012.68+7074.71+1312.31</f>
        <v>40976.04</v>
      </c>
      <c r="J225" s="18">
        <v>2459.52</v>
      </c>
      <c r="K225" s="18">
        <v>39.380000000000003</v>
      </c>
      <c r="L225" s="19">
        <f t="shared" si="2"/>
        <v>698670.9800000001</v>
      </c>
      <c r="M225" s="8"/>
      <c r="N225" s="266"/>
    </row>
    <row r="226" spans="1:14" s="3" customFormat="1" ht="12.2" customHeight="1" x14ac:dyDescent="0.15">
      <c r="A226" s="1" t="s">
        <v>448</v>
      </c>
      <c r="B226" s="2" t="s">
        <v>346</v>
      </c>
      <c r="C226" s="2" t="s">
        <v>300</v>
      </c>
      <c r="D226" s="2" t="s">
        <v>431</v>
      </c>
      <c r="E226" s="6">
        <v>2700</v>
      </c>
      <c r="F226" s="18">
        <v>6493.34</v>
      </c>
      <c r="G226" s="18">
        <v>3100.76</v>
      </c>
      <c r="H226" s="18">
        <f>4500+405281.97+13181.4</f>
        <v>422963.37</v>
      </c>
      <c r="I226" s="18"/>
      <c r="J226" s="18"/>
      <c r="K226" s="18"/>
      <c r="L226" s="19">
        <f t="shared" si="2"/>
        <v>432557.47</v>
      </c>
      <c r="M226" s="8"/>
      <c r="N226" s="266"/>
    </row>
    <row r="227" spans="1:14" s="3" customFormat="1" ht="12.2" customHeight="1" x14ac:dyDescent="0.15">
      <c r="A227" s="1" t="s">
        <v>449</v>
      </c>
      <c r="B227" s="2" t="s">
        <v>346</v>
      </c>
      <c r="C227" s="2" t="s">
        <v>343</v>
      </c>
      <c r="D227" s="2" t="s">
        <v>431</v>
      </c>
      <c r="E227" s="6">
        <v>2800</v>
      </c>
      <c r="F227" s="18"/>
      <c r="G227" s="18"/>
      <c r="H227" s="18">
        <f>1552.41+10260.81</f>
        <v>11813.22</v>
      </c>
      <c r="I227" s="18"/>
      <c r="J227" s="18"/>
      <c r="K227" s="18"/>
      <c r="L227" s="19">
        <f>SUM(F227:K227)</f>
        <v>11813.22</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6047205.9400000004</v>
      </c>
      <c r="G229" s="41">
        <f>SUM(G215:G228)</f>
        <v>2917877.8399999994</v>
      </c>
      <c r="H229" s="41">
        <f>SUM(H215:H228)</f>
        <v>1131510.1500000001</v>
      </c>
      <c r="I229" s="41">
        <f>SUM(I215:I228)</f>
        <v>171157.41</v>
      </c>
      <c r="J229" s="41">
        <f>SUM(J215:J228)</f>
        <v>44894.87</v>
      </c>
      <c r="K229" s="41">
        <f t="shared" si="3"/>
        <v>17558.600000000002</v>
      </c>
      <c r="L229" s="41">
        <f t="shared" si="3"/>
        <v>10330204.810000001</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f>369713.5+6037975.53+0.02</f>
        <v>6407689.0499999998</v>
      </c>
      <c r="G233" s="18">
        <f>176548.85+2883307.26</f>
        <v>3059856.11</v>
      </c>
      <c r="H233" s="18">
        <f>48369.3</f>
        <v>48369.3</v>
      </c>
      <c r="I233" s="18">
        <f>219312.93+2346.29</f>
        <v>221659.22</v>
      </c>
      <c r="J233" s="18">
        <f>53696.58-95</f>
        <v>53601.58</v>
      </c>
      <c r="K233" s="18">
        <v>45414.86</v>
      </c>
      <c r="L233" s="19">
        <f>SUM(F233:K233)</f>
        <v>9836590.120000001</v>
      </c>
      <c r="M233" s="8"/>
      <c r="N233" s="266"/>
    </row>
    <row r="234" spans="1:14" s="3" customFormat="1" ht="12.2" customHeight="1" x14ac:dyDescent="0.15">
      <c r="A234" s="1" t="s">
        <v>439</v>
      </c>
      <c r="B234" s="2" t="s">
        <v>350</v>
      </c>
      <c r="C234" s="2" t="s">
        <v>291</v>
      </c>
      <c r="D234" s="2" t="s">
        <v>431</v>
      </c>
      <c r="E234" s="6">
        <v>1200</v>
      </c>
      <c r="F234" s="18">
        <f>127554.02+137941.81+1532727.82</f>
        <v>1798223.6500000001</v>
      </c>
      <c r="G234" s="18">
        <f>60910.72+65871.19+731921.69</f>
        <v>858703.6</v>
      </c>
      <c r="H234" s="18">
        <f>18454.72+1471633.2</f>
        <v>1490087.92</v>
      </c>
      <c r="I234" s="18">
        <f>9722.95+326.14</f>
        <v>10049.09</v>
      </c>
      <c r="J234" s="18"/>
      <c r="K234" s="18"/>
      <c r="L234" s="19">
        <f>SUM(F234:K234)</f>
        <v>4157064.26</v>
      </c>
      <c r="M234" s="8"/>
      <c r="N234" s="266"/>
    </row>
    <row r="235" spans="1:14" s="3" customFormat="1" ht="12.2" customHeight="1" x14ac:dyDescent="0.15">
      <c r="A235" s="1" t="s">
        <v>440</v>
      </c>
      <c r="B235" s="2" t="s">
        <v>350</v>
      </c>
      <c r="C235" s="2" t="s">
        <v>292</v>
      </c>
      <c r="D235" s="2" t="s">
        <v>431</v>
      </c>
      <c r="E235" s="6">
        <v>1300</v>
      </c>
      <c r="F235" s="18"/>
      <c r="G235" s="18"/>
      <c r="H235" s="18">
        <v>74499.61</v>
      </c>
      <c r="I235" s="18"/>
      <c r="J235" s="18"/>
      <c r="K235" s="18"/>
      <c r="L235" s="19">
        <f>SUM(F235:K235)</f>
        <v>74499.61</v>
      </c>
      <c r="M235" s="8"/>
      <c r="N235" s="266"/>
    </row>
    <row r="236" spans="1:14" s="3" customFormat="1" ht="12.2" customHeight="1" x14ac:dyDescent="0.15">
      <c r="A236" s="1" t="s">
        <v>441</v>
      </c>
      <c r="B236" s="2" t="s">
        <v>350</v>
      </c>
      <c r="C236" s="2" t="s">
        <v>293</v>
      </c>
      <c r="D236" s="2" t="s">
        <v>431</v>
      </c>
      <c r="E236" s="6">
        <v>1400</v>
      </c>
      <c r="F236" s="18">
        <f>144.49+562395.88</f>
        <v>562540.37</v>
      </c>
      <c r="G236" s="18">
        <f>69+268560.23</f>
        <v>268629.23</v>
      </c>
      <c r="H236" s="18">
        <f>256138.36-390-104378.12-13022.25</f>
        <v>138347.99</v>
      </c>
      <c r="I236" s="18">
        <f>45897.99</f>
        <v>45897.99</v>
      </c>
      <c r="J236" s="18">
        <v>16010.84</v>
      </c>
      <c r="K236" s="18">
        <f>28229.39+21739.68</f>
        <v>49969.07</v>
      </c>
      <c r="L236" s="19">
        <f>SUM(F236:K236)</f>
        <v>1081395.49</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f>84912.72+631955.01</f>
        <v>716867.73</v>
      </c>
      <c r="G238" s="18">
        <f>40548.27+301776.72</f>
        <v>342324.99</v>
      </c>
      <c r="H238" s="18">
        <f>165955.35+46825.5-0.06</f>
        <v>212780.79</v>
      </c>
      <c r="I238" s="18">
        <v>12993.63</v>
      </c>
      <c r="J238" s="18"/>
      <c r="K238" s="18"/>
      <c r="L238" s="19">
        <f t="shared" ref="L238:L244" si="4">SUM(F238:K238)</f>
        <v>1284967.1399999999</v>
      </c>
      <c r="M238" s="8"/>
      <c r="N238" s="266"/>
    </row>
    <row r="239" spans="1:14" s="3" customFormat="1" ht="12.2" customHeight="1" x14ac:dyDescent="0.15">
      <c r="A239" s="1" t="s">
        <v>443</v>
      </c>
      <c r="B239" s="2" t="s">
        <v>350</v>
      </c>
      <c r="C239" s="2" t="s">
        <v>295</v>
      </c>
      <c r="D239" s="2" t="s">
        <v>431</v>
      </c>
      <c r="E239" s="6">
        <v>2200</v>
      </c>
      <c r="F239" s="18">
        <f>210662.76</f>
        <v>210662.76</v>
      </c>
      <c r="G239" s="18">
        <f>100597.54+75407</f>
        <v>176004.53999999998</v>
      </c>
      <c r="H239" s="18">
        <f>761.35+22776.03</f>
        <v>23537.379999999997</v>
      </c>
      <c r="I239" s="18">
        <f>7194.97+38063.39</f>
        <v>45258.36</v>
      </c>
      <c r="J239" s="18">
        <f>87346.46+719.98</f>
        <v>88066.44</v>
      </c>
      <c r="K239" s="18">
        <v>20634.25</v>
      </c>
      <c r="L239" s="19">
        <f t="shared" si="4"/>
        <v>564163.73</v>
      </c>
      <c r="M239" s="8"/>
      <c r="N239" s="266"/>
    </row>
    <row r="240" spans="1:14" s="3" customFormat="1" ht="12.2" customHeight="1" x14ac:dyDescent="0.15">
      <c r="A240" s="1" t="s">
        <v>444</v>
      </c>
      <c r="B240" s="2" t="s">
        <v>350</v>
      </c>
      <c r="C240" s="2" t="s">
        <v>296</v>
      </c>
      <c r="D240" s="2" t="s">
        <v>431</v>
      </c>
      <c r="E240" s="6">
        <v>2300</v>
      </c>
      <c r="F240" s="18">
        <f>342051.45</f>
        <v>342051.45</v>
      </c>
      <c r="G240" s="18">
        <f>163339.42</f>
        <v>163339.42000000001</v>
      </c>
      <c r="H240" s="18">
        <f>41417.17</f>
        <v>41417.17</v>
      </c>
      <c r="I240" s="18">
        <f>14397.87-159.85</f>
        <v>14238.02</v>
      </c>
      <c r="J240" s="18">
        <v>5076.2700000000004</v>
      </c>
      <c r="K240" s="18">
        <v>10596.73</v>
      </c>
      <c r="L240" s="19">
        <f t="shared" si="4"/>
        <v>576719.06000000006</v>
      </c>
      <c r="M240" s="8"/>
      <c r="N240" s="266"/>
    </row>
    <row r="241" spans="1:14" s="3" customFormat="1" ht="12.2" customHeight="1" x14ac:dyDescent="0.15">
      <c r="A241" s="1" t="s">
        <v>445</v>
      </c>
      <c r="B241" s="2" t="s">
        <v>350</v>
      </c>
      <c r="C241" s="2" t="s">
        <v>297</v>
      </c>
      <c r="D241" s="2" t="s">
        <v>431</v>
      </c>
      <c r="E241" s="6">
        <v>2400</v>
      </c>
      <c r="F241" s="18">
        <f>181204.26+1240618.3</f>
        <v>1421822.56</v>
      </c>
      <c r="G241" s="18">
        <f>86530.26+592430.98</f>
        <v>678961.24</v>
      </c>
      <c r="H241" s="18">
        <f>8306.36+440.91</f>
        <v>8747.27</v>
      </c>
      <c r="I241" s="18">
        <f>3700.83+6111.43</f>
        <v>9812.26</v>
      </c>
      <c r="J241" s="18">
        <f>325+1984.33</f>
        <v>2309.33</v>
      </c>
      <c r="K241" s="18">
        <v>32966.160000000003</v>
      </c>
      <c r="L241" s="19">
        <f t="shared" si="4"/>
        <v>2154618.8199999998</v>
      </c>
      <c r="M241" s="8"/>
      <c r="N241" s="266"/>
    </row>
    <row r="242" spans="1:14" s="3" customFormat="1" ht="12.2" customHeight="1" x14ac:dyDescent="0.15">
      <c r="A242" s="1" t="s">
        <v>446</v>
      </c>
      <c r="B242" s="2" t="s">
        <v>350</v>
      </c>
      <c r="C242" s="2" t="s">
        <v>298</v>
      </c>
      <c r="D242" s="2" t="s">
        <v>431</v>
      </c>
      <c r="E242" s="6">
        <v>2500</v>
      </c>
      <c r="F242" s="18">
        <f>92635.03</f>
        <v>92635.03</v>
      </c>
      <c r="G242" s="18">
        <v>44235.9</v>
      </c>
      <c r="H242" s="18">
        <v>101374.89</v>
      </c>
      <c r="I242" s="18"/>
      <c r="J242" s="18"/>
      <c r="K242" s="18">
        <v>1490.83</v>
      </c>
      <c r="L242" s="19">
        <f t="shared" si="4"/>
        <v>239736.65</v>
      </c>
      <c r="M242" s="8"/>
      <c r="N242" s="266"/>
    </row>
    <row r="243" spans="1:14" s="3" customFormat="1" ht="12.2" customHeight="1" x14ac:dyDescent="0.15">
      <c r="A243" s="1" t="s">
        <v>447</v>
      </c>
      <c r="B243" s="2" t="s">
        <v>350</v>
      </c>
      <c r="C243" s="2" t="s">
        <v>299</v>
      </c>
      <c r="D243" s="2" t="s">
        <v>431</v>
      </c>
      <c r="E243" s="6">
        <v>2600</v>
      </c>
      <c r="F243" s="18">
        <f>179700.66+257307.71</f>
        <v>437008.37</v>
      </c>
      <c r="G243" s="18">
        <f>85812.24+122871.84</f>
        <v>208684.08000000002</v>
      </c>
      <c r="H243" s="18">
        <v>757331.05</v>
      </c>
      <c r="I243" s="18">
        <f>395717.94+102440.11</f>
        <v>498158.05</v>
      </c>
      <c r="J243" s="18">
        <v>6148.8</v>
      </c>
      <c r="K243" s="18">
        <v>98.46</v>
      </c>
      <c r="L243" s="19">
        <f t="shared" si="4"/>
        <v>1907428.81</v>
      </c>
      <c r="M243" s="8"/>
      <c r="N243" s="266"/>
    </row>
    <row r="244" spans="1:14" s="3" customFormat="1" ht="12.2" customHeight="1" x14ac:dyDescent="0.15">
      <c r="A244" s="1" t="s">
        <v>448</v>
      </c>
      <c r="B244" s="2" t="s">
        <v>350</v>
      </c>
      <c r="C244" s="2" t="s">
        <v>300</v>
      </c>
      <c r="D244" s="2" t="s">
        <v>431</v>
      </c>
      <c r="E244" s="6">
        <v>2700</v>
      </c>
      <c r="F244" s="18">
        <f>16233.35</f>
        <v>16233.35</v>
      </c>
      <c r="G244" s="18">
        <v>7751.89</v>
      </c>
      <c r="H244" s="18">
        <f>1013204.92+13412.25+104378.12</f>
        <v>1130995.29</v>
      </c>
      <c r="I244" s="18"/>
      <c r="J244" s="18"/>
      <c r="K244" s="18"/>
      <c r="L244" s="19">
        <f t="shared" si="4"/>
        <v>1154980.53</v>
      </c>
      <c r="M244" s="8"/>
      <c r="N244" s="266"/>
    </row>
    <row r="245" spans="1:14" s="3" customFormat="1" ht="12.2" customHeight="1" x14ac:dyDescent="0.15">
      <c r="A245" s="1" t="s">
        <v>449</v>
      </c>
      <c r="B245" s="2" t="s">
        <v>350</v>
      </c>
      <c r="C245" s="2" t="s">
        <v>343</v>
      </c>
      <c r="D245" s="2" t="s">
        <v>431</v>
      </c>
      <c r="E245" s="6">
        <v>2800</v>
      </c>
      <c r="F245" s="18"/>
      <c r="G245" s="18"/>
      <c r="H245" s="18">
        <f>3881.02+25652.03</f>
        <v>29533.05</v>
      </c>
      <c r="I245" s="18"/>
      <c r="J245" s="18"/>
      <c r="K245" s="18"/>
      <c r="L245" s="19">
        <f>SUM(F245:K245)</f>
        <v>29533.05</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12005734.319999998</v>
      </c>
      <c r="G247" s="41">
        <f t="shared" si="5"/>
        <v>5808491</v>
      </c>
      <c r="H247" s="41">
        <f t="shared" si="5"/>
        <v>4057021.71</v>
      </c>
      <c r="I247" s="41">
        <f t="shared" si="5"/>
        <v>858066.62</v>
      </c>
      <c r="J247" s="41">
        <f t="shared" si="5"/>
        <v>171213.25999999995</v>
      </c>
      <c r="K247" s="41">
        <f t="shared" si="5"/>
        <v>161170.35999999999</v>
      </c>
      <c r="L247" s="41">
        <f t="shared" si="5"/>
        <v>23061697.27</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v>3192.5</v>
      </c>
      <c r="G251" s="18">
        <f>1215.01+309.51</f>
        <v>1524.52</v>
      </c>
      <c r="H251" s="18"/>
      <c r="I251" s="18">
        <v>231</v>
      </c>
      <c r="J251" s="18"/>
      <c r="K251" s="18"/>
      <c r="L251" s="19">
        <f t="shared" si="6"/>
        <v>4948.0200000000004</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3192.5</v>
      </c>
      <c r="G256" s="41">
        <f t="shared" si="7"/>
        <v>1524.52</v>
      </c>
      <c r="H256" s="41">
        <f t="shared" si="7"/>
        <v>0</v>
      </c>
      <c r="I256" s="41">
        <f t="shared" si="7"/>
        <v>231</v>
      </c>
      <c r="J256" s="41">
        <f t="shared" si="7"/>
        <v>0</v>
      </c>
      <c r="K256" s="41">
        <f t="shared" si="7"/>
        <v>0</v>
      </c>
      <c r="L256" s="41">
        <f>SUM(F256:K256)</f>
        <v>4948.0200000000004</v>
      </c>
      <c r="M256" s="8"/>
      <c r="N256" s="266"/>
    </row>
    <row r="257" spans="1:14" s="3" customFormat="1" ht="12.2" customHeight="1" thickTop="1" x14ac:dyDescent="0.15">
      <c r="A257" s="38" t="s">
        <v>462</v>
      </c>
      <c r="B257" s="40">
        <v>10</v>
      </c>
      <c r="C257" s="40">
        <v>8</v>
      </c>
      <c r="D257" s="39" t="s">
        <v>431</v>
      </c>
      <c r="E257" s="40"/>
      <c r="F257" s="41">
        <f t="shared" ref="F257:L257" si="8">F211+F229+F247+F256</f>
        <v>35431540.729999997</v>
      </c>
      <c r="G257" s="41">
        <f t="shared" si="8"/>
        <v>17135030</v>
      </c>
      <c r="H257" s="41">
        <f t="shared" si="8"/>
        <v>9311701.0500000007</v>
      </c>
      <c r="I257" s="41">
        <f t="shared" si="8"/>
        <v>2187324.4499999997</v>
      </c>
      <c r="J257" s="41">
        <f t="shared" si="8"/>
        <v>398964.64999999997</v>
      </c>
      <c r="K257" s="41">
        <f t="shared" si="8"/>
        <v>233603.76</v>
      </c>
      <c r="L257" s="41">
        <f t="shared" si="8"/>
        <v>64698164.640000008</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2215000</v>
      </c>
      <c r="L260" s="19">
        <f>SUM(F260:K260)</f>
        <v>2215000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1192730</v>
      </c>
      <c r="L261" s="19">
        <f>SUM(F261:K261)</f>
        <v>1192730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0</v>
      </c>
      <c r="L266" s="19">
        <f t="shared" si="9"/>
        <v>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f>7740+95</f>
        <v>7835</v>
      </c>
      <c r="L268" s="19">
        <f t="shared" si="9"/>
        <v>7835</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3415565</v>
      </c>
      <c r="L270" s="41">
        <f t="shared" si="9"/>
        <v>3415565</v>
      </c>
      <c r="N270" s="264"/>
    </row>
    <row r="271" spans="1:14" s="3" customFormat="1" ht="12.2" customHeight="1" thickTop="1" x14ac:dyDescent="0.2">
      <c r="A271" s="43" t="s">
        <v>464</v>
      </c>
      <c r="B271" s="40">
        <v>10</v>
      </c>
      <c r="C271" s="40">
        <v>18</v>
      </c>
      <c r="D271" s="39" t="s">
        <v>431</v>
      </c>
      <c r="E271" s="40"/>
      <c r="F271" s="42">
        <f t="shared" ref="F271:L271" si="11">F257+F270</f>
        <v>35431540.729999997</v>
      </c>
      <c r="G271" s="42">
        <f t="shared" si="11"/>
        <v>17135030</v>
      </c>
      <c r="H271" s="42">
        <f t="shared" si="11"/>
        <v>9311701.0500000007</v>
      </c>
      <c r="I271" s="42">
        <f t="shared" si="11"/>
        <v>2187324.4499999997</v>
      </c>
      <c r="J271" s="42">
        <f t="shared" si="11"/>
        <v>398964.64999999997</v>
      </c>
      <c r="K271" s="42">
        <f t="shared" si="11"/>
        <v>3649168.76</v>
      </c>
      <c r="L271" s="42">
        <f t="shared" si="11"/>
        <v>68113729.640000015</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147862.13</v>
      </c>
      <c r="G276" s="18">
        <v>7566.28</v>
      </c>
      <c r="H276" s="18">
        <f>842.47+1000+3137.5</f>
        <v>4979.97</v>
      </c>
      <c r="I276" s="18">
        <f>115.08+1080.42+38.25+4173.4+5432.2</f>
        <v>10839.349999999999</v>
      </c>
      <c r="J276" s="18">
        <f>3688.72+12982.99</f>
        <v>16671.71</v>
      </c>
      <c r="K276" s="18"/>
      <c r="L276" s="19">
        <f>SUM(F276:K276)</f>
        <v>187919.44</v>
      </c>
      <c r="M276" s="8"/>
      <c r="N276" s="266"/>
    </row>
    <row r="277" spans="1:14" s="3" customFormat="1" ht="12.2" customHeight="1" x14ac:dyDescent="0.15">
      <c r="A277" s="1" t="s">
        <v>439</v>
      </c>
      <c r="B277" s="2" t="s">
        <v>357</v>
      </c>
      <c r="C277" s="2" t="s">
        <v>291</v>
      </c>
      <c r="D277" s="2" t="s">
        <v>431</v>
      </c>
      <c r="E277" s="6">
        <v>1200</v>
      </c>
      <c r="F277" s="18">
        <f>302770.65+0.01</f>
        <v>302770.66000000003</v>
      </c>
      <c r="G277" s="18"/>
      <c r="H277" s="18">
        <v>3129.66</v>
      </c>
      <c r="I277" s="18">
        <f>985.19+510</f>
        <v>1495.19</v>
      </c>
      <c r="J277" s="18"/>
      <c r="K277" s="18"/>
      <c r="L277" s="19">
        <f>SUM(F277:K277)</f>
        <v>307395.51</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v>255</v>
      </c>
      <c r="I279" s="18">
        <f>306+73.44</f>
        <v>379.44</v>
      </c>
      <c r="J279" s="18"/>
      <c r="K279" s="18">
        <v>5075.71</v>
      </c>
      <c r="L279" s="19">
        <f>SUM(F279:K279)</f>
        <v>5710.15</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v>153220.79999999999</v>
      </c>
      <c r="G281" s="18"/>
      <c r="H281" s="18">
        <f>102+2275+875</f>
        <v>3252</v>
      </c>
      <c r="I281" s="18">
        <v>765.13</v>
      </c>
      <c r="J281" s="18">
        <v>1274.6400000000001</v>
      </c>
      <c r="K281" s="18"/>
      <c r="L281" s="19">
        <f t="shared" ref="L281:L287" si="12">SUM(F281:K281)</f>
        <v>158512.57</v>
      </c>
      <c r="M281" s="8"/>
      <c r="N281" s="266"/>
    </row>
    <row r="282" spans="1:14" s="3" customFormat="1" ht="12.2" customHeight="1" x14ac:dyDescent="0.15">
      <c r="A282" s="1" t="s">
        <v>443</v>
      </c>
      <c r="B282" s="2" t="s">
        <v>357</v>
      </c>
      <c r="C282" s="2" t="s">
        <v>295</v>
      </c>
      <c r="D282" s="2" t="s">
        <v>431</v>
      </c>
      <c r="E282" s="6">
        <v>2200</v>
      </c>
      <c r="F282" s="18">
        <f>14658.35+14742.03</f>
        <v>29400.38</v>
      </c>
      <c r="G282" s="18"/>
      <c r="H282" s="18">
        <f>244.8+2499.7+12759.35+258</f>
        <v>15761.85</v>
      </c>
      <c r="I282" s="18"/>
      <c r="J282" s="18"/>
      <c r="K282" s="18"/>
      <c r="L282" s="19">
        <f t="shared" si="12"/>
        <v>45162.23</v>
      </c>
      <c r="M282" s="8"/>
      <c r="N282" s="266"/>
    </row>
    <row r="283" spans="1:14" s="3" customFormat="1" ht="12.2" customHeight="1" x14ac:dyDescent="0.15">
      <c r="A283" s="1" t="s">
        <v>444</v>
      </c>
      <c r="B283" s="2" t="s">
        <v>357</v>
      </c>
      <c r="C283" s="2" t="s">
        <v>296</v>
      </c>
      <c r="D283" s="2" t="s">
        <v>431</v>
      </c>
      <c r="E283" s="6">
        <v>2300</v>
      </c>
      <c r="F283" s="18">
        <f>2035.44+6942.95</f>
        <v>8978.39</v>
      </c>
      <c r="G283" s="18">
        <f>149.83+523.75</f>
        <v>673.58</v>
      </c>
      <c r="H283" s="18">
        <v>6375</v>
      </c>
      <c r="I283" s="18"/>
      <c r="J283" s="18"/>
      <c r="K283" s="18"/>
      <c r="L283" s="19">
        <f t="shared" si="12"/>
        <v>16026.97</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4"/>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f>5068.38+42283.2</f>
        <v>47351.579999999994</v>
      </c>
      <c r="I286" s="18"/>
      <c r="J286" s="18"/>
      <c r="K286" s="18"/>
      <c r="L286" s="19">
        <f t="shared" si="12"/>
        <v>47351.579999999994</v>
      </c>
      <c r="M286" s="8"/>
      <c r="N286" s="266"/>
    </row>
    <row r="287" spans="1:14" s="3" customFormat="1" ht="12.2" customHeight="1" x14ac:dyDescent="0.15">
      <c r="A287" s="1" t="s">
        <v>448</v>
      </c>
      <c r="B287" s="2" t="s">
        <v>357</v>
      </c>
      <c r="C287" s="2" t="s">
        <v>300</v>
      </c>
      <c r="D287" s="2" t="s">
        <v>431</v>
      </c>
      <c r="E287" s="6">
        <v>2700</v>
      </c>
      <c r="F287" s="18"/>
      <c r="G287" s="18"/>
      <c r="H287" s="18">
        <v>1043.8599999999999</v>
      </c>
      <c r="I287" s="18"/>
      <c r="J287" s="18"/>
      <c r="K287" s="18"/>
      <c r="L287" s="19">
        <f t="shared" si="12"/>
        <v>1043.8599999999999</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642232.3600000001</v>
      </c>
      <c r="G290" s="42">
        <f t="shared" si="13"/>
        <v>8239.86</v>
      </c>
      <c r="H290" s="42">
        <f t="shared" si="13"/>
        <v>82148.92</v>
      </c>
      <c r="I290" s="42">
        <f t="shared" si="13"/>
        <v>13479.109999999999</v>
      </c>
      <c r="J290" s="42">
        <f t="shared" si="13"/>
        <v>17946.349999999999</v>
      </c>
      <c r="K290" s="42">
        <f t="shared" si="13"/>
        <v>5075.71</v>
      </c>
      <c r="L290" s="41">
        <f t="shared" si="13"/>
        <v>769122.30999999994</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v>231.27</v>
      </c>
      <c r="I295" s="18">
        <f>31.59+296.59+10.5+1533</f>
        <v>1871.6799999999998</v>
      </c>
      <c r="J295" s="18"/>
      <c r="K295" s="18"/>
      <c r="L295" s="19">
        <f>SUM(F295:K295)</f>
        <v>2102.9499999999998</v>
      </c>
      <c r="M295" s="8"/>
      <c r="N295" s="266"/>
    </row>
    <row r="296" spans="1:14" s="3" customFormat="1" ht="12.2" customHeight="1" x14ac:dyDescent="0.15">
      <c r="A296" s="1" t="s">
        <v>439</v>
      </c>
      <c r="B296" s="2" t="s">
        <v>358</v>
      </c>
      <c r="C296" s="2" t="s">
        <v>291</v>
      </c>
      <c r="D296" s="2" t="s">
        <v>431</v>
      </c>
      <c r="E296" s="6">
        <v>1200</v>
      </c>
      <c r="F296" s="18">
        <v>83113.509999999995</v>
      </c>
      <c r="G296" s="18"/>
      <c r="H296" s="18">
        <v>859.12</v>
      </c>
      <c r="I296" s="18">
        <f>270.45+140</f>
        <v>410.45</v>
      </c>
      <c r="J296" s="18"/>
      <c r="K296" s="18"/>
      <c r="L296" s="19">
        <f>SUM(F296:K296)</f>
        <v>84383.079999999987</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v>70</v>
      </c>
      <c r="I298" s="18">
        <f>84+20.16</f>
        <v>104.16</v>
      </c>
      <c r="J298" s="18"/>
      <c r="K298" s="18">
        <v>1393.33</v>
      </c>
      <c r="L298" s="19">
        <f>SUM(F298:K298)</f>
        <v>1567.49</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v>42060.61</v>
      </c>
      <c r="G300" s="18"/>
      <c r="H300" s="18">
        <v>28</v>
      </c>
      <c r="I300" s="18">
        <v>210.04</v>
      </c>
      <c r="J300" s="18">
        <v>349.9</v>
      </c>
      <c r="K300" s="18"/>
      <c r="L300" s="19">
        <f t="shared" ref="L300:L306" si="14">SUM(F300:K300)</f>
        <v>42648.55</v>
      </c>
      <c r="M300" s="8"/>
      <c r="N300" s="266"/>
    </row>
    <row r="301" spans="1:14" s="3" customFormat="1" ht="12.2" customHeight="1" x14ac:dyDescent="0.15">
      <c r="A301" s="1" t="s">
        <v>443</v>
      </c>
      <c r="B301" s="2" t="s">
        <v>358</v>
      </c>
      <c r="C301" s="2" t="s">
        <v>295</v>
      </c>
      <c r="D301" s="2" t="s">
        <v>431</v>
      </c>
      <c r="E301" s="6">
        <v>2200</v>
      </c>
      <c r="F301" s="18">
        <v>4023.86</v>
      </c>
      <c r="G301" s="18"/>
      <c r="H301" s="18">
        <f>67.2+686.19+3502.57</f>
        <v>4255.96</v>
      </c>
      <c r="I301" s="18"/>
      <c r="J301" s="18"/>
      <c r="K301" s="18"/>
      <c r="L301" s="19">
        <f t="shared" si="14"/>
        <v>8279.82</v>
      </c>
      <c r="M301" s="8"/>
      <c r="N301" s="266"/>
    </row>
    <row r="302" spans="1:14" s="3" customFormat="1" ht="12.2" customHeight="1" x14ac:dyDescent="0.15">
      <c r="A302" s="1" t="s">
        <v>444</v>
      </c>
      <c r="B302" s="2" t="s">
        <v>358</v>
      </c>
      <c r="C302" s="2" t="s">
        <v>296</v>
      </c>
      <c r="D302" s="2" t="s">
        <v>431</v>
      </c>
      <c r="E302" s="6">
        <v>2300</v>
      </c>
      <c r="F302" s="18">
        <v>558.75</v>
      </c>
      <c r="G302" s="18">
        <v>41.13</v>
      </c>
      <c r="H302" s="18">
        <v>1750</v>
      </c>
      <c r="I302" s="18"/>
      <c r="J302" s="18"/>
      <c r="K302" s="18"/>
      <c r="L302" s="19">
        <f t="shared" si="14"/>
        <v>2349.88</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f>6890.4+1391.32</f>
        <v>8281.7199999999993</v>
      </c>
      <c r="I305" s="18"/>
      <c r="J305" s="18"/>
      <c r="K305" s="18"/>
      <c r="L305" s="19">
        <f t="shared" si="14"/>
        <v>8281.7199999999993</v>
      </c>
      <c r="M305" s="8"/>
      <c r="N305" s="266"/>
    </row>
    <row r="306" spans="1:14" s="3" customFormat="1" ht="12.2" customHeight="1" x14ac:dyDescent="0.15">
      <c r="A306" s="1" t="s">
        <v>448</v>
      </c>
      <c r="B306" s="2" t="s">
        <v>358</v>
      </c>
      <c r="C306" s="2" t="s">
        <v>300</v>
      </c>
      <c r="D306" s="2" t="s">
        <v>431</v>
      </c>
      <c r="E306" s="6">
        <v>2700</v>
      </c>
      <c r="F306" s="18"/>
      <c r="G306" s="18"/>
      <c r="H306" s="18">
        <v>286.55</v>
      </c>
      <c r="I306" s="18"/>
      <c r="J306" s="18"/>
      <c r="K306" s="18"/>
      <c r="L306" s="19">
        <f t="shared" si="14"/>
        <v>286.55</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129756.73</v>
      </c>
      <c r="G309" s="42">
        <f t="shared" si="15"/>
        <v>41.13</v>
      </c>
      <c r="H309" s="42">
        <f t="shared" si="15"/>
        <v>15762.619999999999</v>
      </c>
      <c r="I309" s="42">
        <f t="shared" si="15"/>
        <v>2596.3299999999995</v>
      </c>
      <c r="J309" s="42">
        <f t="shared" si="15"/>
        <v>349.9</v>
      </c>
      <c r="K309" s="42">
        <f t="shared" si="15"/>
        <v>1393.33</v>
      </c>
      <c r="L309" s="41">
        <f t="shared" si="15"/>
        <v>149900.03999999998</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v>578.16999999999996</v>
      </c>
      <c r="I314" s="18">
        <f>78.98+741.46+26.25</f>
        <v>846.69</v>
      </c>
      <c r="J314" s="18"/>
      <c r="K314" s="18"/>
      <c r="L314" s="19">
        <f>SUM(F314:K314)</f>
        <v>1424.8600000000001</v>
      </c>
      <c r="M314" s="8"/>
      <c r="N314" s="266"/>
    </row>
    <row r="315" spans="1:14" s="3" customFormat="1" ht="12.2" customHeight="1" x14ac:dyDescent="0.15">
      <c r="A315" s="1" t="s">
        <v>439</v>
      </c>
      <c r="B315" s="2" t="s">
        <v>359</v>
      </c>
      <c r="C315" s="2" t="s">
        <v>291</v>
      </c>
      <c r="D315" s="2" t="s">
        <v>431</v>
      </c>
      <c r="E315" s="6">
        <v>1200</v>
      </c>
      <c r="F315" s="18">
        <v>207783.78</v>
      </c>
      <c r="G315" s="18"/>
      <c r="H315" s="18">
        <v>2147.8000000000002</v>
      </c>
      <c r="I315" s="18">
        <f>676.11+350</f>
        <v>1026.1100000000001</v>
      </c>
      <c r="J315" s="18"/>
      <c r="K315" s="18"/>
      <c r="L315" s="19">
        <f>SUM(F315:K315)</f>
        <v>210957.68999999997</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v>175</v>
      </c>
      <c r="I317" s="18">
        <f>922.06+210+50.4</f>
        <v>1182.46</v>
      </c>
      <c r="J317" s="18"/>
      <c r="K317" s="18">
        <v>3483.33</v>
      </c>
      <c r="L317" s="19">
        <f>SUM(F317:K317)</f>
        <v>4840.79</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v>105151.53</v>
      </c>
      <c r="G319" s="18"/>
      <c r="H319" s="18">
        <f>2000+70</f>
        <v>2070</v>
      </c>
      <c r="I319" s="18">
        <v>525.09</v>
      </c>
      <c r="J319" s="18">
        <v>874.75</v>
      </c>
      <c r="K319" s="18"/>
      <c r="L319" s="19">
        <f t="shared" ref="L319:L325" si="16">SUM(F319:K319)</f>
        <v>108621.37</v>
      </c>
      <c r="M319" s="8"/>
      <c r="N319" s="266"/>
    </row>
    <row r="320" spans="1:14" s="3" customFormat="1" ht="12.2" customHeight="1" x14ac:dyDescent="0.15">
      <c r="A320" s="1" t="s">
        <v>443</v>
      </c>
      <c r="B320" s="2" t="s">
        <v>359</v>
      </c>
      <c r="C320" s="2" t="s">
        <v>295</v>
      </c>
      <c r="D320" s="2" t="s">
        <v>431</v>
      </c>
      <c r="E320" s="6">
        <v>2200</v>
      </c>
      <c r="F320" s="18">
        <v>10059.65</v>
      </c>
      <c r="G320" s="18"/>
      <c r="H320" s="18">
        <f>2700+168+1715.48+8756.42</f>
        <v>13339.9</v>
      </c>
      <c r="I320" s="18"/>
      <c r="J320" s="18"/>
      <c r="K320" s="18"/>
      <c r="L320" s="19">
        <f t="shared" si="16"/>
        <v>23399.55</v>
      </c>
      <c r="M320" s="8"/>
      <c r="N320" s="266"/>
    </row>
    <row r="321" spans="1:14" s="3" customFormat="1" ht="12.2" customHeight="1" x14ac:dyDescent="0.15">
      <c r="A321" s="1" t="s">
        <v>444</v>
      </c>
      <c r="B321" s="2" t="s">
        <v>359</v>
      </c>
      <c r="C321" s="2" t="s">
        <v>296</v>
      </c>
      <c r="D321" s="2" t="s">
        <v>431</v>
      </c>
      <c r="E321" s="6">
        <v>2300</v>
      </c>
      <c r="F321" s="18">
        <v>1396.87</v>
      </c>
      <c r="G321" s="18">
        <f>102.82</f>
        <v>102.82</v>
      </c>
      <c r="H321" s="18">
        <v>4375</v>
      </c>
      <c r="I321" s="18"/>
      <c r="J321" s="18"/>
      <c r="K321" s="18"/>
      <c r="L321" s="19">
        <f t="shared" si="16"/>
        <v>5874.69</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v>3478.3</v>
      </c>
      <c r="I323" s="18"/>
      <c r="J323" s="18"/>
      <c r="K323" s="18"/>
      <c r="L323" s="19">
        <f t="shared" si="16"/>
        <v>3478.3</v>
      </c>
      <c r="M323" s="8"/>
      <c r="N323" s="266"/>
    </row>
    <row r="324" spans="1:14" s="3" customFormat="1" ht="12.2" customHeight="1" x14ac:dyDescent="0.15">
      <c r="A324" s="1" t="s">
        <v>447</v>
      </c>
      <c r="B324" s="2" t="s">
        <v>359</v>
      </c>
      <c r="C324" s="2" t="s">
        <v>299</v>
      </c>
      <c r="D324" s="2" t="s">
        <v>431</v>
      </c>
      <c r="E324" s="6">
        <v>2600</v>
      </c>
      <c r="F324" s="18"/>
      <c r="G324" s="18"/>
      <c r="H324" s="18">
        <f>3220.8+34992</f>
        <v>38212.800000000003</v>
      </c>
      <c r="I324" s="18"/>
      <c r="J324" s="18"/>
      <c r="K324" s="18"/>
      <c r="L324" s="19">
        <f t="shared" si="16"/>
        <v>38212.800000000003</v>
      </c>
      <c r="M324" s="8"/>
      <c r="N324" s="266"/>
    </row>
    <row r="325" spans="1:14" s="3" customFormat="1" ht="12.2" customHeight="1" x14ac:dyDescent="0.15">
      <c r="A325" s="1" t="s">
        <v>448</v>
      </c>
      <c r="B325" s="2" t="s">
        <v>359</v>
      </c>
      <c r="C325" s="2" t="s">
        <v>300</v>
      </c>
      <c r="D325" s="2" t="s">
        <v>431</v>
      </c>
      <c r="E325" s="6">
        <v>2700</v>
      </c>
      <c r="F325" s="18"/>
      <c r="G325" s="18"/>
      <c r="H325" s="18">
        <v>716.37</v>
      </c>
      <c r="I325" s="18"/>
      <c r="J325" s="18"/>
      <c r="K325" s="18"/>
      <c r="L325" s="19">
        <f t="shared" si="16"/>
        <v>716.37</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324391.83</v>
      </c>
      <c r="G328" s="42">
        <f t="shared" si="17"/>
        <v>102.82</v>
      </c>
      <c r="H328" s="42">
        <f t="shared" si="17"/>
        <v>65093.340000000004</v>
      </c>
      <c r="I328" s="42">
        <f t="shared" si="17"/>
        <v>3580.3500000000004</v>
      </c>
      <c r="J328" s="42">
        <f t="shared" si="17"/>
        <v>874.75</v>
      </c>
      <c r="K328" s="42">
        <f t="shared" si="17"/>
        <v>3483.33</v>
      </c>
      <c r="L328" s="41">
        <f t="shared" si="17"/>
        <v>397526.41999999993</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f>7835.69</f>
        <v>7835.69</v>
      </c>
      <c r="G333" s="18"/>
      <c r="H333" s="18"/>
      <c r="I333" s="18"/>
      <c r="J333" s="18"/>
      <c r="K333" s="18"/>
      <c r="L333" s="19">
        <f t="shared" si="18"/>
        <v>7835.69</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7835.69</v>
      </c>
      <c r="G337" s="41">
        <f t="shared" si="19"/>
        <v>0</v>
      </c>
      <c r="H337" s="41">
        <f t="shared" si="19"/>
        <v>0</v>
      </c>
      <c r="I337" s="41">
        <f t="shared" si="19"/>
        <v>0</v>
      </c>
      <c r="J337" s="41">
        <f t="shared" si="19"/>
        <v>0</v>
      </c>
      <c r="K337" s="41">
        <f t="shared" si="19"/>
        <v>0</v>
      </c>
      <c r="L337" s="41">
        <f t="shared" si="18"/>
        <v>7835.69</v>
      </c>
      <c r="M337" s="8"/>
      <c r="N337" s="266"/>
    </row>
    <row r="338" spans="1:43" s="3" customFormat="1" ht="12.2" customHeight="1" thickTop="1" x14ac:dyDescent="0.15">
      <c r="A338" s="38" t="s">
        <v>468</v>
      </c>
      <c r="B338" s="40">
        <v>14</v>
      </c>
      <c r="C338" s="40">
        <v>7</v>
      </c>
      <c r="D338" s="39" t="s">
        <v>431</v>
      </c>
      <c r="E338" s="40"/>
      <c r="F338" s="41">
        <f t="shared" ref="F338:L338" si="20">F290+F309+F328+F337</f>
        <v>1104216.6100000001</v>
      </c>
      <c r="G338" s="41">
        <f t="shared" si="20"/>
        <v>8383.81</v>
      </c>
      <c r="H338" s="41">
        <f t="shared" si="20"/>
        <v>163004.88</v>
      </c>
      <c r="I338" s="41">
        <f t="shared" si="20"/>
        <v>19655.79</v>
      </c>
      <c r="J338" s="41">
        <f t="shared" si="20"/>
        <v>19171</v>
      </c>
      <c r="K338" s="41">
        <f t="shared" si="20"/>
        <v>9952.369999999999</v>
      </c>
      <c r="L338" s="41">
        <f t="shared" si="20"/>
        <v>1324384.4599999997</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1104216.6100000001</v>
      </c>
      <c r="G352" s="41">
        <f>G338</f>
        <v>8383.81</v>
      </c>
      <c r="H352" s="41">
        <f>H338</f>
        <v>163004.88</v>
      </c>
      <c r="I352" s="41">
        <f>I338</f>
        <v>19655.79</v>
      </c>
      <c r="J352" s="41">
        <f>J338</f>
        <v>19171</v>
      </c>
      <c r="K352" s="47">
        <f>K338+K351</f>
        <v>9952.369999999999</v>
      </c>
      <c r="L352" s="41">
        <f>L338+L351</f>
        <v>1324384.4599999997</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f>92106.86+210528.77</f>
        <v>302635.63</v>
      </c>
      <c r="G358" s="18">
        <f>64514.42</f>
        <v>64514.42</v>
      </c>
      <c r="H358" s="18">
        <f>10475.53+15921.17+3412.99+4520.37-0.02</f>
        <v>34330.040000000008</v>
      </c>
      <c r="I358" s="18">
        <f>435320.3+2393.85</f>
        <v>437714.14999999997</v>
      </c>
      <c r="J358" s="18">
        <f>4248.1+112990.2</f>
        <v>117238.3</v>
      </c>
      <c r="K358" s="18">
        <v>2144.34</v>
      </c>
      <c r="L358" s="13">
        <f>SUM(F358:K358)</f>
        <v>958576.88</v>
      </c>
      <c r="N358" s="264"/>
      <c r="R358" s="3"/>
      <c r="S358" s="3"/>
      <c r="T358" s="3"/>
      <c r="U358" s="3"/>
      <c r="V358" s="3"/>
    </row>
    <row r="359" spans="1:22" s="3" customFormat="1" ht="12.2" customHeight="1" x14ac:dyDescent="0.15">
      <c r="A359" s="1" t="s">
        <v>542</v>
      </c>
      <c r="B359" s="2" t="s">
        <v>366</v>
      </c>
      <c r="C359" s="6">
        <v>2</v>
      </c>
      <c r="D359" s="2" t="s">
        <v>431</v>
      </c>
      <c r="E359" s="6"/>
      <c r="F359" s="18">
        <f>25284.24+61336.75</f>
        <v>86620.99</v>
      </c>
      <c r="G359" s="18">
        <f>17709.84</f>
        <v>17709.84</v>
      </c>
      <c r="H359" s="18">
        <f>2875.64+936.9+1240.89+4310.33</f>
        <v>9363.76</v>
      </c>
      <c r="I359" s="18">
        <f>657.14+194032.11</f>
        <v>194689.25</v>
      </c>
      <c r="J359" s="18">
        <f>1166.15+7800</f>
        <v>8966.15</v>
      </c>
      <c r="K359" s="18">
        <v>588.64</v>
      </c>
      <c r="L359" s="19">
        <f>SUM(F359:K359)</f>
        <v>317938.63</v>
      </c>
      <c r="M359" s="8"/>
      <c r="N359" s="266"/>
    </row>
    <row r="360" spans="1:22" s="3" customFormat="1" ht="12.2" customHeight="1" x14ac:dyDescent="0.15">
      <c r="A360" s="3" t="s">
        <v>543</v>
      </c>
      <c r="B360" s="2" t="s">
        <v>366</v>
      </c>
      <c r="C360" s="6">
        <v>3</v>
      </c>
      <c r="D360" s="2" t="s">
        <v>431</v>
      </c>
      <c r="E360" s="6"/>
      <c r="F360" s="18">
        <f>63210.59+170855.26</f>
        <v>234065.85</v>
      </c>
      <c r="G360" s="18">
        <f>44274.6</f>
        <v>44274.6</v>
      </c>
      <c r="H360" s="18">
        <f>7189.09+2342.25+3102.21+8761.66</f>
        <v>21395.21</v>
      </c>
      <c r="I360" s="18">
        <f>1642.84+333956.11</f>
        <v>335598.95</v>
      </c>
      <c r="J360" s="18">
        <f>2915.36+11037.6</f>
        <v>13952.960000000001</v>
      </c>
      <c r="K360" s="18">
        <v>1471.6</v>
      </c>
      <c r="L360" s="19">
        <f>SUM(F360:K360)</f>
        <v>650759.17000000004</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623322.47</v>
      </c>
      <c r="G362" s="47">
        <f t="shared" si="22"/>
        <v>126498.85999999999</v>
      </c>
      <c r="H362" s="47">
        <f t="shared" si="22"/>
        <v>65089.010000000009</v>
      </c>
      <c r="I362" s="47">
        <f t="shared" si="22"/>
        <v>968002.34999999986</v>
      </c>
      <c r="J362" s="47">
        <f t="shared" si="22"/>
        <v>140157.41</v>
      </c>
      <c r="K362" s="47">
        <f t="shared" si="22"/>
        <v>4204.58</v>
      </c>
      <c r="L362" s="47">
        <f t="shared" si="22"/>
        <v>1927274.6800000002</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f>371.8+383640.4</f>
        <v>384012.2</v>
      </c>
      <c r="G367" s="18">
        <f>102.06+175827.37</f>
        <v>175929.43</v>
      </c>
      <c r="H367" s="18">
        <f>255.15+21552.32</f>
        <v>21807.47</v>
      </c>
      <c r="I367" s="56">
        <f>SUM(F367:H367)</f>
        <v>581749.1</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f>1443.18+51019.26+578.87+660.64</f>
        <v>53701.950000000004</v>
      </c>
      <c r="G368" s="63">
        <f>396.17+15496.03+158.91+2708.71</f>
        <v>18759.82</v>
      </c>
      <c r="H368" s="63">
        <f>990.42+309695.08+397.27+2708.71</f>
        <v>313791.48000000004</v>
      </c>
      <c r="I368" s="56">
        <f>SUM(F368:H368)</f>
        <v>386253.25000000006</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437714.15</v>
      </c>
      <c r="G369" s="47">
        <f>SUM(G367:G368)</f>
        <v>194689.25</v>
      </c>
      <c r="H369" s="47">
        <f>SUM(H367:H368)</f>
        <v>335598.95000000007</v>
      </c>
      <c r="I369" s="47">
        <f>SUM(I367:I368)</f>
        <v>968002.35000000009</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0</v>
      </c>
      <c r="I401" s="47">
        <f>SUM(I395:I400)</f>
        <v>0</v>
      </c>
      <c r="J401" s="45" t="s">
        <v>288</v>
      </c>
      <c r="K401" s="45" t="s">
        <v>288</v>
      </c>
      <c r="L401" s="47">
        <f>SUM(L395:L400)</f>
        <v>0</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0</v>
      </c>
      <c r="H408" s="47">
        <f>H393+H401+H407</f>
        <v>0</v>
      </c>
      <c r="I408" s="47">
        <f>I393+I401+I407</f>
        <v>0</v>
      </c>
      <c r="J408" s="24" t="s">
        <v>288</v>
      </c>
      <c r="K408" s="24" t="s">
        <v>288</v>
      </c>
      <c r="L408" s="47">
        <f>L393+L401+L407</f>
        <v>0</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v>491153.01</v>
      </c>
      <c r="L418" s="56">
        <f t="shared" si="27"/>
        <v>491153.01</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491153.01</v>
      </c>
      <c r="L419" s="47">
        <f t="shared" si="28"/>
        <v>491153.01</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491153.01</v>
      </c>
      <c r="L434" s="47">
        <f t="shared" si="32"/>
        <v>491153.01</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0</v>
      </c>
      <c r="H446" s="13">
        <f>SUM(H439:H445)</f>
        <v>0</v>
      </c>
      <c r="I446" s="13">
        <f>SUM(I439:I445)</f>
        <v>0</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c r="H459" s="18"/>
      <c r="I459" s="56">
        <f t="shared" si="34"/>
        <v>0</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0</v>
      </c>
      <c r="H460" s="83">
        <f>SUM(H454:H459)</f>
        <v>0</v>
      </c>
      <c r="I460" s="83">
        <f>SUM(I454:I459)</f>
        <v>0</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0</v>
      </c>
      <c r="H461" s="42">
        <f>H452+H460</f>
        <v>0</v>
      </c>
      <c r="I461" s="42">
        <f>I452+I460</f>
        <v>0</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4336672.93</v>
      </c>
      <c r="G465" s="18">
        <v>554754.04</v>
      </c>
      <c r="H465" s="18"/>
      <c r="I465" s="18"/>
      <c r="J465" s="18">
        <v>491000</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67875685.969999999</v>
      </c>
      <c r="G468" s="18">
        <v>1805025.72</v>
      </c>
      <c r="H468" s="18">
        <v>1324384.46</v>
      </c>
      <c r="I468" s="18"/>
      <c r="J468" s="18"/>
      <c r="K468" s="24" t="s">
        <v>288</v>
      </c>
      <c r="L468" s="24" t="s">
        <v>288</v>
      </c>
      <c r="N468" s="265"/>
    </row>
    <row r="469" spans="1:14" s="52" customFormat="1" ht="12.2" customHeight="1" x14ac:dyDescent="0.2">
      <c r="A469" s="93" t="s">
        <v>611</v>
      </c>
      <c r="B469" s="75">
        <v>19</v>
      </c>
      <c r="C469" s="80">
        <v>3</v>
      </c>
      <c r="D469" s="2" t="s">
        <v>432</v>
      </c>
      <c r="E469" s="80"/>
      <c r="F469" s="18"/>
      <c r="G469" s="18" t="s">
        <v>286</v>
      </c>
      <c r="H469" s="18"/>
      <c r="I469" s="18"/>
      <c r="J469" s="18">
        <v>153.01</v>
      </c>
      <c r="K469" s="24" t="s">
        <v>288</v>
      </c>
      <c r="L469" s="24" t="s">
        <v>288</v>
      </c>
      <c r="N469" s="265"/>
    </row>
    <row r="470" spans="1:14" s="52" customFormat="1" ht="12.2" customHeight="1" x14ac:dyDescent="0.2">
      <c r="A470" s="92" t="s">
        <v>425</v>
      </c>
      <c r="B470" s="75">
        <v>19</v>
      </c>
      <c r="C470" s="80">
        <v>4</v>
      </c>
      <c r="D470" s="2" t="s">
        <v>432</v>
      </c>
      <c r="E470" s="80"/>
      <c r="F470" s="53">
        <f>SUM(F468:F469)</f>
        <v>67875685.969999999</v>
      </c>
      <c r="G470" s="53">
        <f>SUM(G468:G469)</f>
        <v>1805025.72</v>
      </c>
      <c r="H470" s="53">
        <f>SUM(H468:H469)</f>
        <v>1324384.46</v>
      </c>
      <c r="I470" s="53">
        <f>SUM(I468:I469)</f>
        <v>0</v>
      </c>
      <c r="J470" s="53">
        <f>SUM(J468:J469)</f>
        <v>153.01</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f>67854444.94+259284.7</f>
        <v>68113729.640000001</v>
      </c>
      <c r="G472" s="18">
        <v>1927274.68</v>
      </c>
      <c r="H472" s="18">
        <v>1324384.46</v>
      </c>
      <c r="I472" s="18"/>
      <c r="J472" s="18">
        <v>491153.01</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68113729.640000001</v>
      </c>
      <c r="G474" s="53">
        <f>SUM(G472:G473)</f>
        <v>1927274.68</v>
      </c>
      <c r="H474" s="53">
        <f>SUM(H472:H473)</f>
        <v>1324384.46</v>
      </c>
      <c r="I474" s="53">
        <f>SUM(I472:I473)</f>
        <v>0</v>
      </c>
      <c r="J474" s="53">
        <f>SUM(J472:J473)</f>
        <v>491153.01</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4098629.2600000054</v>
      </c>
      <c r="G476" s="53">
        <f>(G465+G470)- G474</f>
        <v>432505.07999999984</v>
      </c>
      <c r="H476" s="53">
        <f>(H465+H470)- H474</f>
        <v>0</v>
      </c>
      <c r="I476" s="53">
        <f>(I465+I470)- I474</f>
        <v>0</v>
      </c>
      <c r="J476" s="53">
        <f>(J465+J470)- J474</f>
        <v>0</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10</v>
      </c>
      <c r="G490" s="154">
        <v>20</v>
      </c>
      <c r="H490" s="154">
        <v>15</v>
      </c>
      <c r="I490" s="154"/>
      <c r="J490" s="154"/>
      <c r="K490" s="24" t="s">
        <v>288</v>
      </c>
      <c r="L490" s="24" t="s">
        <v>288</v>
      </c>
      <c r="N490" s="265"/>
    </row>
    <row r="491" spans="1:14" s="52" customFormat="1" ht="12.2" customHeight="1" x14ac:dyDescent="0.2">
      <c r="A491" s="22" t="s">
        <v>615</v>
      </c>
      <c r="B491" s="75">
        <v>20</v>
      </c>
      <c r="C491" s="115">
        <v>2</v>
      </c>
      <c r="D491" s="2" t="s">
        <v>432</v>
      </c>
      <c r="E491" s="115"/>
      <c r="F491" s="155" t="s">
        <v>1614</v>
      </c>
      <c r="G491" s="155" t="s">
        <v>1615</v>
      </c>
      <c r="H491" s="324" t="s">
        <v>1618</v>
      </c>
      <c r="I491" s="154"/>
      <c r="J491" s="154"/>
      <c r="K491" s="24" t="s">
        <v>288</v>
      </c>
      <c r="L491" s="24" t="s">
        <v>288</v>
      </c>
      <c r="N491" s="265"/>
    </row>
    <row r="492" spans="1:14" s="52" customFormat="1" ht="12.2" customHeight="1" x14ac:dyDescent="0.2">
      <c r="A492" s="22" t="s">
        <v>616</v>
      </c>
      <c r="B492" s="75">
        <v>20</v>
      </c>
      <c r="C492" s="115">
        <v>3</v>
      </c>
      <c r="D492" s="2" t="s">
        <v>432</v>
      </c>
      <c r="E492" s="115"/>
      <c r="F492" s="155" t="s">
        <v>1616</v>
      </c>
      <c r="G492" s="155" t="s">
        <v>1617</v>
      </c>
      <c r="H492" s="324" t="s">
        <v>1619</v>
      </c>
      <c r="I492" s="154"/>
      <c r="J492" s="154"/>
      <c r="K492" s="24" t="s">
        <v>288</v>
      </c>
      <c r="L492" s="24" t="s">
        <v>288</v>
      </c>
      <c r="N492" s="265"/>
    </row>
    <row r="493" spans="1:14" s="52" customFormat="1" ht="12.2" customHeight="1" x14ac:dyDescent="0.2">
      <c r="A493" s="22" t="s">
        <v>617</v>
      </c>
      <c r="B493" s="75">
        <v>20</v>
      </c>
      <c r="C493" s="115">
        <v>4</v>
      </c>
      <c r="D493" s="2" t="s">
        <v>432</v>
      </c>
      <c r="E493" s="115"/>
      <c r="F493" s="18">
        <v>3935000</v>
      </c>
      <c r="G493" s="18">
        <v>800000</v>
      </c>
      <c r="H493" s="18">
        <v>32715000</v>
      </c>
      <c r="I493" s="18"/>
      <c r="J493" s="18"/>
      <c r="K493" s="24" t="s">
        <v>288</v>
      </c>
      <c r="L493" s="24" t="s">
        <v>288</v>
      </c>
      <c r="N493" s="265"/>
    </row>
    <row r="494" spans="1:14" s="52" customFormat="1" ht="12.2" customHeight="1" x14ac:dyDescent="0.2">
      <c r="A494" s="22" t="s">
        <v>618</v>
      </c>
      <c r="B494" s="75">
        <v>20</v>
      </c>
      <c r="C494" s="115">
        <v>5</v>
      </c>
      <c r="D494" s="2" t="s">
        <v>432</v>
      </c>
      <c r="E494" s="115"/>
      <c r="F494" s="18">
        <v>3.34</v>
      </c>
      <c r="G494" s="18">
        <v>4.5199999999999996</v>
      </c>
      <c r="H494" s="18">
        <v>2.63</v>
      </c>
      <c r="I494" s="18"/>
      <c r="J494" s="18"/>
      <c r="K494" s="24" t="s">
        <v>288</v>
      </c>
      <c r="L494" s="24" t="s">
        <v>288</v>
      </c>
      <c r="N494" s="265"/>
    </row>
    <row r="495" spans="1:14" s="52" customFormat="1" ht="12.2" customHeight="1" x14ac:dyDescent="0.2">
      <c r="A495" s="22" t="s">
        <v>619</v>
      </c>
      <c r="B495" s="75">
        <v>20</v>
      </c>
      <c r="C495" s="115">
        <v>6</v>
      </c>
      <c r="D495" s="2" t="s">
        <v>432</v>
      </c>
      <c r="E495" s="115"/>
      <c r="F495" s="18">
        <v>380000</v>
      </c>
      <c r="G495" s="18">
        <v>360000</v>
      </c>
      <c r="H495" s="18">
        <v>26240000</v>
      </c>
      <c r="I495" s="18"/>
      <c r="J495" s="18"/>
      <c r="K495" s="53">
        <f>SUM(F495:J495)</f>
        <v>26980000</v>
      </c>
      <c r="L495" s="24" t="s">
        <v>288</v>
      </c>
      <c r="N495" s="265"/>
    </row>
    <row r="496" spans="1:14" s="52" customFormat="1" ht="12.2" customHeight="1" x14ac:dyDescent="0.2">
      <c r="A496" s="22" t="s">
        <v>620</v>
      </c>
      <c r="B496" s="75">
        <v>20</v>
      </c>
      <c r="C496" s="115">
        <v>7</v>
      </c>
      <c r="D496" s="2" t="s">
        <v>432</v>
      </c>
      <c r="E496" s="115"/>
      <c r="F496" s="18">
        <v>0</v>
      </c>
      <c r="G496" s="18">
        <v>0</v>
      </c>
      <c r="H496" s="18">
        <v>0</v>
      </c>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v>380000</v>
      </c>
      <c r="G497" s="18">
        <v>40000</v>
      </c>
      <c r="H497" s="18">
        <v>1795000</v>
      </c>
      <c r="I497" s="18"/>
      <c r="J497" s="18"/>
      <c r="K497" s="53">
        <f t="shared" si="35"/>
        <v>2215000</v>
      </c>
      <c r="L497" s="24" t="s">
        <v>288</v>
      </c>
      <c r="N497" s="265"/>
    </row>
    <row r="498" spans="1:14" s="52" customFormat="1" ht="12.2" customHeight="1" x14ac:dyDescent="0.2">
      <c r="A498" s="200" t="s">
        <v>622</v>
      </c>
      <c r="B498" s="201">
        <v>20</v>
      </c>
      <c r="C498" s="202">
        <v>9</v>
      </c>
      <c r="D498" s="203" t="s">
        <v>432</v>
      </c>
      <c r="E498" s="202"/>
      <c r="F498" s="204">
        <v>0</v>
      </c>
      <c r="G498" s="204">
        <f>360000-40000</f>
        <v>320000</v>
      </c>
      <c r="H498" s="204">
        <f>26240000-1795000</f>
        <v>24445000</v>
      </c>
      <c r="I498" s="204"/>
      <c r="J498" s="204"/>
      <c r="K498" s="205">
        <f t="shared" si="35"/>
        <v>24765000</v>
      </c>
      <c r="L498" s="206" t="s">
        <v>288</v>
      </c>
      <c r="N498" s="265"/>
    </row>
    <row r="499" spans="1:14" s="52" customFormat="1" ht="12.2" customHeight="1" thickBot="1" x14ac:dyDescent="0.25">
      <c r="A499" s="22" t="s">
        <v>623</v>
      </c>
      <c r="B499" s="75">
        <v>20</v>
      </c>
      <c r="C499" s="115">
        <v>10</v>
      </c>
      <c r="D499" s="2" t="s">
        <v>432</v>
      </c>
      <c r="E499" s="115"/>
      <c r="F499" s="18">
        <v>0</v>
      </c>
      <c r="G499" s="18">
        <f>74165-15430</f>
        <v>58735</v>
      </c>
      <c r="H499" s="18">
        <f>8155625-1168925</f>
        <v>6986700</v>
      </c>
      <c r="I499" s="18"/>
      <c r="J499" s="18"/>
      <c r="K499" s="53">
        <f t="shared" si="35"/>
        <v>7045435</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378735</v>
      </c>
      <c r="H500" s="42">
        <f>SUM(H498:H499)</f>
        <v>31431700</v>
      </c>
      <c r="I500" s="42">
        <f>SUM(I498:I499)</f>
        <v>0</v>
      </c>
      <c r="J500" s="42">
        <f>SUM(J498:J499)</f>
        <v>0</v>
      </c>
      <c r="K500" s="42">
        <f t="shared" si="35"/>
        <v>31810435</v>
      </c>
      <c r="L500" s="45" t="s">
        <v>288</v>
      </c>
      <c r="N500" s="265"/>
    </row>
    <row r="501" spans="1:14" s="52" customFormat="1" ht="12.2" customHeight="1" x14ac:dyDescent="0.2">
      <c r="A501" s="200" t="s">
        <v>651</v>
      </c>
      <c r="B501" s="201">
        <v>20</v>
      </c>
      <c r="C501" s="202">
        <v>12</v>
      </c>
      <c r="D501" s="203" t="s">
        <v>432</v>
      </c>
      <c r="E501" s="202"/>
      <c r="F501" s="204">
        <v>0</v>
      </c>
      <c r="G501" s="204">
        <v>40000</v>
      </c>
      <c r="H501" s="204">
        <v>1710000</v>
      </c>
      <c r="I501" s="204"/>
      <c r="J501" s="204"/>
      <c r="K501" s="205">
        <f t="shared" si="35"/>
        <v>1750000</v>
      </c>
      <c r="L501" s="206" t="s">
        <v>288</v>
      </c>
      <c r="N501" s="265"/>
    </row>
    <row r="502" spans="1:14" s="52" customFormat="1" ht="12.2" customHeight="1" thickBot="1" x14ac:dyDescent="0.25">
      <c r="A502" s="22" t="s">
        <v>625</v>
      </c>
      <c r="B502" s="75">
        <v>20</v>
      </c>
      <c r="C502" s="115">
        <v>13</v>
      </c>
      <c r="D502" s="2" t="s">
        <v>432</v>
      </c>
      <c r="E502" s="115"/>
      <c r="F502" s="18">
        <v>0</v>
      </c>
      <c r="G502" s="18">
        <v>13670</v>
      </c>
      <c r="H502" s="18">
        <v>1116350</v>
      </c>
      <c r="I502" s="18"/>
      <c r="J502" s="18"/>
      <c r="K502" s="53">
        <f t="shared" si="35"/>
        <v>1130020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53670</v>
      </c>
      <c r="H503" s="42">
        <f>SUM(H501:H502)</f>
        <v>2826350</v>
      </c>
      <c r="I503" s="42">
        <f>SUM(I501:I502)</f>
        <v>0</v>
      </c>
      <c r="J503" s="42">
        <f>SUM(J501:J502)</f>
        <v>0</v>
      </c>
      <c r="K503" s="42">
        <f t="shared" si="35"/>
        <v>2880020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f>185864.43+289023.33+96145.85+206246.16+213595.83+365833+382348.59+426902.73+349426.42+547599.75+348719.77+276357.02+15225.64+6966.96</f>
        <v>3710255.48</v>
      </c>
      <c r="G521" s="18">
        <f>88755.62+138016.97+45912.41+98488.48+101998.16+174695.8+182582.47+203858.35+166861.18+261494.66+166523.74</f>
        <v>1629187.8399999999</v>
      </c>
      <c r="H521" s="18">
        <f>3129.66+1223.6+510392.27-7740</f>
        <v>507005.53</v>
      </c>
      <c r="I521" s="18">
        <f>985.19+510+475.23+3196.3+2992.3+3069.73+1577.37+3562.23+981.13</f>
        <v>17349.48</v>
      </c>
      <c r="J521" s="18"/>
      <c r="K521" s="18"/>
      <c r="L521" s="88">
        <f>SUM(F521:K521)</f>
        <v>5863798.330000001</v>
      </c>
      <c r="N521" s="265"/>
    </row>
    <row r="522" spans="1:14" s="52" customFormat="1" ht="12.2" customHeight="1" x14ac:dyDescent="0.2">
      <c r="A522" s="22" t="s">
        <v>634</v>
      </c>
      <c r="B522" s="105">
        <v>21</v>
      </c>
      <c r="C522" s="115">
        <v>2</v>
      </c>
      <c r="D522" s="2" t="s">
        <v>432</v>
      </c>
      <c r="E522" s="115"/>
      <c r="F522" s="18">
        <f>51021.61+27815.15+40835.94+501184.42+351961.03+75862.71+4179.59+1912.5</f>
        <v>1054772.9500000002</v>
      </c>
      <c r="G522" s="18">
        <f>24364.29+13282.54+19500.34+239330+168071.53</f>
        <v>464548.69999999995</v>
      </c>
      <c r="H522" s="18">
        <f>859.12+375+152290.34+19195.93</f>
        <v>172720.38999999998</v>
      </c>
      <c r="I522" s="18">
        <f>270.45+140+130.45+1671.1+1832.94+1703.05</f>
        <v>5747.99</v>
      </c>
      <c r="J522" s="18"/>
      <c r="K522" s="18"/>
      <c r="L522" s="88">
        <f>SUM(F522:K522)</f>
        <v>1697790.03</v>
      </c>
      <c r="N522" s="265"/>
    </row>
    <row r="523" spans="1:14" s="52" customFormat="1" ht="12.2" customHeight="1" thickBot="1" x14ac:dyDescent="0.25">
      <c r="A523" s="22" t="s">
        <v>635</v>
      </c>
      <c r="B523" s="105">
        <v>21</v>
      </c>
      <c r="C523" s="115">
        <v>3</v>
      </c>
      <c r="D523" s="2" t="s">
        <v>432</v>
      </c>
      <c r="E523" s="115"/>
      <c r="F523" s="18">
        <f>127554.02+108354.3+29587.51+1532727.82+789656.78+10448.97+4781.25</f>
        <v>2603110.6500000004</v>
      </c>
      <c r="G523" s="18">
        <f>60910.72+51742.3+14128.89+731921.69</f>
        <v>858703.6</v>
      </c>
      <c r="H523" s="18">
        <f>2147.8+18454.72+1471633.2</f>
        <v>1492235.72</v>
      </c>
      <c r="I523" s="18">
        <f>676.11+350+326.14+9722.95</f>
        <v>11075.2</v>
      </c>
      <c r="J523" s="18"/>
      <c r="K523" s="18"/>
      <c r="L523" s="88">
        <f>SUM(F523:K523)</f>
        <v>4965125.1700000009</v>
      </c>
      <c r="N523" s="265"/>
    </row>
    <row r="524" spans="1:14" s="52" customFormat="1" ht="12.2" customHeight="1" thickTop="1" x14ac:dyDescent="0.2">
      <c r="A524" s="139" t="s">
        <v>63</v>
      </c>
      <c r="B524" s="107">
        <v>21</v>
      </c>
      <c r="C524" s="195">
        <v>4</v>
      </c>
      <c r="D524" s="196" t="s">
        <v>432</v>
      </c>
      <c r="E524" s="195"/>
      <c r="F524" s="108">
        <f>SUM(F521:F523)</f>
        <v>7368139.0800000001</v>
      </c>
      <c r="G524" s="108">
        <f t="shared" ref="G524:L524" si="36">SUM(G521:G523)</f>
        <v>2952440.1399999997</v>
      </c>
      <c r="H524" s="108">
        <f t="shared" si="36"/>
        <v>2171961.64</v>
      </c>
      <c r="I524" s="108">
        <f t="shared" si="36"/>
        <v>34172.67</v>
      </c>
      <c r="J524" s="108">
        <f t="shared" si="36"/>
        <v>0</v>
      </c>
      <c r="K524" s="108">
        <f t="shared" si="36"/>
        <v>0</v>
      </c>
      <c r="L524" s="89">
        <f t="shared" si="36"/>
        <v>12526713.530000001</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f>175824.25+287945+56837.27+43654.52+60520.68+586.5+74070.85+22263.81</f>
        <v>721702.88000000012</v>
      </c>
      <c r="G526" s="18">
        <f>20846.29+27141.43+137502.03+83961.14</f>
        <v>269450.89</v>
      </c>
      <c r="H526" s="18">
        <f>12759.35+102+568806.59+19949.78</f>
        <v>601617.72</v>
      </c>
      <c r="I526" s="18">
        <f>765+8672.32+1746.91</f>
        <v>11184.23</v>
      </c>
      <c r="J526" s="18">
        <v>1274.6400000000001</v>
      </c>
      <c r="K526" s="18"/>
      <c r="L526" s="88">
        <f>SUM(F526:K526)</f>
        <v>1605230.36</v>
      </c>
      <c r="M526" s="8"/>
      <c r="N526" s="266"/>
    </row>
    <row r="527" spans="1:14" s="3" customFormat="1" ht="12.2" customHeight="1" x14ac:dyDescent="0.15">
      <c r="A527" s="22" t="s">
        <v>634</v>
      </c>
      <c r="B527" s="105">
        <v>21</v>
      </c>
      <c r="C527" s="115">
        <v>6</v>
      </c>
      <c r="D527" s="2" t="s">
        <v>432</v>
      </c>
      <c r="E527" s="115"/>
      <c r="F527" s="18">
        <f>83011.45+16613.52+161+20333.18+6111.63</f>
        <v>126230.78</v>
      </c>
      <c r="G527" s="18">
        <v>39640.36</v>
      </c>
      <c r="H527" s="18">
        <f>3502.57+28+81451.72</f>
        <v>84982.290000000008</v>
      </c>
      <c r="I527" s="18">
        <f>210+2380.64+109.95</f>
        <v>2700.5899999999997</v>
      </c>
      <c r="J527" s="18">
        <v>349</v>
      </c>
      <c r="K527" s="18"/>
      <c r="L527" s="88">
        <f>SUM(F527:K527)</f>
        <v>253903.02000000002</v>
      </c>
      <c r="M527" s="8"/>
      <c r="N527" s="266"/>
    </row>
    <row r="528" spans="1:14" s="3" customFormat="1" ht="12.2" customHeight="1" thickBot="1" x14ac:dyDescent="0.2">
      <c r="A528" s="22" t="s">
        <v>635</v>
      </c>
      <c r="B528" s="118">
        <v>21</v>
      </c>
      <c r="C528" s="118">
        <v>7</v>
      </c>
      <c r="D528" s="2" t="s">
        <v>432</v>
      </c>
      <c r="E528" s="118"/>
      <c r="F528" s="18">
        <f>84912.72+41533.8+402.5+50832.94+15279.08</f>
        <v>192961.04</v>
      </c>
      <c r="G528" s="18">
        <v>40548.269999999997</v>
      </c>
      <c r="H528" s="18">
        <f>8756.42+70+146762.79+7520.51</f>
        <v>163109.72000000003</v>
      </c>
      <c r="I528" s="18">
        <f>525+5951.59</f>
        <v>6476.59</v>
      </c>
      <c r="J528" s="18">
        <v>874.75</v>
      </c>
      <c r="K528" s="18"/>
      <c r="L528" s="88">
        <f>SUM(F528:K528)</f>
        <v>403970.37000000005</v>
      </c>
      <c r="M528" s="8"/>
      <c r="N528" s="266"/>
    </row>
    <row r="529" spans="1:14" s="3" customFormat="1" ht="12.2" customHeight="1" thickTop="1" x14ac:dyDescent="0.15">
      <c r="A529" s="139" t="s">
        <v>65</v>
      </c>
      <c r="B529" s="107">
        <v>21</v>
      </c>
      <c r="C529" s="107">
        <v>8</v>
      </c>
      <c r="D529" s="158" t="s">
        <v>432</v>
      </c>
      <c r="E529" s="107"/>
      <c r="F529" s="89">
        <f>SUM(F526:F528)</f>
        <v>1040894.7000000002</v>
      </c>
      <c r="G529" s="89">
        <f t="shared" ref="G529:L529" si="37">SUM(G526:G528)</f>
        <v>349639.52</v>
      </c>
      <c r="H529" s="89">
        <f t="shared" si="37"/>
        <v>849709.73</v>
      </c>
      <c r="I529" s="89">
        <f t="shared" si="37"/>
        <v>20361.41</v>
      </c>
      <c r="J529" s="89">
        <f t="shared" si="37"/>
        <v>2498.3900000000003</v>
      </c>
      <c r="K529" s="89">
        <f t="shared" si="37"/>
        <v>0</v>
      </c>
      <c r="L529" s="89">
        <f t="shared" si="37"/>
        <v>2263103.75</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f>18627.37+76437.99</f>
        <v>95065.36</v>
      </c>
      <c r="G531" s="18">
        <v>72550.039999999994</v>
      </c>
      <c r="H531" s="18">
        <f>20.57+2395.35</f>
        <v>2415.92</v>
      </c>
      <c r="I531" s="18">
        <v>80.52</v>
      </c>
      <c r="J531" s="18"/>
      <c r="K531" s="18">
        <f>872.1+3733.29</f>
        <v>4605.3900000000003</v>
      </c>
      <c r="L531" s="88">
        <f>SUM(F531:K531)</f>
        <v>174717.23</v>
      </c>
      <c r="M531" s="8"/>
      <c r="N531" s="266"/>
    </row>
    <row r="532" spans="1:14" s="3" customFormat="1" ht="12.2" customHeight="1" x14ac:dyDescent="0.15">
      <c r="A532" s="22" t="s">
        <v>634</v>
      </c>
      <c r="B532" s="105">
        <v>21</v>
      </c>
      <c r="C532" s="105">
        <v>10</v>
      </c>
      <c r="D532" s="2" t="s">
        <v>432</v>
      </c>
      <c r="E532" s="105"/>
      <c r="F532" s="18">
        <f>5113.4+20982.98</f>
        <v>26096.379999999997</v>
      </c>
      <c r="G532" s="18">
        <f>2441.79+10019.98</f>
        <v>12461.77</v>
      </c>
      <c r="H532" s="18">
        <f>5.65+657.55</f>
        <v>663.19999999999993</v>
      </c>
      <c r="I532" s="18">
        <v>201.3</v>
      </c>
      <c r="J532" s="18"/>
      <c r="K532" s="18">
        <f>239.4+1024.83</f>
        <v>1264.23</v>
      </c>
      <c r="L532" s="88">
        <f>SUM(F532:K532)</f>
        <v>40686.879999999997</v>
      </c>
      <c r="M532" s="8"/>
      <c r="N532" s="266"/>
    </row>
    <row r="533" spans="1:14" s="3" customFormat="1" ht="12.2" customHeight="1" thickBot="1" x14ac:dyDescent="0.2">
      <c r="A533" s="22" t="s">
        <v>635</v>
      </c>
      <c r="B533" s="105">
        <v>21</v>
      </c>
      <c r="C533" s="105">
        <v>11</v>
      </c>
      <c r="D533" s="2" t="s">
        <v>432</v>
      </c>
      <c r="E533" s="105"/>
      <c r="F533" s="18">
        <f>12783.49+52457.44+26261.25</f>
        <v>91502.18</v>
      </c>
      <c r="G533" s="18">
        <f>6104.49+25049.94+12540.5</f>
        <v>43694.93</v>
      </c>
      <c r="H533" s="18">
        <f>14.12+1643.87</f>
        <v>1657.9899999999998</v>
      </c>
      <c r="I533" s="18">
        <v>575.14</v>
      </c>
      <c r="J533" s="18"/>
      <c r="K533" s="18">
        <f>598.5+2562.06</f>
        <v>3160.56</v>
      </c>
      <c r="L533" s="88">
        <f>SUM(F533:K533)</f>
        <v>140590.79999999999</v>
      </c>
      <c r="M533" s="8"/>
      <c r="N533" s="266"/>
    </row>
    <row r="534" spans="1:14" s="3" customFormat="1" ht="12.2" customHeight="1" thickTop="1" x14ac:dyDescent="0.15">
      <c r="A534" s="139" t="s">
        <v>67</v>
      </c>
      <c r="B534" s="107">
        <v>21</v>
      </c>
      <c r="C534" s="107">
        <v>12</v>
      </c>
      <c r="D534" s="158" t="s">
        <v>432</v>
      </c>
      <c r="E534" s="107"/>
      <c r="F534" s="89">
        <f>SUM(F531:F533)</f>
        <v>212663.91999999998</v>
      </c>
      <c r="G534" s="89">
        <f t="shared" ref="G534:L534" si="38">SUM(G531:G533)</f>
        <v>128706.73999999999</v>
      </c>
      <c r="H534" s="89">
        <f t="shared" si="38"/>
        <v>4737.1099999999997</v>
      </c>
      <c r="I534" s="89">
        <f t="shared" si="38"/>
        <v>856.96</v>
      </c>
      <c r="J534" s="89">
        <f t="shared" si="38"/>
        <v>0</v>
      </c>
      <c r="K534" s="89">
        <f t="shared" si="38"/>
        <v>9030.18</v>
      </c>
      <c r="L534" s="89">
        <f t="shared" si="38"/>
        <v>355994.91000000003</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v>1868.65</v>
      </c>
      <c r="I536" s="18"/>
      <c r="J536" s="18"/>
      <c r="K536" s="18"/>
      <c r="L536" s="88">
        <f>SUM(F536:K536)</f>
        <v>1868.65</v>
      </c>
      <c r="M536" s="8"/>
      <c r="N536" s="266"/>
    </row>
    <row r="537" spans="1:14" s="3" customFormat="1" ht="12.2" customHeight="1" x14ac:dyDescent="0.15">
      <c r="A537" s="22" t="s">
        <v>634</v>
      </c>
      <c r="B537" s="105">
        <v>21</v>
      </c>
      <c r="C537" s="105">
        <v>14</v>
      </c>
      <c r="D537" s="2" t="s">
        <v>432</v>
      </c>
      <c r="E537" s="105"/>
      <c r="F537" s="18"/>
      <c r="G537" s="18"/>
      <c r="H537" s="18">
        <v>512.96</v>
      </c>
      <c r="I537" s="18"/>
      <c r="J537" s="18"/>
      <c r="K537" s="18"/>
      <c r="L537" s="88">
        <f>SUM(F537:K537)</f>
        <v>512.96</v>
      </c>
      <c r="M537" s="8"/>
      <c r="N537" s="266"/>
    </row>
    <row r="538" spans="1:14" s="3" customFormat="1" ht="12.2" customHeight="1" thickBot="1" x14ac:dyDescent="0.2">
      <c r="A538" s="22" t="s">
        <v>635</v>
      </c>
      <c r="B538" s="105">
        <v>21</v>
      </c>
      <c r="C538" s="105">
        <v>15</v>
      </c>
      <c r="D538" s="2" t="s">
        <v>432</v>
      </c>
      <c r="E538" s="105"/>
      <c r="F538" s="18"/>
      <c r="G538" s="18"/>
      <c r="H538" s="18">
        <v>1282.4000000000001</v>
      </c>
      <c r="I538" s="18"/>
      <c r="J538" s="18"/>
      <c r="K538" s="18"/>
      <c r="L538" s="88">
        <f>SUM(F538:K538)</f>
        <v>1282.4000000000001</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3664.01</v>
      </c>
      <c r="I539" s="89">
        <f t="shared" si="39"/>
        <v>0</v>
      </c>
      <c r="J539" s="89">
        <f t="shared" si="39"/>
        <v>0</v>
      </c>
      <c r="K539" s="89">
        <f t="shared" si="39"/>
        <v>0</v>
      </c>
      <c r="L539" s="89">
        <f t="shared" si="39"/>
        <v>3664.01</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v>7647.41</v>
      </c>
      <c r="G541" s="18">
        <v>3651.86</v>
      </c>
      <c r="H541" s="18">
        <v>477313.06</v>
      </c>
      <c r="I541" s="18"/>
      <c r="J541" s="18"/>
      <c r="K541" s="18"/>
      <c r="L541" s="88">
        <f>SUM(F541:K541)</f>
        <v>488612.33</v>
      </c>
      <c r="M541" s="8"/>
      <c r="N541" s="266"/>
    </row>
    <row r="542" spans="1:14" s="3" customFormat="1" ht="12.2" customHeight="1" x14ac:dyDescent="0.15">
      <c r="A542" s="22" t="s">
        <v>634</v>
      </c>
      <c r="B542" s="105">
        <v>21</v>
      </c>
      <c r="C542" s="105">
        <v>18</v>
      </c>
      <c r="D542" s="2" t="s">
        <v>432</v>
      </c>
      <c r="E542" s="105"/>
      <c r="F542" s="18">
        <v>2099.29</v>
      </c>
      <c r="G542" s="18">
        <v>1002.47</v>
      </c>
      <c r="H542" s="18">
        <v>131027.11</v>
      </c>
      <c r="I542" s="18"/>
      <c r="J542" s="18"/>
      <c r="K542" s="18"/>
      <c r="L542" s="88">
        <f>SUM(F542:K542)</f>
        <v>134128.87</v>
      </c>
      <c r="M542" s="8"/>
      <c r="N542" s="266"/>
    </row>
    <row r="543" spans="1:14" s="3" customFormat="1" ht="12.2" customHeight="1" thickBot="1" x14ac:dyDescent="0.2">
      <c r="A543" s="22" t="s">
        <v>635</v>
      </c>
      <c r="B543" s="105">
        <v>21</v>
      </c>
      <c r="C543" s="105">
        <v>19</v>
      </c>
      <c r="D543" s="2" t="s">
        <v>432</v>
      </c>
      <c r="E543" s="105"/>
      <c r="F543" s="18">
        <v>5248.22</v>
      </c>
      <c r="G543" s="18">
        <v>2506.1799999999998</v>
      </c>
      <c r="H543" s="18">
        <v>327567.78999999998</v>
      </c>
      <c r="I543" s="18"/>
      <c r="J543" s="18"/>
      <c r="K543" s="18"/>
      <c r="L543" s="88">
        <f>SUM(F543:K543)</f>
        <v>335322.19</v>
      </c>
      <c r="M543" s="8"/>
      <c r="N543" s="266"/>
    </row>
    <row r="544" spans="1:14" s="3" customFormat="1" ht="12.2" customHeight="1" thickTop="1" thickBot="1" x14ac:dyDescent="0.2">
      <c r="A544" s="130" t="s">
        <v>71</v>
      </c>
      <c r="B544" s="191">
        <v>21</v>
      </c>
      <c r="C544" s="191">
        <v>20</v>
      </c>
      <c r="D544" s="192" t="s">
        <v>432</v>
      </c>
      <c r="E544" s="191"/>
      <c r="F544" s="193">
        <f>SUM(F541:F543)</f>
        <v>14994.920000000002</v>
      </c>
      <c r="G544" s="193">
        <f t="shared" ref="G544:L544" si="40">SUM(G541:G543)</f>
        <v>7160.51</v>
      </c>
      <c r="H544" s="193">
        <f t="shared" si="40"/>
        <v>935907.96</v>
      </c>
      <c r="I544" s="193">
        <f t="shared" si="40"/>
        <v>0</v>
      </c>
      <c r="J544" s="193">
        <f t="shared" si="40"/>
        <v>0</v>
      </c>
      <c r="K544" s="193">
        <f t="shared" si="40"/>
        <v>0</v>
      </c>
      <c r="L544" s="193">
        <f t="shared" si="40"/>
        <v>958063.3899999999</v>
      </c>
      <c r="M544" s="8"/>
      <c r="N544" s="266"/>
    </row>
    <row r="545" spans="1:14" s="3" customFormat="1" ht="12.2" customHeight="1" thickTop="1" x14ac:dyDescent="0.15">
      <c r="A545" s="98" t="s">
        <v>72</v>
      </c>
      <c r="B545" s="107">
        <v>21</v>
      </c>
      <c r="C545" s="107">
        <v>21</v>
      </c>
      <c r="D545" s="158" t="s">
        <v>432</v>
      </c>
      <c r="E545" s="107"/>
      <c r="F545" s="89">
        <f>F524+F529+F534+F539+F544</f>
        <v>8636692.620000001</v>
      </c>
      <c r="G545" s="89">
        <f t="shared" ref="G545:L545" si="41">G524+G529+G534+G539+G544</f>
        <v>3437946.9099999992</v>
      </c>
      <c r="H545" s="89">
        <f t="shared" si="41"/>
        <v>3965980.4499999997</v>
      </c>
      <c r="I545" s="89">
        <f t="shared" si="41"/>
        <v>55391.040000000001</v>
      </c>
      <c r="J545" s="89">
        <f t="shared" si="41"/>
        <v>2498.3900000000003</v>
      </c>
      <c r="K545" s="89">
        <f t="shared" si="41"/>
        <v>9030.18</v>
      </c>
      <c r="L545" s="89">
        <f t="shared" si="41"/>
        <v>16107539.590000002</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5863798.330000001</v>
      </c>
      <c r="G549" s="87">
        <f>L526</f>
        <v>1605230.36</v>
      </c>
      <c r="H549" s="87">
        <f>L531</f>
        <v>174717.23</v>
      </c>
      <c r="I549" s="87">
        <f>L536</f>
        <v>1868.65</v>
      </c>
      <c r="J549" s="87">
        <f>L541</f>
        <v>488612.33</v>
      </c>
      <c r="K549" s="87">
        <f>SUM(F549:J549)</f>
        <v>8134226.9000000022</v>
      </c>
      <c r="L549" s="24" t="s">
        <v>288</v>
      </c>
      <c r="M549" s="8"/>
      <c r="N549" s="266"/>
    </row>
    <row r="550" spans="1:14" s="3" customFormat="1" ht="12.2" customHeight="1" x14ac:dyDescent="0.15">
      <c r="A550" s="22" t="s">
        <v>634</v>
      </c>
      <c r="B550" s="75">
        <v>21</v>
      </c>
      <c r="C550" s="75">
        <v>23</v>
      </c>
      <c r="D550" s="2" t="s">
        <v>432</v>
      </c>
      <c r="E550" s="75"/>
      <c r="F550" s="87">
        <f>L522</f>
        <v>1697790.03</v>
      </c>
      <c r="G550" s="87">
        <f>L527</f>
        <v>253903.02000000002</v>
      </c>
      <c r="H550" s="87">
        <f>L532</f>
        <v>40686.879999999997</v>
      </c>
      <c r="I550" s="87">
        <f>L537</f>
        <v>512.96</v>
      </c>
      <c r="J550" s="87">
        <f>L542</f>
        <v>134128.87</v>
      </c>
      <c r="K550" s="87">
        <f>SUM(F550:J550)</f>
        <v>2127021.7599999998</v>
      </c>
      <c r="L550" s="24" t="s">
        <v>288</v>
      </c>
      <c r="M550" s="8"/>
      <c r="N550" s="266"/>
    </row>
    <row r="551" spans="1:14" s="3" customFormat="1" ht="12.2" customHeight="1" thickBot="1" x14ac:dyDescent="0.2">
      <c r="A551" s="22" t="s">
        <v>635</v>
      </c>
      <c r="B551" s="75">
        <v>21</v>
      </c>
      <c r="C551" s="75">
        <v>24</v>
      </c>
      <c r="D551" s="2" t="s">
        <v>432</v>
      </c>
      <c r="E551" s="75"/>
      <c r="F551" s="87">
        <f>L523</f>
        <v>4965125.1700000009</v>
      </c>
      <c r="G551" s="87">
        <f>L528</f>
        <v>403970.37000000005</v>
      </c>
      <c r="H551" s="87">
        <f>L533</f>
        <v>140590.79999999999</v>
      </c>
      <c r="I551" s="87">
        <f>L538</f>
        <v>1282.4000000000001</v>
      </c>
      <c r="J551" s="87">
        <f>L543</f>
        <v>335322.19</v>
      </c>
      <c r="K551" s="87">
        <f>SUM(F551:J551)</f>
        <v>5846290.9300000016</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12526713.530000001</v>
      </c>
      <c r="G552" s="89">
        <f t="shared" si="42"/>
        <v>2263103.75</v>
      </c>
      <c r="H552" s="89">
        <f t="shared" si="42"/>
        <v>355994.91000000003</v>
      </c>
      <c r="I552" s="89">
        <f t="shared" si="42"/>
        <v>3664.01</v>
      </c>
      <c r="J552" s="89">
        <f t="shared" si="42"/>
        <v>958063.3899999999</v>
      </c>
      <c r="K552" s="89">
        <f t="shared" si="42"/>
        <v>16107539.590000004</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v>41889</v>
      </c>
      <c r="G562" s="18">
        <v>20003.2</v>
      </c>
      <c r="H562" s="18"/>
      <c r="I562" s="18"/>
      <c r="J562" s="18"/>
      <c r="K562" s="18"/>
      <c r="L562" s="88">
        <f>SUM(F562:K562)</f>
        <v>61892.2</v>
      </c>
      <c r="M562" s="8"/>
      <c r="N562" s="266"/>
    </row>
    <row r="563" spans="1:14" s="3" customFormat="1" ht="12.2" customHeight="1" x14ac:dyDescent="0.15">
      <c r="A563" s="22" t="s">
        <v>634</v>
      </c>
      <c r="B563" s="105">
        <v>22</v>
      </c>
      <c r="C563" s="115">
        <v>6</v>
      </c>
      <c r="D563" s="2" t="s">
        <v>432</v>
      </c>
      <c r="E563" s="115"/>
      <c r="F563" s="18">
        <v>61810</v>
      </c>
      <c r="G563" s="18">
        <v>29516.06</v>
      </c>
      <c r="H563" s="18"/>
      <c r="I563" s="18"/>
      <c r="J563" s="18"/>
      <c r="K563" s="18"/>
      <c r="L563" s="88">
        <f>SUM(F563:K563)</f>
        <v>91326.06</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103699</v>
      </c>
      <c r="G565" s="89">
        <f t="shared" si="44"/>
        <v>49519.26</v>
      </c>
      <c r="H565" s="89">
        <f t="shared" si="44"/>
        <v>0</v>
      </c>
      <c r="I565" s="89">
        <f t="shared" si="44"/>
        <v>0</v>
      </c>
      <c r="J565" s="89">
        <f t="shared" si="44"/>
        <v>0</v>
      </c>
      <c r="K565" s="89">
        <f t="shared" si="44"/>
        <v>0</v>
      </c>
      <c r="L565" s="89">
        <f t="shared" si="44"/>
        <v>153218.26</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f>72071+48772+78230+76861</f>
        <v>275934</v>
      </c>
      <c r="G567" s="18">
        <f>34415.98+23290.04+37357.08+36703.34</f>
        <v>131766.44</v>
      </c>
      <c r="H567" s="18"/>
      <c r="I567" s="18">
        <v>14057.26</v>
      </c>
      <c r="J567" s="18"/>
      <c r="K567" s="18"/>
      <c r="L567" s="88">
        <f>SUM(F567:K567)</f>
        <v>421757.7</v>
      </c>
      <c r="M567" s="8"/>
      <c r="N567" s="266"/>
    </row>
    <row r="568" spans="1:14" s="3" customFormat="1" ht="12.2" customHeight="1" x14ac:dyDescent="0.15">
      <c r="A568" s="22" t="s">
        <v>634</v>
      </c>
      <c r="B568" s="105">
        <v>22</v>
      </c>
      <c r="C568" s="105">
        <v>10</v>
      </c>
      <c r="D568" s="2" t="s">
        <v>432</v>
      </c>
      <c r="E568" s="105"/>
      <c r="F568" s="18">
        <v>75493</v>
      </c>
      <c r="G568" s="18">
        <v>36050.080000000002</v>
      </c>
      <c r="H568" s="18"/>
      <c r="I568" s="18">
        <v>3341.08</v>
      </c>
      <c r="J568" s="18"/>
      <c r="K568" s="18"/>
      <c r="L568" s="88">
        <f>SUM(F568:K568)</f>
        <v>114884.16</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351427</v>
      </c>
      <c r="G570" s="193">
        <f t="shared" ref="G570:L570" si="45">SUM(G567:G569)</f>
        <v>167816.52000000002</v>
      </c>
      <c r="H570" s="193">
        <f t="shared" si="45"/>
        <v>0</v>
      </c>
      <c r="I570" s="193">
        <f t="shared" si="45"/>
        <v>17398.34</v>
      </c>
      <c r="J570" s="193">
        <f t="shared" si="45"/>
        <v>0</v>
      </c>
      <c r="K570" s="193">
        <f t="shared" si="45"/>
        <v>0</v>
      </c>
      <c r="L570" s="193">
        <f t="shared" si="45"/>
        <v>536641.86</v>
      </c>
      <c r="M570" s="8"/>
      <c r="N570" s="266"/>
    </row>
    <row r="571" spans="1:14" s="3" customFormat="1" ht="12.2" customHeight="1" thickTop="1" x14ac:dyDescent="0.15">
      <c r="A571" s="98" t="s">
        <v>88</v>
      </c>
      <c r="B571" s="107">
        <v>22</v>
      </c>
      <c r="C571" s="107">
        <v>13</v>
      </c>
      <c r="D571" s="158" t="s">
        <v>432</v>
      </c>
      <c r="E571" s="107"/>
      <c r="F571" s="89">
        <f>F560+F565+F570</f>
        <v>455126</v>
      </c>
      <c r="G571" s="89">
        <f t="shared" ref="G571:L571" si="46">G560+G565+G570</f>
        <v>217335.78000000003</v>
      </c>
      <c r="H571" s="89">
        <f t="shared" si="46"/>
        <v>0</v>
      </c>
      <c r="I571" s="89">
        <f t="shared" si="46"/>
        <v>17398.34</v>
      </c>
      <c r="J571" s="89">
        <f t="shared" si="46"/>
        <v>0</v>
      </c>
      <c r="K571" s="89">
        <f t="shared" si="46"/>
        <v>0</v>
      </c>
      <c r="L571" s="89">
        <f t="shared" si="46"/>
        <v>689860.12</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f>356+297</f>
        <v>653</v>
      </c>
      <c r="G579" s="18"/>
      <c r="H579" s="18"/>
      <c r="I579" s="87">
        <f t="shared" si="47"/>
        <v>653</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f>474796.27-297+27500</f>
        <v>501999.27</v>
      </c>
      <c r="G582" s="18">
        <f>152290.34+19195.93</f>
        <v>171486.27</v>
      </c>
      <c r="H582" s="18">
        <v>1471633.2</v>
      </c>
      <c r="I582" s="87">
        <f t="shared" si="47"/>
        <v>2145118.7400000002</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f>51554.25+22945.36</f>
        <v>74499.61</v>
      </c>
      <c r="I584" s="87">
        <f t="shared" si="47"/>
        <v>74499.61</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f>999071.25+23650.67</f>
        <v>1022721.92</v>
      </c>
      <c r="I591" s="18">
        <f>274254.85+6492.34</f>
        <v>280747.19</v>
      </c>
      <c r="J591" s="18">
        <f>685637.13+16230.84</f>
        <v>701867.97</v>
      </c>
      <c r="K591" s="104">
        <f t="shared" ref="K591:K597" si="48">SUM(H591:J591)</f>
        <v>2005337.08</v>
      </c>
      <c r="L591" s="24" t="s">
        <v>288</v>
      </c>
      <c r="M591" s="8"/>
      <c r="N591" s="266"/>
    </row>
    <row r="592" spans="1:14" s="3" customFormat="1" ht="12.2" customHeight="1" x14ac:dyDescent="0.15">
      <c r="A592" s="3" t="s">
        <v>638</v>
      </c>
      <c r="B592" s="75">
        <v>23</v>
      </c>
      <c r="C592" s="75">
        <v>2</v>
      </c>
      <c r="D592" s="2" t="s">
        <v>432</v>
      </c>
      <c r="E592" s="75"/>
      <c r="F592" s="102">
        <v>2722</v>
      </c>
      <c r="G592" s="103" t="s">
        <v>97</v>
      </c>
      <c r="H592" s="18">
        <f>477313.06+11299.27</f>
        <v>488612.33</v>
      </c>
      <c r="I592" s="18">
        <f>131027.11+3101.76</f>
        <v>134128.87</v>
      </c>
      <c r="J592" s="18">
        <f>327567.79+7754.4</f>
        <v>335322.19</v>
      </c>
      <c r="K592" s="104">
        <f t="shared" si="48"/>
        <v>958063.3899999999</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v>13181.41</v>
      </c>
      <c r="J594" s="18">
        <v>104378.12</v>
      </c>
      <c r="K594" s="104">
        <f t="shared" si="48"/>
        <v>117559.53</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c r="I595" s="18">
        <v>4500</v>
      </c>
      <c r="J595" s="18">
        <f>13022.25+390</f>
        <v>13412.25</v>
      </c>
      <c r="K595" s="104">
        <f t="shared" si="48"/>
        <v>17912.25</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1511334.25</v>
      </c>
      <c r="I598" s="108">
        <f>SUM(I591:I597)</f>
        <v>432557.47</v>
      </c>
      <c r="J598" s="108">
        <f>SUM(J591:J597)</f>
        <v>1154980.5299999998</v>
      </c>
      <c r="K598" s="108">
        <f>SUM(K591:K597)</f>
        <v>3098872.2499999995</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200802.86</v>
      </c>
      <c r="I604" s="18">
        <v>45244.77</v>
      </c>
      <c r="J604" s="18">
        <v>172088.02</v>
      </c>
      <c r="K604" s="104">
        <f>SUM(H604:J604)</f>
        <v>418135.64999999997</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200802.86</v>
      </c>
      <c r="I605" s="108">
        <f>SUM(I602:I604)</f>
        <v>45244.77</v>
      </c>
      <c r="J605" s="108">
        <f>SUM(J602:J604)</f>
        <v>172088.02</v>
      </c>
      <c r="K605" s="108">
        <f>SUM(K602:K604)</f>
        <v>418135.64999999997</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v>4663.04</v>
      </c>
      <c r="G612" s="18">
        <v>2226.7399999999998</v>
      </c>
      <c r="H612" s="18"/>
      <c r="I612" s="18"/>
      <c r="J612" s="18"/>
      <c r="K612" s="18"/>
      <c r="L612" s="88">
        <f>SUM(F612:K612)</f>
        <v>6889.78</v>
      </c>
      <c r="M612" s="8"/>
      <c r="N612" s="266"/>
    </row>
    <row r="613" spans="1:14" s="3" customFormat="1" ht="12.2" customHeight="1" thickBot="1" x14ac:dyDescent="0.2">
      <c r="A613" s="22" t="s">
        <v>645</v>
      </c>
      <c r="B613" s="75">
        <v>23</v>
      </c>
      <c r="C613" s="75">
        <v>15</v>
      </c>
      <c r="D613" s="2" t="s">
        <v>432</v>
      </c>
      <c r="E613" s="75"/>
      <c r="F613" s="18">
        <v>78781.83</v>
      </c>
      <c r="G613" s="18">
        <v>37620.589999999997</v>
      </c>
      <c r="H613" s="18"/>
      <c r="I613" s="18"/>
      <c r="J613" s="18"/>
      <c r="K613" s="18"/>
      <c r="L613" s="88">
        <f>SUM(F613:K613)</f>
        <v>116402.42</v>
      </c>
      <c r="M613" s="8"/>
      <c r="N613" s="266"/>
    </row>
    <row r="614" spans="1:14" s="3" customFormat="1" ht="12.2" customHeight="1" thickTop="1" x14ac:dyDescent="0.15">
      <c r="A614" s="98" t="s">
        <v>340</v>
      </c>
      <c r="B614" s="107">
        <v>23</v>
      </c>
      <c r="C614" s="107">
        <v>16</v>
      </c>
      <c r="D614" s="39" t="s">
        <v>432</v>
      </c>
      <c r="E614" s="107"/>
      <c r="F614" s="108">
        <f t="shared" ref="F614:L614" si="49">SUM(F611:F613)</f>
        <v>83444.87</v>
      </c>
      <c r="G614" s="108">
        <f t="shared" si="49"/>
        <v>39847.329999999994</v>
      </c>
      <c r="H614" s="108">
        <f t="shared" si="49"/>
        <v>0</v>
      </c>
      <c r="I614" s="108">
        <f t="shared" si="49"/>
        <v>0</v>
      </c>
      <c r="J614" s="108">
        <f t="shared" si="49"/>
        <v>0</v>
      </c>
      <c r="K614" s="108">
        <f t="shared" si="49"/>
        <v>0</v>
      </c>
      <c r="L614" s="89">
        <f t="shared" si="49"/>
        <v>123292.2</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8344270.9299999997</v>
      </c>
      <c r="H617" s="109">
        <f>SUM(F52)</f>
        <v>8344270.9299999997</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533272.37</v>
      </c>
      <c r="H618" s="109">
        <f>SUM(G52)</f>
        <v>533272.37</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337575.05000000005</v>
      </c>
      <c r="H619" s="109">
        <f>SUM(H52)</f>
        <v>337575.05</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0</v>
      </c>
      <c r="H621" s="109">
        <f>SUM(J52)</f>
        <v>0</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4098629.26</v>
      </c>
      <c r="H622" s="109">
        <f>F476</f>
        <v>4098629.2600000054</v>
      </c>
      <c r="I622" s="121" t="s">
        <v>101</v>
      </c>
      <c r="J622" s="109">
        <f t="shared" ref="J622:J655" si="50">G622-H622</f>
        <v>-5.5879354476928711E-9</v>
      </c>
      <c r="K622" s="109"/>
      <c r="L622" s="109"/>
      <c r="M622" s="8"/>
    </row>
    <row r="623" spans="1:14" s="3" customFormat="1" ht="12.2" customHeight="1" x14ac:dyDescent="0.15">
      <c r="A623" s="97"/>
      <c r="B623" s="105"/>
      <c r="C623" s="119"/>
      <c r="D623" s="119"/>
      <c r="E623" s="119"/>
      <c r="F623" s="119" t="s">
        <v>866</v>
      </c>
      <c r="G623" s="109">
        <f>G51</f>
        <v>432505.08</v>
      </c>
      <c r="H623" s="109">
        <f>G476</f>
        <v>432505.07999999984</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0</v>
      </c>
      <c r="H626" s="109">
        <f>J476</f>
        <v>0</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67875685.969999999</v>
      </c>
      <c r="H627" s="104">
        <f>SUM(F468)</f>
        <v>67875685.969999999</v>
      </c>
      <c r="I627" s="140" t="s">
        <v>106</v>
      </c>
      <c r="J627" s="109">
        <f>G627-H627</f>
        <v>0</v>
      </c>
      <c r="K627" s="85"/>
      <c r="L627" s="88"/>
      <c r="M627" s="8"/>
    </row>
    <row r="628" spans="1:13" s="3" customFormat="1" ht="12.2" customHeight="1" x14ac:dyDescent="0.15">
      <c r="A628" s="22"/>
      <c r="B628" s="105"/>
      <c r="C628" s="105"/>
      <c r="D628" s="105"/>
      <c r="E628" s="105"/>
      <c r="F628" s="120" t="s">
        <v>659</v>
      </c>
      <c r="G628" s="109">
        <f>G193</f>
        <v>1805025.7200000002</v>
      </c>
      <c r="H628" s="104">
        <f>SUM(G468)</f>
        <v>1805025.72</v>
      </c>
      <c r="I628" s="140" t="s">
        <v>107</v>
      </c>
      <c r="J628" s="109">
        <f>G628-H628</f>
        <v>0</v>
      </c>
      <c r="K628" s="85"/>
      <c r="L628" s="88"/>
      <c r="M628" s="8"/>
    </row>
    <row r="629" spans="1:13" s="3" customFormat="1" ht="12.2" customHeight="1" x14ac:dyDescent="0.15">
      <c r="A629" s="22"/>
      <c r="B629" s="105"/>
      <c r="C629" s="105"/>
      <c r="D629" s="105"/>
      <c r="E629" s="105"/>
      <c r="F629" s="120" t="s">
        <v>660</v>
      </c>
      <c r="G629" s="109">
        <f>H193</f>
        <v>1324384.46</v>
      </c>
      <c r="H629" s="104">
        <f>SUM(H468)</f>
        <v>1324384.46</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0</v>
      </c>
      <c r="H631" s="104">
        <f>SUM(J468)</f>
        <v>0</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68113729.640000015</v>
      </c>
      <c r="H632" s="104">
        <f>SUM(F472)</f>
        <v>68113729.640000001</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1324384.4599999997</v>
      </c>
      <c r="H633" s="104">
        <f>SUM(H472)</f>
        <v>1324384.46</v>
      </c>
      <c r="I633" s="140" t="s">
        <v>112</v>
      </c>
      <c r="J633" s="109">
        <f>G633-H633</f>
        <v>0</v>
      </c>
      <c r="K633" s="85"/>
      <c r="L633" s="88"/>
      <c r="M633" s="8"/>
    </row>
    <row r="634" spans="1:13" s="3" customFormat="1" ht="12.2" customHeight="1" x14ac:dyDescent="0.15">
      <c r="A634" s="22"/>
      <c r="B634" s="105"/>
      <c r="C634" s="105"/>
      <c r="D634" s="105"/>
      <c r="E634" s="105"/>
      <c r="F634" s="142" t="s">
        <v>247</v>
      </c>
      <c r="G634" s="109">
        <f>I362</f>
        <v>968002.34999999986</v>
      </c>
      <c r="H634" s="104">
        <f>I369</f>
        <v>968002.35000000009</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1927274.6800000002</v>
      </c>
      <c r="H635" s="104">
        <f>SUM(G472)</f>
        <v>1927274.68</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0</v>
      </c>
      <c r="H637" s="164">
        <f>SUM(J468)</f>
        <v>0</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491153.01</v>
      </c>
      <c r="H638" s="164">
        <f>SUM(J472)</f>
        <v>491153.01</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0</v>
      </c>
      <c r="H640" s="104">
        <f>SUM(G461)</f>
        <v>0</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0</v>
      </c>
      <c r="H642" s="104">
        <f>SUM(I461)</f>
        <v>0</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0</v>
      </c>
      <c r="H644" s="104">
        <f>H408</f>
        <v>0</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0</v>
      </c>
      <c r="H645" s="104">
        <f>G408</f>
        <v>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0</v>
      </c>
      <c r="H646" s="104">
        <f>L408</f>
        <v>0</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3098872.2499999995</v>
      </c>
      <c r="H647" s="104">
        <f>L208+L226+L244</f>
        <v>3098872.25</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418135.64999999997</v>
      </c>
      <c r="H648" s="104">
        <f>(J257+J338)-(J255+J336)</f>
        <v>418135.64999999997</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1511334.25</v>
      </c>
      <c r="H649" s="104">
        <f>H598</f>
        <v>1511334.25</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432557.47</v>
      </c>
      <c r="H650" s="104">
        <f>I598</f>
        <v>432557.47</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1154980.53</v>
      </c>
      <c r="H651" s="104">
        <f>J598</f>
        <v>1154980.5299999998</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0</v>
      </c>
      <c r="H655" s="104">
        <f>K266+K347</f>
        <v>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33029013.730000004</v>
      </c>
      <c r="G660" s="19">
        <f>(L229+L309+L359)</f>
        <v>10798043.48</v>
      </c>
      <c r="H660" s="19">
        <f>(L247+L328+L360)</f>
        <v>24109982.859999999</v>
      </c>
      <c r="I660" s="19">
        <f>SUM(F660:H660)</f>
        <v>67937040.070000008</v>
      </c>
      <c r="J660" s="13"/>
      <c r="K660" s="13"/>
      <c r="L660" s="13"/>
      <c r="M660" s="9"/>
    </row>
    <row r="661" spans="1:13" s="3" customFormat="1" ht="12.2" customHeight="1" x14ac:dyDescent="0.2">
      <c r="A661" s="1" t="s">
        <v>127</v>
      </c>
      <c r="F661" s="19">
        <f>(L358/IF(SUM(L358:L360)=0,1,SUM(L358:L360))*(SUM(G97:G110)))</f>
        <v>784477.55443201226</v>
      </c>
      <c r="G661" s="19">
        <f>(L359/IF(SUM(L358:L360)=0,1,SUM(L358:L360))*(SUM(G97:G110)))</f>
        <v>260193.75610422026</v>
      </c>
      <c r="H661" s="19">
        <f>(L360/IF(SUM(L358:L360)=0,1,SUM(L358:L360))*(SUM(G97:G110)))</f>
        <v>532566.52946376731</v>
      </c>
      <c r="I661" s="19">
        <f>SUM(F661:H661)</f>
        <v>1577237.8399999999</v>
      </c>
      <c r="J661"/>
      <c r="K661" s="13"/>
      <c r="L661" s="13"/>
      <c r="M661" s="9"/>
    </row>
    <row r="662" spans="1:13" s="3" customFormat="1" ht="12.2" customHeight="1" x14ac:dyDescent="0.2">
      <c r="A662" s="1" t="s">
        <v>128</v>
      </c>
      <c r="F662" s="19">
        <f>(L208+L287)-(J208+J287)</f>
        <v>1512378.11</v>
      </c>
      <c r="G662" s="19">
        <f>(L226+L306)-(J226+J306)</f>
        <v>432844.01999999996</v>
      </c>
      <c r="H662" s="19">
        <f>(L244+L325)-(J244+J325)</f>
        <v>1155696.9000000001</v>
      </c>
      <c r="I662" s="19">
        <f>SUM(F662:H662)</f>
        <v>3100919.0300000003</v>
      </c>
      <c r="J662"/>
      <c r="K662" s="13"/>
      <c r="L662" s="13"/>
      <c r="M662" s="8"/>
    </row>
    <row r="663" spans="1:13" s="3" customFormat="1" ht="12.2" customHeight="1" x14ac:dyDescent="0.15">
      <c r="A663" s="198" t="s">
        <v>129</v>
      </c>
      <c r="B663" s="169"/>
      <c r="C663" s="169"/>
      <c r="D663" s="169"/>
      <c r="E663" s="169"/>
      <c r="F663" s="199">
        <f>SUM(F575:F587)+SUM(H602:H604)+SUM(L611)</f>
        <v>703455.13</v>
      </c>
      <c r="G663" s="199">
        <f>SUM(G575:G587)+SUM(I602:I604)+L612</f>
        <v>223620.81999999998</v>
      </c>
      <c r="H663" s="199">
        <f>SUM(H575:H587)+SUM(J602:J604)+L613</f>
        <v>1834623.25</v>
      </c>
      <c r="I663" s="19">
        <f>SUM(F663:H663)</f>
        <v>2761699.2</v>
      </c>
      <c r="J663" s="13"/>
      <c r="K663" s="13"/>
      <c r="L663" s="13"/>
      <c r="M663" s="9"/>
    </row>
    <row r="664" spans="1:13" s="3" customFormat="1" ht="12.2" customHeight="1" x14ac:dyDescent="0.15">
      <c r="A664" s="1" t="s">
        <v>130</v>
      </c>
      <c r="F664" s="19">
        <f>F660-SUM(F661:F663)</f>
        <v>30028702.93556799</v>
      </c>
      <c r="G664" s="19">
        <f>G660-SUM(G661:G663)</f>
        <v>9881384.8838957809</v>
      </c>
      <c r="H664" s="19">
        <f>H660-SUM(H661:H663)</f>
        <v>20587096.180536233</v>
      </c>
      <c r="I664" s="19">
        <f>I660-SUM(I661:I663)</f>
        <v>60497184.000000007</v>
      </c>
      <c r="J664" s="13"/>
      <c r="K664" s="13"/>
      <c r="L664" s="13"/>
      <c r="M664" s="9"/>
    </row>
    <row r="665" spans="1:13" s="3" customFormat="1" ht="12.2" customHeight="1" x14ac:dyDescent="0.2">
      <c r="A665" s="1" t="s">
        <v>131</v>
      </c>
      <c r="F665" s="246">
        <v>2119.4</v>
      </c>
      <c r="G665" s="247">
        <v>733.95</v>
      </c>
      <c r="H665" s="247">
        <v>1518.42</v>
      </c>
      <c r="I665" s="19">
        <f>SUM(F665:H665)</f>
        <v>4371.7700000000004</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14168.49</v>
      </c>
      <c r="G667" s="19">
        <f>ROUND(G664/G665,2)</f>
        <v>13463.29</v>
      </c>
      <c r="H667" s="19">
        <f>ROUND(H664/H665,2)</f>
        <v>13558.24</v>
      </c>
      <c r="I667" s="19">
        <f>ROUND(I664/I665,2)</f>
        <v>13838.14</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-20.11</v>
      </c>
      <c r="I670" s="19">
        <f>SUM(F670:H670)</f>
        <v>-20.11</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14168.49</v>
      </c>
      <c r="G672" s="19">
        <f>ROUND((G664+G669)/(G665+G670),2)</f>
        <v>13463.29</v>
      </c>
      <c r="H672" s="19">
        <f>ROUND((H664+H669)/(H665+H670),2)</f>
        <v>13740.21</v>
      </c>
      <c r="I672" s="19">
        <f>ROUND((I664+I669)/(I665+I670),2)</f>
        <v>13902.09</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12" priority="3" stopIfTrue="1" operator="notEqual">
      <formula>0</formula>
    </cfRule>
  </conditionalFormatting>
  <conditionalFormatting sqref="J617:J655">
    <cfRule type="cellIs" dxfId="11" priority="1" operator="lessThan">
      <formula>0</formula>
    </cfRule>
    <cfRule type="cellIs" dxfId="10"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zoomScale="138" zoomScaleNormal="138" workbookViewId="0">
      <selection activeCell="F583" sqref="F583"/>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Bedford School District</v>
      </c>
      <c r="C1" s="238" t="s">
        <v>824</v>
      </c>
    </row>
    <row r="2" spans="1:3" x14ac:dyDescent="0.2">
      <c r="A2" s="233"/>
      <c r="B2" s="232"/>
    </row>
    <row r="3" spans="1:3" x14ac:dyDescent="0.2">
      <c r="A3" s="330" t="s">
        <v>780</v>
      </c>
      <c r="B3" s="330"/>
      <c r="C3" s="330"/>
    </row>
    <row r="4" spans="1:3" x14ac:dyDescent="0.2">
      <c r="A4" s="236"/>
      <c r="B4" s="237" t="str">
        <f>'DOE25'!H1</f>
        <v>DOE 25  2018-2019</v>
      </c>
      <c r="C4" s="236"/>
    </row>
    <row r="5" spans="1:3" x14ac:dyDescent="0.2">
      <c r="A5" s="233"/>
      <c r="B5" s="232"/>
    </row>
    <row r="6" spans="1:3" x14ac:dyDescent="0.2">
      <c r="A6" s="227"/>
      <c r="B6" s="329" t="s">
        <v>779</v>
      </c>
      <c r="C6" s="329"/>
    </row>
    <row r="7" spans="1:3" x14ac:dyDescent="0.2">
      <c r="A7" s="239" t="s">
        <v>782</v>
      </c>
      <c r="B7" s="327" t="s">
        <v>778</v>
      </c>
      <c r="C7" s="328"/>
    </row>
    <row r="8" spans="1:3" x14ac:dyDescent="0.2">
      <c r="B8" s="228" t="s">
        <v>54</v>
      </c>
      <c r="C8" s="228" t="s">
        <v>772</v>
      </c>
    </row>
    <row r="9" spans="1:3" x14ac:dyDescent="0.2">
      <c r="A9" s="33" t="s">
        <v>773</v>
      </c>
      <c r="B9" s="229">
        <f>'DOE25'!F197+'DOE25'!F215+'DOE25'!F233+'DOE25'!F276+'DOE25'!F295+'DOE25'!F314</f>
        <v>19351062.899999999</v>
      </c>
      <c r="C9" s="229">
        <f>'DOE25'!G197+'DOE25'!G215+'DOE25'!G233+'DOE25'!G276+'DOE25'!G295+'DOE25'!G314</f>
        <v>9177647.8200000003</v>
      </c>
    </row>
    <row r="10" spans="1:3" x14ac:dyDescent="0.2">
      <c r="A10" t="s">
        <v>775</v>
      </c>
      <c r="B10" s="240">
        <f>52964.41+18412546.66+0.03</f>
        <v>18465511.100000001</v>
      </c>
      <c r="C10" s="240">
        <f>306.72+8792521.44</f>
        <v>8792828.1600000001</v>
      </c>
    </row>
    <row r="11" spans="1:3" x14ac:dyDescent="0.2">
      <c r="A11" t="s">
        <v>776</v>
      </c>
      <c r="B11" s="240">
        <f>94897.72+557941.1</f>
        <v>652838.81999999995</v>
      </c>
      <c r="C11" s="240">
        <f>7259.56+266432.95</f>
        <v>273692.51</v>
      </c>
    </row>
    <row r="12" spans="1:3" x14ac:dyDescent="0.2">
      <c r="A12" t="s">
        <v>777</v>
      </c>
      <c r="B12" s="240">
        <v>232712.98</v>
      </c>
      <c r="C12" s="240">
        <v>111127.15</v>
      </c>
    </row>
    <row r="13" spans="1:3" x14ac:dyDescent="0.2">
      <c r="A13" t="str">
        <f>IF(B9=B13,IF(C9=C13,"Check Total OK","Check Total Error"),"Check Total Error")</f>
        <v>Check Total OK</v>
      </c>
      <c r="B13" s="231">
        <f>SUM(B10:B12)</f>
        <v>19351062.900000002</v>
      </c>
      <c r="C13" s="231">
        <f>SUM(C10:C12)</f>
        <v>9177647.8200000003</v>
      </c>
    </row>
    <row r="14" spans="1:3" x14ac:dyDescent="0.2">
      <c r="B14" s="230"/>
      <c r="C14" s="230"/>
    </row>
    <row r="15" spans="1:3" x14ac:dyDescent="0.2">
      <c r="B15" s="329" t="s">
        <v>779</v>
      </c>
      <c r="C15" s="329"/>
    </row>
    <row r="16" spans="1:3" x14ac:dyDescent="0.2">
      <c r="A16" s="239" t="s">
        <v>783</v>
      </c>
      <c r="B16" s="327" t="s">
        <v>703</v>
      </c>
      <c r="C16" s="328"/>
    </row>
    <row r="17" spans="1:3" x14ac:dyDescent="0.2">
      <c r="B17" s="228" t="s">
        <v>54</v>
      </c>
      <c r="C17" s="228" t="s">
        <v>772</v>
      </c>
    </row>
    <row r="18" spans="1:3" x14ac:dyDescent="0.2">
      <c r="A18" s="33" t="s">
        <v>773</v>
      </c>
      <c r="B18" s="229">
        <f>'DOE25'!F198+'DOE25'!F216+'DOE25'!F234+'DOE25'!F277+'DOE25'!F296+'DOE25'!F315</f>
        <v>7127842.6100000003</v>
      </c>
      <c r="C18" s="229">
        <f>'DOE25'!G198+'DOE25'!G216+'DOE25'!G234+'DOE25'!G277+'DOE25'!G296+'DOE25'!G315</f>
        <v>3120256.64</v>
      </c>
    </row>
    <row r="19" spans="1:3" x14ac:dyDescent="0.2">
      <c r="A19" t="s">
        <v>775</v>
      </c>
      <c r="B19" s="240">
        <f>550153.05+3767429.93</f>
        <v>4317582.9800000004</v>
      </c>
      <c r="C19" s="240">
        <v>1799056.33</v>
      </c>
    </row>
    <row r="20" spans="1:3" x14ac:dyDescent="0.2">
      <c r="A20" t="s">
        <v>776</v>
      </c>
      <c r="B20" s="240">
        <f>43514.9+2766744.73</f>
        <v>2810259.63</v>
      </c>
      <c r="C20" s="240">
        <v>1321200.31</v>
      </c>
    </row>
    <row r="21" spans="1:3" x14ac:dyDescent="0.2">
      <c r="A21" t="s">
        <v>777</v>
      </c>
      <c r="B21" s="240"/>
      <c r="C21" s="240"/>
    </row>
    <row r="22" spans="1:3" x14ac:dyDescent="0.2">
      <c r="A22" t="str">
        <f>IF(B18=B22,IF(C18=C22,"Check Total OK","Check Total Error"),"Check Total Error")</f>
        <v>Check Total OK</v>
      </c>
      <c r="B22" s="231">
        <f>SUM(B19:B21)</f>
        <v>7127842.6100000003</v>
      </c>
      <c r="C22" s="231">
        <f>SUM(C19:C21)</f>
        <v>3120256.64</v>
      </c>
    </row>
    <row r="23" spans="1:3" x14ac:dyDescent="0.2">
      <c r="B23" s="230"/>
      <c r="C23" s="230"/>
    </row>
    <row r="24" spans="1:3" x14ac:dyDescent="0.2">
      <c r="B24" s="329" t="s">
        <v>779</v>
      </c>
      <c r="C24" s="329"/>
    </row>
    <row r="25" spans="1:3" x14ac:dyDescent="0.2">
      <c r="A25" s="239" t="s">
        <v>784</v>
      </c>
      <c r="B25" s="327" t="s">
        <v>704</v>
      </c>
      <c r="C25" s="328"/>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9" t="s">
        <v>779</v>
      </c>
      <c r="C33" s="329"/>
    </row>
    <row r="34" spans="1:3" x14ac:dyDescent="0.2">
      <c r="A34" s="239" t="s">
        <v>785</v>
      </c>
      <c r="B34" s="327" t="s">
        <v>705</v>
      </c>
      <c r="C34" s="328"/>
    </row>
    <row r="35" spans="1:3" x14ac:dyDescent="0.2">
      <c r="B35" s="228" t="s">
        <v>54</v>
      </c>
      <c r="C35" s="228" t="s">
        <v>772</v>
      </c>
    </row>
    <row r="36" spans="1:3" x14ac:dyDescent="0.2">
      <c r="A36" s="33" t="s">
        <v>773</v>
      </c>
      <c r="B36" s="235">
        <f>'DOE25'!F200+'DOE25'!F218+'DOE25'!F236+'DOE25'!F279+'DOE25'!F298+'DOE25'!F317</f>
        <v>750256.97</v>
      </c>
      <c r="C36" s="235">
        <f>'DOE25'!G200+'DOE25'!G218+'DOE25'!G236+'DOE25'!G279+'DOE25'!G298+'DOE25'!G317</f>
        <v>358269.31999999995</v>
      </c>
    </row>
    <row r="37" spans="1:3" x14ac:dyDescent="0.2">
      <c r="A37" t="s">
        <v>775</v>
      </c>
      <c r="B37" s="240">
        <v>651179.6</v>
      </c>
      <c r="C37" s="240">
        <v>310957.02</v>
      </c>
    </row>
    <row r="38" spans="1:3" x14ac:dyDescent="0.2">
      <c r="A38" t="s">
        <v>776</v>
      </c>
      <c r="B38" s="240"/>
      <c r="C38" s="240"/>
    </row>
    <row r="39" spans="1:3" x14ac:dyDescent="0.2">
      <c r="A39" t="s">
        <v>777</v>
      </c>
      <c r="B39" s="240">
        <v>99077.37</v>
      </c>
      <c r="C39" s="240">
        <v>47312.3</v>
      </c>
    </row>
    <row r="40" spans="1:3" x14ac:dyDescent="0.2">
      <c r="A40" t="str">
        <f>IF(B36=B40,IF(C36=C40,"Check Total OK","Check Total Error"),"Check Total Error")</f>
        <v>Check Total OK</v>
      </c>
      <c r="B40" s="231">
        <f>SUM(B37:B39)</f>
        <v>750256.97</v>
      </c>
      <c r="C40" s="231">
        <f>SUM(C37:C39)</f>
        <v>358269.32</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9"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583" sqref="F583"/>
      <selection pane="bottomLeft" activeCell="F583" sqref="F583"/>
    </sheetView>
  </sheetViews>
  <sheetFormatPr defaultRowHeight="11.25" x14ac:dyDescent="0.2"/>
  <cols>
    <col min="1" max="1" width="10.83203125" customWidth="1"/>
    <col min="2" max="2" width="41.1640625" customWidth="1"/>
    <col min="3" max="3" width="13.5" bestFit="1" customWidth="1"/>
    <col min="4" max="5" width="17.83203125" customWidth="1"/>
    <col min="6" max="6" width="21.33203125" customWidth="1"/>
    <col min="7" max="7" width="15.5" customWidth="1"/>
    <col min="8" max="8" width="12.83203125" customWidth="1"/>
    <col min="9" max="9" width="13.6640625" customWidth="1"/>
  </cols>
  <sheetData>
    <row r="1" spans="1:9" x14ac:dyDescent="0.2">
      <c r="A1" s="329" t="s">
        <v>894</v>
      </c>
      <c r="B1" s="333"/>
      <c r="C1" s="333"/>
      <c r="D1" s="333"/>
      <c r="E1" s="333"/>
      <c r="F1" s="333"/>
      <c r="G1" s="333"/>
      <c r="H1" s="333"/>
      <c r="I1" s="181"/>
    </row>
    <row r="2" spans="1:9" x14ac:dyDescent="0.2">
      <c r="A2" s="33" t="s">
        <v>713</v>
      </c>
      <c r="B2" s="260" t="str">
        <f>'DOE25'!A2</f>
        <v>Bedford School District</v>
      </c>
      <c r="C2" s="278"/>
      <c r="D2" s="181" t="s">
        <v>787</v>
      </c>
      <c r="E2" s="181" t="s">
        <v>789</v>
      </c>
      <c r="F2" s="331" t="s">
        <v>893</v>
      </c>
      <c r="G2" s="332"/>
      <c r="H2" s="332"/>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42745844.620000005</v>
      </c>
      <c r="D5" s="20">
        <f>SUM('DOE25'!L197:L200)+SUM('DOE25'!L215:L218)+SUM('DOE25'!L233:L236)-F5-G5-H5</f>
        <v>42538383.000000007</v>
      </c>
      <c r="E5" s="243"/>
      <c r="F5" s="244"/>
      <c r="G5" s="53">
        <f>SUM('DOE25'!J197:J200)+SUM('DOE25'!J215:J218)+SUM('DOE25'!J233:J236)</f>
        <v>109670.19</v>
      </c>
      <c r="H5" s="53">
        <f>SUM('DOE25'!K197:K200)+SUM('DOE25'!K215:K218)+SUM('DOE25'!K233:K236)</f>
        <v>97791.43</v>
      </c>
      <c r="I5" s="256"/>
    </row>
    <row r="6" spans="1:9" x14ac:dyDescent="0.2">
      <c r="A6" s="32">
        <v>2100</v>
      </c>
      <c r="B6" t="s">
        <v>796</v>
      </c>
      <c r="C6" s="276">
        <f t="shared" si="0"/>
        <v>4347646.93</v>
      </c>
      <c r="D6" s="20">
        <f>'DOE25'!L202+'DOE25'!L220+'DOE25'!L238-F6-G6-H6</f>
        <v>4347646.93</v>
      </c>
      <c r="E6" s="243"/>
      <c r="F6" s="244"/>
      <c r="G6" s="53">
        <f>'DOE25'!J202+'DOE25'!J220+'DOE25'!J238</f>
        <v>0</v>
      </c>
      <c r="H6" s="53">
        <f>'DOE25'!K202+'DOE25'!K220+'DOE25'!K238</f>
        <v>0</v>
      </c>
      <c r="I6" s="256"/>
    </row>
    <row r="7" spans="1:9" x14ac:dyDescent="0.2">
      <c r="A7" s="32">
        <v>2200</v>
      </c>
      <c r="B7" t="s">
        <v>821</v>
      </c>
      <c r="C7" s="276">
        <f t="shared" si="0"/>
        <v>1600395.01</v>
      </c>
      <c r="D7" s="20">
        <f>'DOE25'!L203+'DOE25'!L221+'DOE25'!L239-F7-G7-H7</f>
        <v>1290211.71</v>
      </c>
      <c r="E7" s="243"/>
      <c r="F7" s="244"/>
      <c r="G7" s="53">
        <f>'DOE25'!J203+'DOE25'!J221+'DOE25'!J239</f>
        <v>251228.31</v>
      </c>
      <c r="H7" s="53">
        <f>'DOE25'!K203+'DOE25'!K221+'DOE25'!K239</f>
        <v>58954.990000000005</v>
      </c>
      <c r="I7" s="256"/>
    </row>
    <row r="8" spans="1:9" x14ac:dyDescent="0.2">
      <c r="A8" s="32">
        <v>2300</v>
      </c>
      <c r="B8" t="s">
        <v>797</v>
      </c>
      <c r="C8" s="276">
        <f t="shared" si="0"/>
        <v>1636715.8399999999</v>
      </c>
      <c r="D8" s="243"/>
      <c r="E8" s="20">
        <f>'DOE25'!L204+'DOE25'!L222+'DOE25'!L240-F8-G8-H8-D9-D11</f>
        <v>1591935.8399999999</v>
      </c>
      <c r="F8" s="244"/>
      <c r="G8" s="53">
        <f>'DOE25'!J204+'DOE25'!J222+'DOE25'!J240</f>
        <v>14503.630000000001</v>
      </c>
      <c r="H8" s="53">
        <f>'DOE25'!K204+'DOE25'!K222+'DOE25'!K240</f>
        <v>30276.37</v>
      </c>
      <c r="I8" s="256"/>
    </row>
    <row r="9" spans="1:9" ht="14.25" x14ac:dyDescent="0.2">
      <c r="A9" s="32">
        <v>2310</v>
      </c>
      <c r="B9" s="185" t="s">
        <v>890</v>
      </c>
      <c r="C9" s="276">
        <f t="shared" si="0"/>
        <v>0</v>
      </c>
      <c r="D9" s="244"/>
      <c r="E9" s="243"/>
      <c r="F9" s="253"/>
      <c r="G9" s="253"/>
      <c r="H9" s="253"/>
      <c r="I9" s="256"/>
    </row>
    <row r="10" spans="1:9" ht="14.25" x14ac:dyDescent="0.2">
      <c r="A10" s="32">
        <v>2317</v>
      </c>
      <c r="B10" s="185" t="s">
        <v>891</v>
      </c>
      <c r="C10" s="276">
        <f t="shared" si="0"/>
        <v>0</v>
      </c>
      <c r="D10" s="243"/>
      <c r="E10" s="244"/>
      <c r="F10" s="253"/>
      <c r="G10" s="253"/>
      <c r="H10" s="253"/>
      <c r="I10" s="256"/>
    </row>
    <row r="11" spans="1:9" ht="14.25" x14ac:dyDescent="0.2">
      <c r="A11" s="32">
        <v>2321</v>
      </c>
      <c r="B11" s="185" t="s">
        <v>892</v>
      </c>
      <c r="C11" s="276">
        <f t="shared" si="0"/>
        <v>0</v>
      </c>
      <c r="D11" s="244"/>
      <c r="E11" s="243"/>
      <c r="F11" s="253"/>
      <c r="G11" s="253"/>
      <c r="H11" s="253"/>
      <c r="I11" s="256"/>
    </row>
    <row r="12" spans="1:9" x14ac:dyDescent="0.2">
      <c r="A12" s="32">
        <v>2400</v>
      </c>
      <c r="B12" t="s">
        <v>711</v>
      </c>
      <c r="C12" s="276">
        <f t="shared" si="0"/>
        <v>4888788.6999999993</v>
      </c>
      <c r="D12" s="20">
        <f>'DOE25'!L205+'DOE25'!L223+'DOE25'!L241-F12-G12-H12</f>
        <v>4840754.0299999993</v>
      </c>
      <c r="E12" s="243"/>
      <c r="F12" s="244"/>
      <c r="G12" s="53">
        <f>'DOE25'!J205+'DOE25'!J223+'DOE25'!J241</f>
        <v>5994.51</v>
      </c>
      <c r="H12" s="53">
        <f>'DOE25'!K205+'DOE25'!K223+'DOE25'!K241</f>
        <v>42040.160000000003</v>
      </c>
      <c r="I12" s="256"/>
    </row>
    <row r="13" spans="1:9" x14ac:dyDescent="0.2">
      <c r="A13" s="32">
        <v>2500</v>
      </c>
      <c r="B13" t="s">
        <v>798</v>
      </c>
      <c r="C13" s="276">
        <f t="shared" si="0"/>
        <v>684961.86</v>
      </c>
      <c r="D13" s="243"/>
      <c r="E13" s="20">
        <f>'DOE25'!L206+'DOE25'!L224+'DOE25'!L242-F13-G13-H13</f>
        <v>680702.35</v>
      </c>
      <c r="F13" s="244"/>
      <c r="G13" s="53">
        <f>'DOE25'!J206+'DOE25'!J224+'DOE25'!J242</f>
        <v>0</v>
      </c>
      <c r="H13" s="53">
        <f>'DOE25'!K206+'DOE25'!K224+'DOE25'!K242</f>
        <v>4259.51</v>
      </c>
      <c r="I13" s="256"/>
    </row>
    <row r="14" spans="1:9" x14ac:dyDescent="0.2">
      <c r="A14" s="32">
        <v>2600</v>
      </c>
      <c r="B14" t="s">
        <v>819</v>
      </c>
      <c r="C14" s="276">
        <f t="shared" si="0"/>
        <v>5605611.2699999996</v>
      </c>
      <c r="D14" s="20">
        <f>'DOE25'!L207+'DOE25'!L225+'DOE25'!L243-F14-G14-H14</f>
        <v>5587761.96</v>
      </c>
      <c r="E14" s="243"/>
      <c r="F14" s="244"/>
      <c r="G14" s="53">
        <f>'DOE25'!J207+'DOE25'!J225+'DOE25'!J243</f>
        <v>17568.010000000002</v>
      </c>
      <c r="H14" s="53">
        <f>'DOE25'!K207+'DOE25'!K225+'DOE25'!K243</f>
        <v>281.3</v>
      </c>
      <c r="I14" s="256"/>
    </row>
    <row r="15" spans="1:9" x14ac:dyDescent="0.2">
      <c r="A15" s="32">
        <v>2700</v>
      </c>
      <c r="B15" t="s">
        <v>799</v>
      </c>
      <c r="C15" s="276">
        <f t="shared" si="0"/>
        <v>3098872.25</v>
      </c>
      <c r="D15" s="20">
        <f>'DOE25'!L208+'DOE25'!L226+'DOE25'!L244-F15-G15-H15</f>
        <v>3098872.25</v>
      </c>
      <c r="E15" s="243"/>
      <c r="F15" s="244"/>
      <c r="G15" s="53">
        <f>'DOE25'!J208+'DOE25'!J226+'DOE25'!J244</f>
        <v>0</v>
      </c>
      <c r="H15" s="53">
        <f>'DOE25'!K208+'DOE25'!K226+'DOE25'!K244</f>
        <v>0</v>
      </c>
      <c r="I15" s="256"/>
    </row>
    <row r="16" spans="1:9" x14ac:dyDescent="0.2">
      <c r="A16" s="32">
        <v>2800</v>
      </c>
      <c r="B16" t="s">
        <v>800</v>
      </c>
      <c r="C16" s="276">
        <f t="shared" si="0"/>
        <v>84380.14</v>
      </c>
      <c r="D16" s="243"/>
      <c r="E16" s="20">
        <f>'DOE25'!L209+'DOE25'!L227+'DOE25'!L245-F16-G16-H16</f>
        <v>84380.14</v>
      </c>
      <c r="F16" s="244"/>
      <c r="G16" s="53">
        <f>'DOE25'!J209+'DOE25'!J227+'DOE25'!J245</f>
        <v>0</v>
      </c>
      <c r="H16" s="53">
        <f>'DOE25'!K209+'DOE25'!K227+'DOE25'!K245</f>
        <v>0</v>
      </c>
      <c r="I16" s="256"/>
    </row>
    <row r="17" spans="1:9" x14ac:dyDescent="0.2">
      <c r="A17" s="32">
        <v>1600</v>
      </c>
      <c r="B17" t="s">
        <v>801</v>
      </c>
      <c r="C17" s="276">
        <f t="shared" si="0"/>
        <v>4948.0200000000004</v>
      </c>
      <c r="D17" s="20">
        <f>'DOE25'!L251-F17-G17-H17</f>
        <v>4948.0200000000004</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3407730</v>
      </c>
      <c r="D25" s="243"/>
      <c r="E25" s="243"/>
      <c r="F25" s="255"/>
      <c r="G25" s="253"/>
      <c r="H25" s="253"/>
      <c r="I25" s="254">
        <f>'DOE25'!L260+'DOE25'!L261+'DOE25'!L341+'DOE25'!L342</f>
        <v>3407730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1345525.58</v>
      </c>
      <c r="D29" s="284">
        <f>'DOE25'!L358+'DOE25'!L359+'DOE25'!L360-'DOE25'!I367-F29-G29-H29</f>
        <v>1201163.5900000001</v>
      </c>
      <c r="E29" s="243"/>
      <c r="F29" s="244"/>
      <c r="G29" s="53">
        <f>'DOE25'!J358+'DOE25'!J359+'DOE25'!J360</f>
        <v>140157.41</v>
      </c>
      <c r="H29" s="53">
        <f>'DOE25'!K358+'DOE25'!K359+'DOE25'!K360</f>
        <v>4204.58</v>
      </c>
      <c r="I29" s="256"/>
    </row>
    <row r="30" spans="1:9" x14ac:dyDescent="0.2">
      <c r="A30" s="32"/>
      <c r="C30" s="277"/>
      <c r="D30" s="20"/>
      <c r="E30" s="281"/>
      <c r="F30" s="271"/>
      <c r="G30" s="53"/>
      <c r="H30" s="53"/>
      <c r="I30" s="256"/>
    </row>
    <row r="31" spans="1:9" x14ac:dyDescent="0.2">
      <c r="A31" s="32" t="s">
        <v>818</v>
      </c>
      <c r="B31" t="s">
        <v>817</v>
      </c>
      <c r="C31" s="276">
        <f>SUM(D31:I31)</f>
        <v>1324384.4599999997</v>
      </c>
      <c r="D31" s="20">
        <f>'DOE25'!L290+'DOE25'!L309+'DOE25'!L328+'DOE25'!L333+'DOE25'!L334+'DOE25'!L335-F31-G31-H31</f>
        <v>1295261.0899999996</v>
      </c>
      <c r="E31" s="243"/>
      <c r="F31" s="244"/>
      <c r="G31" s="53">
        <f>'DOE25'!J290+'DOE25'!J309+'DOE25'!J328+'DOE25'!J333+'DOE25'!J334+'DOE25'!J335</f>
        <v>19171</v>
      </c>
      <c r="H31" s="53">
        <f>'DOE25'!K290+'DOE25'!K309+'DOE25'!K328+'DOE25'!K333+'DOE25'!K334+'DOE25'!K335</f>
        <v>9952.369999999999</v>
      </c>
      <c r="I31" s="256"/>
    </row>
    <row r="32" spans="1:9" ht="12" thickBot="1" x14ac:dyDescent="0.25">
      <c r="C32" s="277"/>
      <c r="G32" s="251"/>
      <c r="H32" s="251"/>
      <c r="I32" s="258"/>
    </row>
    <row r="33" spans="1:9" ht="12" thickTop="1" x14ac:dyDescent="0.2">
      <c r="B33" t="s">
        <v>809</v>
      </c>
      <c r="D33" s="245">
        <f t="shared" ref="D33:I33" si="1">SUM(D5:D31)</f>
        <v>64205002.580000013</v>
      </c>
      <c r="E33" s="245">
        <f t="shared" si="1"/>
        <v>2357018.33</v>
      </c>
      <c r="F33" s="245">
        <f t="shared" si="1"/>
        <v>0</v>
      </c>
      <c r="G33" s="245">
        <f t="shared" si="1"/>
        <v>558293.06000000006</v>
      </c>
      <c r="H33" s="245">
        <f t="shared" si="1"/>
        <v>247760.70999999996</v>
      </c>
      <c r="I33" s="245">
        <f t="shared" si="1"/>
        <v>3407730</v>
      </c>
    </row>
    <row r="35" spans="1:9" ht="12" thickBot="1" x14ac:dyDescent="0.25">
      <c r="B35" s="251" t="s">
        <v>831</v>
      </c>
      <c r="D35" s="252">
        <f>E33</f>
        <v>2357018.33</v>
      </c>
      <c r="E35" s="248"/>
    </row>
    <row r="36" spans="1:9" ht="12" thickTop="1" x14ac:dyDescent="0.2">
      <c r="B36" t="s">
        <v>810</v>
      </c>
      <c r="D36" s="20">
        <f>D33</f>
        <v>64205002.580000013</v>
      </c>
    </row>
    <row r="38" spans="1:9" x14ac:dyDescent="0.2">
      <c r="B38" s="187" t="s">
        <v>901</v>
      </c>
      <c r="C38" s="261"/>
      <c r="D38" s="285"/>
    </row>
    <row r="39" spans="1:9" x14ac:dyDescent="0.2">
      <c r="B39" s="187" t="s">
        <v>815</v>
      </c>
      <c r="D39" s="286" t="str">
        <f>IF(E10&gt;0,"Y","N")</f>
        <v>N</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4" t="s">
        <v>908</v>
      </c>
      <c r="C53" s="334"/>
      <c r="D53" s="334"/>
      <c r="E53" s="334"/>
      <c r="F53" s="334"/>
      <c r="G53" s="334"/>
      <c r="H53" s="334"/>
      <c r="I53" s="282"/>
    </row>
  </sheetData>
  <sheetProtection password="930A" sheet="1" objects="1" scenarios="1"/>
  <mergeCells count="3">
    <mergeCell ref="F2:H2"/>
    <mergeCell ref="A1:H1"/>
    <mergeCell ref="B53:H53"/>
  </mergeCells>
  <phoneticPr fontId="0" type="noConversion"/>
  <pageMargins left="0.5" right="0.5" top="0.5" bottom="0.5" header="0.5" footer="0.5"/>
  <pageSetup scale="83"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F583" sqref="F583"/>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2" t="s">
        <v>1607</v>
      </c>
      <c r="E1" s="126"/>
      <c r="F1" s="126"/>
      <c r="G1" s="126"/>
      <c r="H1" s="126"/>
    </row>
    <row r="2" spans="1:18" ht="12" thickBot="1" x14ac:dyDescent="0.25">
      <c r="A2" s="295" t="str">
        <f>'DOE25'!A2</f>
        <v>Bedford School District</v>
      </c>
      <c r="B2" s="126">
        <f>'DOE25'!B2</f>
        <v>41</v>
      </c>
      <c r="C2" s="126"/>
      <c r="D2" s="126"/>
      <c r="E2" s="126"/>
      <c r="F2" s="126"/>
      <c r="G2" s="126"/>
      <c r="H2" s="126"/>
    </row>
    <row r="3" spans="1:18" ht="36.75" customHeight="1" thickBot="1" x14ac:dyDescent="0.3">
      <c r="A3" s="296" t="s">
        <v>1576</v>
      </c>
      <c r="B3" s="297"/>
      <c r="C3" s="297"/>
      <c r="D3" s="298" t="s">
        <v>1577</v>
      </c>
      <c r="E3" s="298" t="s">
        <v>1578</v>
      </c>
      <c r="F3" s="299" t="s">
        <v>1585</v>
      </c>
      <c r="G3" s="300" t="s">
        <v>1586</v>
      </c>
      <c r="H3" s="301" t="s">
        <v>1566</v>
      </c>
      <c r="I3" s="126"/>
      <c r="N3" s="289"/>
      <c r="O3" s="289"/>
      <c r="P3" s="289"/>
      <c r="Q3" s="289"/>
      <c r="R3" s="290"/>
    </row>
    <row r="4" spans="1:18" ht="11.25" customHeight="1" thickBot="1" x14ac:dyDescent="0.25">
      <c r="A4" s="298" t="s">
        <v>1564</v>
      </c>
      <c r="B4" s="298" t="s">
        <v>1565</v>
      </c>
      <c r="C4" s="298" t="s">
        <v>912</v>
      </c>
      <c r="D4" s="298" t="s">
        <v>786</v>
      </c>
      <c r="E4" s="298" t="s">
        <v>786</v>
      </c>
      <c r="F4" s="302">
        <f>SUM(F5:F20)</f>
        <v>32070436.850000005</v>
      </c>
      <c r="G4" s="303">
        <f>'DOE25'!L211+'DOE25'!L290</f>
        <v>32070436.850000005</v>
      </c>
      <c r="H4" s="304">
        <f>F4-G4</f>
        <v>0</v>
      </c>
      <c r="I4" s="310" t="str">
        <f>IF(H4=0,"","Does not match DOE25 page 7 and 11 Totals!!")</f>
        <v/>
      </c>
      <c r="N4"/>
    </row>
    <row r="5" spans="1:18" x14ac:dyDescent="0.2">
      <c r="A5" s="21" t="s">
        <v>944</v>
      </c>
      <c r="B5" s="305">
        <f>IFERROR(VLOOKUP(A5,'School Tables'!$C$3:$D$368,2,FALSE),"")</f>
        <v>21000</v>
      </c>
      <c r="C5" s="297" t="str">
        <f>IFERROR(INDEX('School Tables'!$B$3:$B$368,MATCH('School Level Expenditures'!B5,'School Tables'!$D$3:$D$368,0)),"")</f>
        <v>Bedford</v>
      </c>
      <c r="D5" s="326">
        <f>221550.61+1213928.64+264772.89+3172294.47+330363.46+557901.49+1489414.86+40256.85-952.21-1857.6-917.98-120636.54</f>
        <v>7166118.9400000004</v>
      </c>
      <c r="E5" s="294">
        <f>134413.16+917.98</f>
        <v>135331.14000000001</v>
      </c>
      <c r="F5" s="313">
        <f>D5+E5</f>
        <v>7301450.0800000001</v>
      </c>
      <c r="G5" s="297"/>
      <c r="H5" s="297"/>
      <c r="I5" s="126"/>
      <c r="N5"/>
    </row>
    <row r="6" spans="1:18" x14ac:dyDescent="0.2">
      <c r="A6" s="21" t="s">
        <v>946</v>
      </c>
      <c r="B6" s="305">
        <f>IFERROR(VLOOKUP(A6,'School Tables'!$C$3:$D$368,2,FALSE),"")</f>
        <v>27680</v>
      </c>
      <c r="C6" s="297" t="str">
        <f>IFERROR(INDEX('School Tables'!$B$3:$B$368,MATCH('School Level Expenditures'!B6,'School Tables'!$D$3:$D$368,0)),"")</f>
        <v>Bedford</v>
      </c>
      <c r="D6" s="294">
        <f>298954.48+1315089.36+286837.3+3638049.06+357893.75+604393.28+1705534.21+43611.59-1092.01-2012.4-994.48-130689.59</f>
        <v>8115574.5499999998</v>
      </c>
      <c r="E6" s="294">
        <f>145614.26+994.48</f>
        <v>146608.74000000002</v>
      </c>
      <c r="F6" s="308">
        <f t="shared" ref="F6:F20" si="0">D6+E6</f>
        <v>8262183.29</v>
      </c>
      <c r="G6" s="297"/>
      <c r="H6" s="297"/>
      <c r="I6" s="126"/>
      <c r="N6"/>
    </row>
    <row r="7" spans="1:18" x14ac:dyDescent="0.2">
      <c r="A7" s="21" t="s">
        <v>945</v>
      </c>
      <c r="B7" s="305">
        <f>IFERROR(VLOOKUP(A7,'School Tables'!$C$3:$D$368,2,FALSE),"")</f>
        <v>21005</v>
      </c>
      <c r="C7" s="297" t="str">
        <f>IFERROR(INDEX('School Tables'!$B$3:$B$368,MATCH('School Level Expenditures'!B7,'School Tables'!$D$3:$D$368,0)),"")</f>
        <v>Bedford</v>
      </c>
      <c r="D7" s="294">
        <f>376720.99+1517410.8+330966.12+4356949.87+412954.33+697376.86+2040649.79+50321.06-1307.8-107.42-2322-95-1147.48-150795.68-0.01</f>
        <v>9627574.4300000016</v>
      </c>
      <c r="E7" s="294">
        <f>4910+168016.45+1147.48</f>
        <v>174073.93000000002</v>
      </c>
      <c r="F7" s="308">
        <f t="shared" si="0"/>
        <v>9801648.3600000013</v>
      </c>
      <c r="G7" s="297"/>
      <c r="H7" s="297"/>
      <c r="I7" s="126"/>
      <c r="N7"/>
    </row>
    <row r="8" spans="1:18" x14ac:dyDescent="0.2">
      <c r="A8" s="325" t="s">
        <v>1610</v>
      </c>
      <c r="B8" s="305">
        <f>IFERROR(VLOOKUP(A8,'School Tables'!$C$3:$D$368,2,FALSE),"")</f>
        <v>20990</v>
      </c>
      <c r="C8" s="297" t="str">
        <f>IFERROR(INDEX('School Tables'!$B$3:$B$368,MATCH('School Level Expenditures'!B8,'School Tables'!$D$3:$D$368,0)),"")</f>
        <v>Bedford</v>
      </c>
      <c r="D8" s="294">
        <f>205969.72+1011607.2+220644.08+2616889.38+275302.89+464917.91+1228986.9+33547.37-785.49-1548-764.98-100530.45</f>
        <v>5954236.5299999993</v>
      </c>
      <c r="E8" s="294">
        <f>127655.37+112010.97+764.98</f>
        <v>240431.32</v>
      </c>
      <c r="F8" s="308">
        <f t="shared" si="0"/>
        <v>6194667.8499999996</v>
      </c>
      <c r="G8" s="297"/>
      <c r="H8" s="297"/>
      <c r="I8" s="126"/>
      <c r="N8"/>
    </row>
    <row r="9" spans="1:18" x14ac:dyDescent="0.2">
      <c r="A9" s="21" t="s">
        <v>1584</v>
      </c>
      <c r="B9" s="305">
        <f>IFERROR(VLOOKUP(A9,'School Tables'!$C$3:$D$368,2,FALSE),"")</f>
        <v>99999</v>
      </c>
      <c r="C9" s="297" t="str">
        <f>IFERROR(INDEX('School Tables'!$B$3:$B$368,MATCH('School Level Expenditures'!B9,'School Tables'!$D$3:$D$368,0)),"")</f>
        <v>Other District Expenditures</v>
      </c>
      <c r="D9" s="294">
        <f>7740+95+502652.27</f>
        <v>510487.27</v>
      </c>
      <c r="E9" s="294">
        <v>0</v>
      </c>
      <c r="F9" s="308">
        <f t="shared" si="0"/>
        <v>510487.27</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1579</v>
      </c>
      <c r="B23" s="297"/>
      <c r="C23" s="297"/>
      <c r="D23" s="298" t="s">
        <v>1577</v>
      </c>
      <c r="E23" s="298" t="s">
        <v>1578</v>
      </c>
      <c r="F23" s="299" t="s">
        <v>1585</v>
      </c>
      <c r="G23" s="300" t="s">
        <v>1587</v>
      </c>
      <c r="H23" s="301" t="s">
        <v>1566</v>
      </c>
      <c r="I23" s="126"/>
      <c r="N23"/>
    </row>
    <row r="24" spans="1:14" ht="12" thickBot="1" x14ac:dyDescent="0.25">
      <c r="A24" s="293" t="s">
        <v>1580</v>
      </c>
      <c r="B24" s="298" t="s">
        <v>1581</v>
      </c>
      <c r="C24" s="298" t="s">
        <v>912</v>
      </c>
      <c r="D24" s="298" t="s">
        <v>786</v>
      </c>
      <c r="E24" s="298" t="s">
        <v>786</v>
      </c>
      <c r="F24" s="309">
        <f>SUM(F25:F32)</f>
        <v>10480104.85</v>
      </c>
      <c r="G24" s="303">
        <f>'DOE25'!L229+'DOE25'!L309</f>
        <v>10480104.85</v>
      </c>
      <c r="H24" s="304">
        <f>F24-G24</f>
        <v>0</v>
      </c>
      <c r="I24" s="310" t="str">
        <f>IF(H24=0,"","Does not match DOE25 page 8 and 12 Totals!!")</f>
        <v/>
      </c>
      <c r="N24"/>
    </row>
    <row r="25" spans="1:14" x14ac:dyDescent="0.2">
      <c r="A25" s="21" t="s">
        <v>948</v>
      </c>
      <c r="B25" s="305">
        <f>IFERROR(VLOOKUP(A25,'School Tables'!$I$3:$J$80,2,FALSE),"")</f>
        <v>28560</v>
      </c>
      <c r="C25" s="297" t="str">
        <f t="array" ref="C25">IFERROR(INDEX('School Tables'!$H$3:$H$80,MATCH('School Level Expenditures'!B25,'School Tables'!$J$3:$J$80,0)),"")</f>
        <v>Bedford</v>
      </c>
      <c r="D25" s="294">
        <f>10340846.52-1533-753.39-171486.27</f>
        <v>10167073.859999999</v>
      </c>
      <c r="E25" s="294">
        <f>139258.33+1533+753.39</f>
        <v>141544.72</v>
      </c>
      <c r="F25" s="308">
        <f>D25+E25</f>
        <v>10308618.58</v>
      </c>
      <c r="G25" s="297"/>
      <c r="H25" s="297"/>
      <c r="I25" s="126"/>
      <c r="N25"/>
    </row>
    <row r="26" spans="1:14" x14ac:dyDescent="0.2">
      <c r="A26" s="21" t="s">
        <v>1584</v>
      </c>
      <c r="B26" s="305">
        <f>IFERROR(VLOOKUP(A26,'School Tables'!$I$3:$J$80,2,FALSE),"")</f>
        <v>99999</v>
      </c>
      <c r="C26" s="297" t="str">
        <f t="array" ref="C26">IFERROR(INDEX('School Tables'!$H$3:$H$80,MATCH('School Level Expenditures'!B26,'School Tables'!$J$3:$J$80,0)),"")</f>
        <v>Other District Expenditures</v>
      </c>
      <c r="D26" s="294">
        <v>171486.27</v>
      </c>
      <c r="E26" s="294"/>
      <c r="F26" s="308">
        <f t="shared" ref="F26:F32" si="1">D26+E26</f>
        <v>171486.27</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1577</v>
      </c>
      <c r="E35" s="298" t="s">
        <v>1578</v>
      </c>
      <c r="F35" s="299" t="s">
        <v>1585</v>
      </c>
      <c r="G35" s="300" t="s">
        <v>1588</v>
      </c>
      <c r="H35" s="301" t="s">
        <v>1566</v>
      </c>
      <c r="I35" s="126"/>
      <c r="N35"/>
    </row>
    <row r="36" spans="1:14" ht="12" thickBot="1" x14ac:dyDescent="0.25">
      <c r="A36" s="293" t="s">
        <v>1582</v>
      </c>
      <c r="B36" s="298" t="s">
        <v>1583</v>
      </c>
      <c r="C36" s="298" t="s">
        <v>912</v>
      </c>
      <c r="D36" s="298" t="s">
        <v>786</v>
      </c>
      <c r="E36" s="298" t="s">
        <v>786</v>
      </c>
      <c r="F36" s="309">
        <f>SUM(F37:F41)</f>
        <v>23459223.690000001</v>
      </c>
      <c r="G36" s="303">
        <f>'DOE25'!L247+'DOE25'!L328</f>
        <v>23459223.689999998</v>
      </c>
      <c r="H36" s="304">
        <f>F36-G36</f>
        <v>0</v>
      </c>
      <c r="I36" s="310" t="str">
        <f>IF(H36=0,"","Does not match DOE25 page 9 and 13 Totals!!")</f>
        <v/>
      </c>
      <c r="N36"/>
    </row>
    <row r="37" spans="1:14" x14ac:dyDescent="0.2">
      <c r="A37" s="21" t="s">
        <v>947</v>
      </c>
      <c r="B37" s="305">
        <f>IFERROR(VLOOKUP(A37,'School Tables'!$O$3:$P$122,2,FALSE),"")</f>
        <v>28555</v>
      </c>
      <c r="C37" s="297" t="str">
        <f t="array" ref="C37">IFERROR(INDEX('School Tables'!$N$3:$N$122,MATCH('School Level Expenditures'!B37,'School Tables'!$P$3:$P$122,0)),"")</f>
        <v>Bedford</v>
      </c>
      <c r="D37" s="294">
        <f>23111077.86+1883.48-1546132.81</f>
        <v>21566828.530000001</v>
      </c>
      <c r="E37" s="294">
        <f>348145.83-1883.48</f>
        <v>346262.35000000003</v>
      </c>
      <c r="F37" s="308">
        <f>D37+E37</f>
        <v>21913090.880000003</v>
      </c>
      <c r="G37" s="297"/>
      <c r="H37" s="297"/>
      <c r="I37" s="126"/>
      <c r="N37"/>
    </row>
    <row r="38" spans="1:14" x14ac:dyDescent="0.2">
      <c r="A38" s="21" t="s">
        <v>1584</v>
      </c>
      <c r="B38" s="305">
        <f>IFERROR(VLOOKUP(A38,'School Tables'!$O$3:$P$122,2,FALSE),"")</f>
        <v>99999</v>
      </c>
      <c r="C38" s="297" t="str">
        <f t="array" ref="C38">IFERROR(INDEX('School Tables'!$N$3:$N$122,MATCH('School Level Expenditures'!B38,'School Tables'!$P$3:$P$122,0)),"")</f>
        <v>Other District Expenditures</v>
      </c>
      <c r="D38" s="294">
        <v>1546132.81</v>
      </c>
      <c r="E38" s="294"/>
      <c r="F38" s="308">
        <f t="shared" ref="F38:F41" si="2">D38+E38</f>
        <v>1546132.81</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1603</v>
      </c>
      <c r="B47" s="282"/>
      <c r="C47" s="282"/>
      <c r="D47" s="282"/>
      <c r="E47" s="282"/>
      <c r="F47" s="282"/>
      <c r="G47" s="282"/>
      <c r="H47" s="282"/>
      <c r="N47"/>
    </row>
    <row r="48" spans="1:14" ht="12" x14ac:dyDescent="0.2">
      <c r="A48" s="282" t="s">
        <v>1604</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1605</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1606</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4"/>
      <c r="B58" s="334"/>
      <c r="C58" s="334"/>
      <c r="D58" s="334"/>
      <c r="E58" s="334"/>
      <c r="F58" s="334"/>
      <c r="G58" s="334"/>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8" priority="5" operator="equal">
      <formula>0</formula>
    </cfRule>
    <cfRule type="cellIs" dxfId="7" priority="6" operator="notEqual">
      <formula>0</formula>
    </cfRule>
  </conditionalFormatting>
  <conditionalFormatting sqref="H24">
    <cfRule type="cellIs" dxfId="6" priority="3" operator="equal">
      <formula>0</formula>
    </cfRule>
    <cfRule type="cellIs" dxfId="5" priority="4" operator="notEqual">
      <formula>0</formula>
    </cfRule>
  </conditionalFormatting>
  <conditionalFormatting sqref="H36">
    <cfRule type="cellIs" dxfId="4" priority="1" operator="equal">
      <formula>0</formula>
    </cfRule>
    <cfRule type="cellIs" dxfId="3" priority="2" operator="notEqual">
      <formula>0</formula>
    </cfRule>
  </conditionalFormatting>
  <pageMargins left="0.7" right="0.7" top="0.75" bottom="0.75" header="0.3" footer="0.3"/>
  <pageSetup scale="93"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583" sqref="F583"/>
      <selection pane="bottomLeft" activeCell="F583" sqref="F583"/>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Bedford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7914433.6699999999</v>
      </c>
      <c r="D8" s="95">
        <f>'DOE25'!G9</f>
        <v>202</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518812.09</v>
      </c>
      <c r="E11" s="95">
        <f>'DOE25'!H12</f>
        <v>0</v>
      </c>
      <c r="F11" s="95">
        <f>'DOE25'!I12</f>
        <v>0</v>
      </c>
      <c r="G11" s="95">
        <f>'DOE25'!J12</f>
        <v>0</v>
      </c>
      <c r="H11" s="124"/>
      <c r="I11" s="124"/>
    </row>
    <row r="12" spans="1:9" x14ac:dyDescent="0.2">
      <c r="A12" s="1" t="s">
        <v>143</v>
      </c>
      <c r="B12" s="6">
        <v>140</v>
      </c>
      <c r="C12" s="95">
        <f>'DOE25'!F13</f>
        <v>136195.22</v>
      </c>
      <c r="D12" s="95">
        <f>'DOE25'!G13</f>
        <v>5373.28</v>
      </c>
      <c r="E12" s="95">
        <f>'DOE25'!H13</f>
        <v>329272.40000000002</v>
      </c>
      <c r="F12" s="95">
        <f>'DOE25'!I13</f>
        <v>0</v>
      </c>
      <c r="G12" s="95">
        <f>'DOE25'!J13</f>
        <v>0</v>
      </c>
      <c r="H12" s="124"/>
      <c r="I12" s="124"/>
    </row>
    <row r="13" spans="1:9" x14ac:dyDescent="0.2">
      <c r="A13" s="1" t="s">
        <v>144</v>
      </c>
      <c r="B13" s="6">
        <v>150</v>
      </c>
      <c r="C13" s="95">
        <f>'DOE25'!F14</f>
        <v>264818.61</v>
      </c>
      <c r="D13" s="95">
        <f>'DOE25'!G14</f>
        <v>2010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14248.89</v>
      </c>
      <c r="D15" s="95">
        <f>'DOE25'!G16</f>
        <v>0</v>
      </c>
      <c r="E15" s="95">
        <f>'DOE25'!H16</f>
        <v>0</v>
      </c>
      <c r="F15" s="95">
        <f>'DOE25'!I16</f>
        <v>0</v>
      </c>
      <c r="G15" s="24" t="s">
        <v>288</v>
      </c>
      <c r="H15" s="124"/>
      <c r="I15" s="124"/>
    </row>
    <row r="16" spans="1:9" x14ac:dyDescent="0.2">
      <c r="A16" s="1" t="s">
        <v>147</v>
      </c>
      <c r="B16" s="6">
        <v>180</v>
      </c>
      <c r="C16" s="95">
        <f>'DOE25'!F17</f>
        <v>14574.54</v>
      </c>
      <c r="D16" s="95">
        <f>'DOE25'!G17</f>
        <v>6875</v>
      </c>
      <c r="E16" s="95">
        <f>'DOE25'!H17</f>
        <v>8302.65</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8344270.9299999997</v>
      </c>
      <c r="D18" s="41">
        <f>SUM(D8:D17)</f>
        <v>533272.37</v>
      </c>
      <c r="E18" s="41">
        <f>SUM(E8:E17)</f>
        <v>337575.05000000005</v>
      </c>
      <c r="F18" s="41">
        <f>SUM(F8:F17)</f>
        <v>0</v>
      </c>
      <c r="G18" s="41">
        <f>SUM(G8:G17)</f>
        <v>0</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293129.28000000003</v>
      </c>
      <c r="D21" s="95">
        <f>'DOE25'!G22</f>
        <v>0</v>
      </c>
      <c r="E21" s="95">
        <f>'DOE25'!H22</f>
        <v>253203.33</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1387458.54</v>
      </c>
      <c r="D23" s="95">
        <f>'DOE25'!G24</f>
        <v>148.69</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2497344.42</v>
      </c>
      <c r="D27" s="95">
        <f>'DOE25'!G28</f>
        <v>458.81</v>
      </c>
      <c r="E27" s="95">
        <f>'DOE25'!H28</f>
        <v>64863.53</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67709.429999999993</v>
      </c>
      <c r="D29" s="95">
        <f>'DOE25'!G30</f>
        <v>100159.79</v>
      </c>
      <c r="E29" s="95">
        <f>'DOE25'!H30</f>
        <v>19508.189999999999</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4245641.67</v>
      </c>
      <c r="D31" s="41">
        <f>SUM(D21:D30)</f>
        <v>100767.29</v>
      </c>
      <c r="E31" s="41">
        <f>SUM(E21:E30)</f>
        <v>337575.05</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14248.89</v>
      </c>
      <c r="D34" s="95">
        <f>'DOE25'!G35</f>
        <v>0</v>
      </c>
      <c r="E34" s="95">
        <f>'DOE25'!H35</f>
        <v>0</v>
      </c>
      <c r="F34" s="95">
        <f>'DOE25'!I35</f>
        <v>0</v>
      </c>
      <c r="G34" s="24" t="s">
        <v>288</v>
      </c>
      <c r="H34" s="124"/>
      <c r="I34" s="124"/>
    </row>
    <row r="35" spans="1:9" x14ac:dyDescent="0.2">
      <c r="A35" s="1" t="s">
        <v>850</v>
      </c>
      <c r="B35" s="6">
        <v>752</v>
      </c>
      <c r="C35" s="95">
        <f>'DOE25'!F36</f>
        <v>14574.54</v>
      </c>
      <c r="D35" s="95">
        <f>'DOE25'!G36</f>
        <v>6875</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0</v>
      </c>
      <c r="H47" s="124"/>
      <c r="I47" s="124"/>
    </row>
    <row r="48" spans="1:9" x14ac:dyDescent="0.2">
      <c r="A48" s="1" t="s">
        <v>882</v>
      </c>
      <c r="B48" s="6">
        <v>753</v>
      </c>
      <c r="C48" s="95">
        <f>'DOE25'!F49</f>
        <v>153094.89000000001</v>
      </c>
      <c r="D48" s="95">
        <f>'DOE25'!G49</f>
        <v>425630.08</v>
      </c>
      <c r="E48" s="95">
        <f>'DOE25'!H49</f>
        <v>0</v>
      </c>
      <c r="F48" s="95">
        <f>'DOE25'!I49</f>
        <v>0</v>
      </c>
      <c r="G48" s="95">
        <f>'DOE25'!J49</f>
        <v>0</v>
      </c>
      <c r="H48" s="124"/>
      <c r="I48" s="124"/>
    </row>
    <row r="49" spans="1:9" ht="12" thickBot="1" x14ac:dyDescent="0.25">
      <c r="A49" s="29" t="s">
        <v>883</v>
      </c>
      <c r="B49" s="71">
        <v>770</v>
      </c>
      <c r="C49" s="95">
        <f>'DOE25'!F50</f>
        <v>3916710.94</v>
      </c>
      <c r="D49" s="24" t="s">
        <v>288</v>
      </c>
      <c r="E49" s="24" t="s">
        <v>288</v>
      </c>
      <c r="F49" s="24" t="s">
        <v>288</v>
      </c>
      <c r="G49" s="24" t="s">
        <v>288</v>
      </c>
      <c r="H49" s="124"/>
      <c r="I49" s="124"/>
    </row>
    <row r="50" spans="1:9" ht="12.75" thickTop="1" thickBot="1" x14ac:dyDescent="0.25">
      <c r="A50" s="38" t="s">
        <v>884</v>
      </c>
      <c r="B50" s="48"/>
      <c r="C50" s="41">
        <f>SUM(C34:C49)</f>
        <v>4098629.26</v>
      </c>
      <c r="D50" s="41">
        <f>SUM(D34:D49)</f>
        <v>432505.08</v>
      </c>
      <c r="E50" s="41">
        <f>SUM(E34:E49)</f>
        <v>0</v>
      </c>
      <c r="F50" s="41">
        <f>SUM(F34:F49)</f>
        <v>0</v>
      </c>
      <c r="G50" s="41">
        <f>SUM(G34:G49)</f>
        <v>0</v>
      </c>
      <c r="H50" s="124"/>
      <c r="I50" s="124"/>
    </row>
    <row r="51" spans="1:9" ht="12" thickTop="1" x14ac:dyDescent="0.2">
      <c r="A51" s="38" t="s">
        <v>885</v>
      </c>
      <c r="B51" s="2"/>
      <c r="C51" s="41">
        <f>C50+C31</f>
        <v>8344270.9299999997</v>
      </c>
      <c r="D51" s="41">
        <f>D50+D31</f>
        <v>533272.37</v>
      </c>
      <c r="E51" s="41">
        <f>E50+E31</f>
        <v>337575.05</v>
      </c>
      <c r="F51" s="41">
        <f>F50+F31</f>
        <v>0</v>
      </c>
      <c r="G51" s="41">
        <f>G50+G31</f>
        <v>0</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46811635</v>
      </c>
      <c r="D56" s="95">
        <f>'DOE25'!G60</f>
        <v>0</v>
      </c>
      <c r="E56" s="95">
        <f>'DOE25'!H60</f>
        <v>0</v>
      </c>
      <c r="F56" s="95">
        <f>'DOE25'!I60</f>
        <v>0</v>
      </c>
      <c r="G56" s="95">
        <f>'DOE25'!J60</f>
        <v>0</v>
      </c>
      <c r="H56"/>
      <c r="I56"/>
    </row>
    <row r="57" spans="1:9" x14ac:dyDescent="0.2">
      <c r="A57" s="1" t="s">
        <v>164</v>
      </c>
      <c r="B57" s="6" t="s">
        <v>165</v>
      </c>
      <c r="C57" s="95">
        <f>'DOE25'!F79</f>
        <v>1226619.53</v>
      </c>
      <c r="D57" s="24" t="s">
        <v>288</v>
      </c>
      <c r="E57" s="95">
        <f>'DOE25'!H79</f>
        <v>0</v>
      </c>
      <c r="F57" s="24" t="s">
        <v>288</v>
      </c>
      <c r="G57" s="24" t="s">
        <v>288</v>
      </c>
      <c r="H57"/>
      <c r="I57"/>
    </row>
    <row r="58" spans="1:9" x14ac:dyDescent="0.2">
      <c r="A58" s="1" t="s">
        <v>166</v>
      </c>
      <c r="B58" s="6" t="s">
        <v>167</v>
      </c>
      <c r="C58" s="95">
        <f>'DOE25'!F94</f>
        <v>8546.7800000000007</v>
      </c>
      <c r="D58" s="24" t="s">
        <v>288</v>
      </c>
      <c r="E58" s="95">
        <f>'DOE25'!H94</f>
        <v>0</v>
      </c>
      <c r="F58" s="24" t="s">
        <v>288</v>
      </c>
      <c r="G58" s="24" t="s">
        <v>288</v>
      </c>
      <c r="H58"/>
      <c r="I58"/>
    </row>
    <row r="59" spans="1:9" x14ac:dyDescent="0.2">
      <c r="A59" s="69" t="s">
        <v>168</v>
      </c>
      <c r="B59" s="37" t="s">
        <v>169</v>
      </c>
      <c r="C59" s="95">
        <f>'DOE25'!F96</f>
        <v>37480.620000000003</v>
      </c>
      <c r="D59" s="95">
        <f>'DOE25'!G96</f>
        <v>0</v>
      </c>
      <c r="E59" s="95">
        <f>'DOE25'!H96</f>
        <v>0</v>
      </c>
      <c r="F59" s="95">
        <f>'DOE25'!I96</f>
        <v>0</v>
      </c>
      <c r="G59" s="95">
        <f>'DOE25'!J96</f>
        <v>0</v>
      </c>
      <c r="H59"/>
      <c r="I59"/>
    </row>
    <row r="60" spans="1:9" x14ac:dyDescent="0.2">
      <c r="A60" s="1" t="s">
        <v>170</v>
      </c>
      <c r="B60" s="118" t="s">
        <v>171</v>
      </c>
      <c r="C60" s="24" t="s">
        <v>288</v>
      </c>
      <c r="D60" s="95">
        <f>'DOE25'!G97</f>
        <v>1576637.84</v>
      </c>
      <c r="E60" s="24" t="s">
        <v>288</v>
      </c>
      <c r="F60" s="24" t="s">
        <v>288</v>
      </c>
      <c r="G60" s="24" t="s">
        <v>288</v>
      </c>
      <c r="H60"/>
      <c r="I60"/>
    </row>
    <row r="61" spans="1:9" ht="12" thickBot="1" x14ac:dyDescent="0.25">
      <c r="A61" s="1" t="s">
        <v>172</v>
      </c>
      <c r="B61" s="118" t="s">
        <v>173</v>
      </c>
      <c r="C61" s="95">
        <f>SUM('DOE25'!F98:F110)</f>
        <v>451547.93999999994</v>
      </c>
      <c r="D61" s="95">
        <f>SUM('DOE25'!G98:G110)</f>
        <v>600</v>
      </c>
      <c r="E61" s="95">
        <f>SUM('DOE25'!H98:H110)</f>
        <v>77494.400000000009</v>
      </c>
      <c r="F61" s="95">
        <f>SUM('DOE25'!I98:I110)</f>
        <v>0</v>
      </c>
      <c r="G61" s="95">
        <f>SUM('DOE25'!J98:J110)</f>
        <v>0</v>
      </c>
      <c r="H61"/>
      <c r="I61"/>
    </row>
    <row r="62" spans="1:9" ht="12.75" thickTop="1" thickBot="1" x14ac:dyDescent="0.25">
      <c r="A62" s="29" t="s">
        <v>174</v>
      </c>
      <c r="B62" s="6"/>
      <c r="C62" s="130">
        <f>SUM(C57:C61)</f>
        <v>1724194.87</v>
      </c>
      <c r="D62" s="130">
        <f>SUM(D57:D61)</f>
        <v>1577237.84</v>
      </c>
      <c r="E62" s="130">
        <f>SUM(E57:E61)</f>
        <v>77494.400000000009</v>
      </c>
      <c r="F62" s="130">
        <f>SUM(F57:F61)</f>
        <v>0</v>
      </c>
      <c r="G62" s="130">
        <f>SUM(G57:G61)</f>
        <v>0</v>
      </c>
      <c r="H62"/>
      <c r="I62"/>
    </row>
    <row r="63" spans="1:9" ht="12" thickTop="1" x14ac:dyDescent="0.2">
      <c r="A63" s="29" t="s">
        <v>175</v>
      </c>
      <c r="B63" s="6"/>
      <c r="C63" s="22">
        <f>C56+C62</f>
        <v>48535829.869999997</v>
      </c>
      <c r="D63" s="22">
        <f>D56+D62</f>
        <v>1577237.84</v>
      </c>
      <c r="E63" s="22">
        <f>E56+E62</f>
        <v>77494.400000000009</v>
      </c>
      <c r="F63" s="22">
        <f>F56+F62</f>
        <v>0</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8964403.8300000001</v>
      </c>
      <c r="D66" s="24" t="s">
        <v>288</v>
      </c>
      <c r="E66" s="24" t="s">
        <v>288</v>
      </c>
      <c r="F66" s="24" t="s">
        <v>288</v>
      </c>
      <c r="G66" s="24" t="s">
        <v>288</v>
      </c>
      <c r="H66"/>
      <c r="I66"/>
    </row>
    <row r="67" spans="1:9" x14ac:dyDescent="0.2">
      <c r="A67" s="1" t="s">
        <v>770</v>
      </c>
      <c r="B67" s="6">
        <v>3112</v>
      </c>
      <c r="C67" s="95">
        <f>'DOE25'!F118</f>
        <v>8342946</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31172.350000000002</v>
      </c>
      <c r="D69" s="95">
        <f>'DOE25'!G120</f>
        <v>0</v>
      </c>
      <c r="E69" s="95">
        <f>'DOE25'!H120</f>
        <v>0</v>
      </c>
      <c r="F69" s="95">
        <f>'DOE25'!I120</f>
        <v>0</v>
      </c>
      <c r="G69" s="95">
        <f>'DOE25'!J120</f>
        <v>0</v>
      </c>
      <c r="H69"/>
      <c r="I69"/>
    </row>
    <row r="70" spans="1:9" ht="12" thickTop="1" x14ac:dyDescent="0.2">
      <c r="A70" s="29" t="s">
        <v>252</v>
      </c>
      <c r="B70" s="2"/>
      <c r="C70" s="139">
        <f>SUM(C66:C69)</f>
        <v>17338522.18</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667425.47</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532973.44000000006</v>
      </c>
      <c r="D75" s="24" t="s">
        <v>288</v>
      </c>
      <c r="E75" s="24" t="s">
        <v>288</v>
      </c>
      <c r="F75" s="24" t="s">
        <v>288</v>
      </c>
      <c r="G75" s="24" t="s">
        <v>288</v>
      </c>
      <c r="H75"/>
      <c r="I75"/>
    </row>
    <row r="76" spans="1:9" x14ac:dyDescent="0.2">
      <c r="A76" s="1" t="s">
        <v>257</v>
      </c>
      <c r="B76" s="6" t="s">
        <v>179</v>
      </c>
      <c r="C76" s="95">
        <f>SUM('DOE25'!F127:F130)</f>
        <v>14284.2</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22366.81</v>
      </c>
      <c r="E77" s="95">
        <f>SUM('DOE25'!H131:H135)</f>
        <v>57832.4</v>
      </c>
      <c r="F77" s="95">
        <f>SUM('DOE25'!I131:I135)</f>
        <v>0</v>
      </c>
      <c r="G77" s="95">
        <f>SUM('DOE25'!J131:J135)</f>
        <v>0</v>
      </c>
      <c r="H77"/>
      <c r="I77"/>
    </row>
    <row r="78" spans="1:9" ht="12.75" thickTop="1" thickBot="1" x14ac:dyDescent="0.25">
      <c r="A78" s="29" t="s">
        <v>259</v>
      </c>
      <c r="B78" s="6"/>
      <c r="C78" s="130">
        <f>SUM(C72:C77)</f>
        <v>1214683.1100000001</v>
      </c>
      <c r="D78" s="130">
        <f>SUM(D72:D77)</f>
        <v>22366.81</v>
      </c>
      <c r="E78" s="130">
        <f>SUM(E72:E77)</f>
        <v>57832.4</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18553205.289999999</v>
      </c>
      <c r="D81" s="130">
        <f>SUM(D79:D80)+D78+D70</f>
        <v>22366.81</v>
      </c>
      <c r="E81" s="130">
        <f>SUM(E79:E80)+E78+E70</f>
        <v>57832.4</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295497.81</v>
      </c>
      <c r="D88" s="95">
        <f>SUM('DOE25'!G153:G161)</f>
        <v>205421.07</v>
      </c>
      <c r="E88" s="95">
        <f>SUM('DOE25'!H153:H161)</f>
        <v>1189057.6599999999</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295497.81</v>
      </c>
      <c r="D91" s="131">
        <f>SUM(D85:D90)</f>
        <v>205421.07</v>
      </c>
      <c r="E91" s="131">
        <f>SUM(E85:E90)</f>
        <v>1189057.6599999999</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491153</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491153</v>
      </c>
      <c r="D103" s="86">
        <f>SUM(D93:D102)</f>
        <v>0</v>
      </c>
      <c r="E103" s="86">
        <f>SUM(E93:E102)</f>
        <v>0</v>
      </c>
      <c r="F103" s="86">
        <f>SUM(F93:F102)</f>
        <v>0</v>
      </c>
      <c r="G103" s="86">
        <f>SUM(G93:G102)</f>
        <v>0</v>
      </c>
    </row>
    <row r="104" spans="1:7" ht="12.75" thickTop="1" thickBot="1" x14ac:dyDescent="0.25">
      <c r="A104" s="33" t="s">
        <v>761</v>
      </c>
      <c r="C104" s="86">
        <f>C63+C81+C91+C103</f>
        <v>67875685.969999999</v>
      </c>
      <c r="D104" s="86">
        <f>D63+D81+D91+D103</f>
        <v>1805025.7200000002</v>
      </c>
      <c r="E104" s="86">
        <f>E63+E81+E91+E103</f>
        <v>1324384.46</v>
      </c>
      <c r="F104" s="86">
        <f>F63+F81+F91+F103</f>
        <v>0</v>
      </c>
      <c r="G104" s="86">
        <f>G63+G81+G103</f>
        <v>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29406095.07</v>
      </c>
      <c r="D109" s="24" t="s">
        <v>288</v>
      </c>
      <c r="E109" s="95">
        <f>('DOE25'!L276)+('DOE25'!L295)+('DOE25'!L314)</f>
        <v>191447.25</v>
      </c>
      <c r="F109" s="24" t="s">
        <v>288</v>
      </c>
      <c r="G109" s="24" t="s">
        <v>288</v>
      </c>
    </row>
    <row r="110" spans="1:7" x14ac:dyDescent="0.2">
      <c r="A110" t="s">
        <v>198</v>
      </c>
      <c r="B110" s="32" t="s">
        <v>199</v>
      </c>
      <c r="C110" s="95">
        <f>('DOE25'!L198)+('DOE25'!L216)+('DOE25'!L234)</f>
        <v>11871855.26</v>
      </c>
      <c r="D110" s="24" t="s">
        <v>288</v>
      </c>
      <c r="E110" s="95">
        <f>('DOE25'!L277)+('DOE25'!L296)+('DOE25'!L315)</f>
        <v>602736.27999999991</v>
      </c>
      <c r="F110" s="24" t="s">
        <v>288</v>
      </c>
      <c r="G110" s="24" t="s">
        <v>288</v>
      </c>
    </row>
    <row r="111" spans="1:7" x14ac:dyDescent="0.2">
      <c r="A111" t="s">
        <v>200</v>
      </c>
      <c r="B111" s="32" t="s">
        <v>165</v>
      </c>
      <c r="C111" s="95">
        <f>('DOE25'!L199)+('DOE25'!L217)+('DOE25'!L235)</f>
        <v>74499.61</v>
      </c>
      <c r="D111" s="24" t="s">
        <v>288</v>
      </c>
      <c r="E111" s="95">
        <f>('DOE25'!L278)+('DOE25'!L297)+('DOE25'!L316)</f>
        <v>0</v>
      </c>
      <c r="F111" s="24" t="s">
        <v>288</v>
      </c>
      <c r="G111" s="24" t="s">
        <v>288</v>
      </c>
    </row>
    <row r="112" spans="1:7" x14ac:dyDescent="0.2">
      <c r="A112" t="s">
        <v>201</v>
      </c>
      <c r="B112" s="32" t="s">
        <v>167</v>
      </c>
      <c r="C112" s="95">
        <f>('DOE25'!L200)+('DOE25'!L218)+('DOE25'!L236)</f>
        <v>1393394.68</v>
      </c>
      <c r="D112" s="24" t="s">
        <v>288</v>
      </c>
      <c r="E112" s="95">
        <f>+('DOE25'!L279)+('DOE25'!L298)+('DOE25'!L317)</f>
        <v>12118.43</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4948.0200000000004</v>
      </c>
      <c r="D114" s="24" t="s">
        <v>288</v>
      </c>
      <c r="E114" s="95">
        <f>+ SUM('DOE25'!L333:L335)</f>
        <v>7835.69</v>
      </c>
      <c r="F114" s="24" t="s">
        <v>288</v>
      </c>
      <c r="G114" s="24" t="s">
        <v>288</v>
      </c>
    </row>
    <row r="115" spans="1:7" ht="12.75" thickTop="1" thickBot="1" x14ac:dyDescent="0.25">
      <c r="A115" s="33" t="s">
        <v>205</v>
      </c>
      <c r="C115" s="86">
        <f>SUM(C109:C114)</f>
        <v>42750792.640000001</v>
      </c>
      <c r="D115" s="86">
        <f>SUM(D109:D114)</f>
        <v>0</v>
      </c>
      <c r="E115" s="86">
        <f>SUM(E109:E114)</f>
        <v>814137.64999999991</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4347646.93</v>
      </c>
      <c r="D118" s="24" t="s">
        <v>288</v>
      </c>
      <c r="E118" s="95">
        <f>+('DOE25'!L281)+('DOE25'!L300)+('DOE25'!L319)</f>
        <v>309782.49</v>
      </c>
      <c r="F118" s="24" t="s">
        <v>288</v>
      </c>
      <c r="G118" s="24" t="s">
        <v>288</v>
      </c>
    </row>
    <row r="119" spans="1:7" x14ac:dyDescent="0.2">
      <c r="A119" t="s">
        <v>208</v>
      </c>
      <c r="B119" s="32" t="s">
        <v>209</v>
      </c>
      <c r="C119" s="95">
        <f>('DOE25'!L203)+('DOE25'!L221)+('DOE25'!L239)</f>
        <v>1600395.01</v>
      </c>
      <c r="D119" s="24" t="s">
        <v>288</v>
      </c>
      <c r="E119" s="95">
        <f>+('DOE25'!L282)+('DOE25'!L301)+('DOE25'!L320)</f>
        <v>76841.600000000006</v>
      </c>
      <c r="F119" s="24" t="s">
        <v>288</v>
      </c>
      <c r="G119" s="24" t="s">
        <v>288</v>
      </c>
    </row>
    <row r="120" spans="1:7" x14ac:dyDescent="0.2">
      <c r="A120" t="s">
        <v>210</v>
      </c>
      <c r="B120" s="32" t="s">
        <v>211</v>
      </c>
      <c r="C120" s="95">
        <f>('DOE25'!L204)+('DOE25'!L222)+('DOE25'!L240)</f>
        <v>1636715.8399999999</v>
      </c>
      <c r="D120" s="24" t="s">
        <v>288</v>
      </c>
      <c r="E120" s="95">
        <f>+('DOE25'!L283)+('DOE25'!L302)+('DOE25'!L321)</f>
        <v>24251.539999999997</v>
      </c>
      <c r="F120" s="24" t="s">
        <v>288</v>
      </c>
      <c r="G120" s="24" t="s">
        <v>288</v>
      </c>
    </row>
    <row r="121" spans="1:7" x14ac:dyDescent="0.2">
      <c r="A121" t="s">
        <v>212</v>
      </c>
      <c r="B121" s="32" t="s">
        <v>213</v>
      </c>
      <c r="C121" s="95">
        <f>('DOE25'!L205)+('DOE25'!L223)+('DOE25'!L241)</f>
        <v>4888788.6999999993</v>
      </c>
      <c r="D121" s="24" t="s">
        <v>288</v>
      </c>
      <c r="E121" s="95">
        <f>+('DOE25'!L284)+('DOE25'!L303)+('DOE25'!L322)</f>
        <v>0</v>
      </c>
      <c r="F121" s="24" t="s">
        <v>288</v>
      </c>
      <c r="G121" s="24" t="s">
        <v>288</v>
      </c>
    </row>
    <row r="122" spans="1:7" x14ac:dyDescent="0.2">
      <c r="A122" t="s">
        <v>214</v>
      </c>
      <c r="B122" s="32" t="s">
        <v>215</v>
      </c>
      <c r="C122" s="95">
        <f>('DOE25'!L206)+('DOE25'!L224)+('DOE25'!L242)</f>
        <v>684961.86</v>
      </c>
      <c r="D122" s="24" t="s">
        <v>288</v>
      </c>
      <c r="E122" s="95">
        <f>+('DOE25'!L285)+('DOE25'!L304)+('DOE25'!L323)</f>
        <v>3478.3</v>
      </c>
      <c r="F122" s="24" t="s">
        <v>288</v>
      </c>
      <c r="G122" s="24" t="s">
        <v>288</v>
      </c>
    </row>
    <row r="123" spans="1:7" x14ac:dyDescent="0.2">
      <c r="A123" t="s">
        <v>216</v>
      </c>
      <c r="B123" s="32" t="s">
        <v>217</v>
      </c>
      <c r="C123" s="95">
        <f>('DOE25'!L207)+('DOE25'!L225)+('DOE25'!L243)</f>
        <v>5605611.2699999996</v>
      </c>
      <c r="D123" s="24" t="s">
        <v>288</v>
      </c>
      <c r="E123" s="95">
        <f>+('DOE25'!L286)+('DOE25'!L305)+('DOE25'!L324)</f>
        <v>93846.1</v>
      </c>
      <c r="F123" s="24" t="s">
        <v>288</v>
      </c>
      <c r="G123" s="24" t="s">
        <v>288</v>
      </c>
    </row>
    <row r="124" spans="1:7" x14ac:dyDescent="0.2">
      <c r="A124" t="s">
        <v>218</v>
      </c>
      <c r="B124" s="32" t="s">
        <v>219</v>
      </c>
      <c r="C124" s="95">
        <f>('DOE25'!L208)+('DOE25'!L226)+('DOE25'!L244+'DOE25'!L254)</f>
        <v>3098872.25</v>
      </c>
      <c r="D124" s="24" t="s">
        <v>288</v>
      </c>
      <c r="E124" s="95">
        <f>+('DOE25'!L287)+('DOE25'!L306)+('DOE25'!L325)</f>
        <v>2046.7799999999997</v>
      </c>
      <c r="F124" s="24" t="s">
        <v>288</v>
      </c>
      <c r="G124" s="24" t="s">
        <v>288</v>
      </c>
    </row>
    <row r="125" spans="1:7" x14ac:dyDescent="0.2">
      <c r="A125" t="s">
        <v>220</v>
      </c>
      <c r="B125" s="32" t="s">
        <v>221</v>
      </c>
      <c r="C125" s="95">
        <f>('DOE25'!L209)+('DOE25'!L227)+('DOE25'!L245)</f>
        <v>84380.14</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1927274.6800000002</v>
      </c>
      <c r="E127" s="24" t="s">
        <v>288</v>
      </c>
      <c r="F127" s="24" t="s">
        <v>288</v>
      </c>
      <c r="G127" s="24" t="s">
        <v>288</v>
      </c>
    </row>
    <row r="128" spans="1:7" ht="12.75" thickTop="1" thickBot="1" x14ac:dyDescent="0.25">
      <c r="A128" s="33" t="s">
        <v>226</v>
      </c>
      <c r="C128" s="86">
        <f>SUM(C118:C127)</f>
        <v>21947372</v>
      </c>
      <c r="D128" s="86">
        <f>SUM(D118:D127)</f>
        <v>1927274.6800000002</v>
      </c>
      <c r="E128" s="86">
        <f>SUM(E118:E127)</f>
        <v>510246.80999999994</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2215000</v>
      </c>
      <c r="D131" s="24" t="s">
        <v>288</v>
      </c>
      <c r="E131" s="129">
        <f>'DOE25'!L341</f>
        <v>0</v>
      </c>
      <c r="F131" s="24" t="s">
        <v>288</v>
      </c>
      <c r="G131" s="24" t="s">
        <v>288</v>
      </c>
    </row>
    <row r="132" spans="1:7" x14ac:dyDescent="0.2">
      <c r="A132" t="s">
        <v>230</v>
      </c>
      <c r="B132" s="32">
        <v>5120</v>
      </c>
      <c r="C132" s="95">
        <f>'DOE25'!L261</f>
        <v>1192730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491153.01</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0</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0</v>
      </c>
      <c r="D141" s="24" t="s">
        <v>288</v>
      </c>
      <c r="E141" s="24" t="s">
        <v>288</v>
      </c>
      <c r="F141" s="24" t="s">
        <v>288</v>
      </c>
      <c r="G141" s="24" t="s">
        <v>288</v>
      </c>
    </row>
    <row r="142" spans="1:7" x14ac:dyDescent="0.2">
      <c r="A142" t="s">
        <v>241</v>
      </c>
      <c r="B142" s="32">
        <v>5310</v>
      </c>
      <c r="C142" s="129">
        <f>'DOE25'!L268</f>
        <v>7835</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3415565</v>
      </c>
      <c r="D144" s="141">
        <f>SUM(D130:D143)</f>
        <v>0</v>
      </c>
      <c r="E144" s="141">
        <f>SUM(E130:E143)</f>
        <v>0</v>
      </c>
      <c r="F144" s="141">
        <f>SUM(F130:F143)</f>
        <v>0</v>
      </c>
      <c r="G144" s="141">
        <f>SUM(G130:G143)</f>
        <v>491153.01</v>
      </c>
    </row>
    <row r="145" spans="1:9" ht="12.75" thickTop="1" thickBot="1" x14ac:dyDescent="0.25">
      <c r="A145" s="33" t="s">
        <v>244</v>
      </c>
      <c r="C145" s="86">
        <f>(C115+C128+C144)</f>
        <v>68113729.640000001</v>
      </c>
      <c r="D145" s="86">
        <f>(D115+D128+D144)</f>
        <v>1927274.6800000002</v>
      </c>
      <c r="E145" s="86">
        <f>(E115+E128+E144)</f>
        <v>1324384.46</v>
      </c>
      <c r="F145" s="86">
        <f>(F115+F128+F144)</f>
        <v>0</v>
      </c>
      <c r="G145" s="86">
        <f>(G115+G128+G144)</f>
        <v>491153.01</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10</v>
      </c>
      <c r="C151" s="153">
        <f>'DOE25'!G490</f>
        <v>20</v>
      </c>
      <c r="D151" s="153">
        <f>'DOE25'!H490</f>
        <v>15</v>
      </c>
      <c r="E151" s="153">
        <f>'DOE25'!I490</f>
        <v>0</v>
      </c>
      <c r="F151" s="153">
        <f>'DOE25'!J490</f>
        <v>0</v>
      </c>
      <c r="G151" s="24" t="s">
        <v>288</v>
      </c>
    </row>
    <row r="152" spans="1:9" x14ac:dyDescent="0.2">
      <c r="A152" s="136" t="s">
        <v>28</v>
      </c>
      <c r="B152" s="152" t="str">
        <f>'DOE25'!F491</f>
        <v>8/08</v>
      </c>
      <c r="C152" s="152" t="str">
        <f>'DOE25'!G491</f>
        <v>6/06</v>
      </c>
      <c r="D152" s="152" t="str">
        <f>'DOE25'!H491</f>
        <v>11/14</v>
      </c>
      <c r="E152" s="152">
        <f>'DOE25'!I491</f>
        <v>0</v>
      </c>
      <c r="F152" s="152">
        <f>'DOE25'!J491</f>
        <v>0</v>
      </c>
      <c r="G152" s="24" t="s">
        <v>288</v>
      </c>
    </row>
    <row r="153" spans="1:9" x14ac:dyDescent="0.2">
      <c r="A153" s="136" t="s">
        <v>29</v>
      </c>
      <c r="B153" s="152" t="str">
        <f>'DOE25'!F492</f>
        <v>8/18</v>
      </c>
      <c r="C153" s="152" t="str">
        <f>'DOE25'!G492</f>
        <v>7/26</v>
      </c>
      <c r="D153" s="152" t="str">
        <f>'DOE25'!H492</f>
        <v>07/29</v>
      </c>
      <c r="E153" s="152">
        <f>'DOE25'!I492</f>
        <v>0</v>
      </c>
      <c r="F153" s="152">
        <f>'DOE25'!J492</f>
        <v>0</v>
      </c>
      <c r="G153" s="24" t="s">
        <v>288</v>
      </c>
    </row>
    <row r="154" spans="1:9" x14ac:dyDescent="0.2">
      <c r="A154" s="136" t="s">
        <v>30</v>
      </c>
      <c r="B154" s="137">
        <f>'DOE25'!F493</f>
        <v>3935000</v>
      </c>
      <c r="C154" s="137">
        <f>'DOE25'!G493</f>
        <v>800000</v>
      </c>
      <c r="D154" s="137">
        <f>'DOE25'!H493</f>
        <v>32715000</v>
      </c>
      <c r="E154" s="137">
        <f>'DOE25'!I493</f>
        <v>0</v>
      </c>
      <c r="F154" s="137">
        <f>'DOE25'!J493</f>
        <v>0</v>
      </c>
      <c r="G154" s="24" t="s">
        <v>288</v>
      </c>
    </row>
    <row r="155" spans="1:9" x14ac:dyDescent="0.2">
      <c r="A155" s="136" t="s">
        <v>31</v>
      </c>
      <c r="B155" s="137">
        <f>'DOE25'!F494</f>
        <v>3.34</v>
      </c>
      <c r="C155" s="137">
        <f>'DOE25'!G494</f>
        <v>4.5199999999999996</v>
      </c>
      <c r="D155" s="137">
        <f>'DOE25'!H494</f>
        <v>2.63</v>
      </c>
      <c r="E155" s="137">
        <f>'DOE25'!I494</f>
        <v>0</v>
      </c>
      <c r="F155" s="137">
        <f>'DOE25'!J494</f>
        <v>0</v>
      </c>
      <c r="G155" s="24" t="s">
        <v>288</v>
      </c>
    </row>
    <row r="156" spans="1:9" x14ac:dyDescent="0.2">
      <c r="A156" s="22" t="s">
        <v>32</v>
      </c>
      <c r="B156" s="137">
        <f>'DOE25'!F495</f>
        <v>380000</v>
      </c>
      <c r="C156" s="137">
        <f>'DOE25'!G495</f>
        <v>360000</v>
      </c>
      <c r="D156" s="137">
        <f>'DOE25'!H495</f>
        <v>26240000</v>
      </c>
      <c r="E156" s="137">
        <f>'DOE25'!I495</f>
        <v>0</v>
      </c>
      <c r="F156" s="137">
        <f>'DOE25'!J495</f>
        <v>0</v>
      </c>
      <c r="G156" s="138">
        <f>SUM(B156:F156)</f>
        <v>26980000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380000</v>
      </c>
      <c r="C158" s="137">
        <f>'DOE25'!G497</f>
        <v>40000</v>
      </c>
      <c r="D158" s="137">
        <f>'DOE25'!H497</f>
        <v>1795000</v>
      </c>
      <c r="E158" s="137">
        <f>'DOE25'!I497</f>
        <v>0</v>
      </c>
      <c r="F158" s="137">
        <f>'DOE25'!J497</f>
        <v>0</v>
      </c>
      <c r="G158" s="138">
        <f t="shared" si="0"/>
        <v>2215000</v>
      </c>
    </row>
    <row r="159" spans="1:9" x14ac:dyDescent="0.2">
      <c r="A159" s="22" t="s">
        <v>35</v>
      </c>
      <c r="B159" s="137">
        <f>'DOE25'!F498</f>
        <v>0</v>
      </c>
      <c r="C159" s="137">
        <f>'DOE25'!G498</f>
        <v>320000</v>
      </c>
      <c r="D159" s="137">
        <f>'DOE25'!H498</f>
        <v>24445000</v>
      </c>
      <c r="E159" s="137">
        <f>'DOE25'!I498</f>
        <v>0</v>
      </c>
      <c r="F159" s="137">
        <f>'DOE25'!J498</f>
        <v>0</v>
      </c>
      <c r="G159" s="138">
        <f t="shared" si="0"/>
        <v>24765000</v>
      </c>
    </row>
    <row r="160" spans="1:9" x14ac:dyDescent="0.2">
      <c r="A160" s="22" t="s">
        <v>36</v>
      </c>
      <c r="B160" s="137">
        <f>'DOE25'!F499</f>
        <v>0</v>
      </c>
      <c r="C160" s="137">
        <f>'DOE25'!G499</f>
        <v>58735</v>
      </c>
      <c r="D160" s="137">
        <f>'DOE25'!H499</f>
        <v>6986700</v>
      </c>
      <c r="E160" s="137">
        <f>'DOE25'!I499</f>
        <v>0</v>
      </c>
      <c r="F160" s="137">
        <f>'DOE25'!J499</f>
        <v>0</v>
      </c>
      <c r="G160" s="138">
        <f t="shared" si="0"/>
        <v>7045435</v>
      </c>
    </row>
    <row r="161" spans="1:7" x14ac:dyDescent="0.2">
      <c r="A161" s="22" t="s">
        <v>37</v>
      </c>
      <c r="B161" s="137">
        <f>'DOE25'!F500</f>
        <v>0</v>
      </c>
      <c r="C161" s="137">
        <f>'DOE25'!G500</f>
        <v>378735</v>
      </c>
      <c r="D161" s="137">
        <f>'DOE25'!H500</f>
        <v>31431700</v>
      </c>
      <c r="E161" s="137">
        <f>'DOE25'!I500</f>
        <v>0</v>
      </c>
      <c r="F161" s="137">
        <f>'DOE25'!J500</f>
        <v>0</v>
      </c>
      <c r="G161" s="138">
        <f t="shared" si="0"/>
        <v>31810435</v>
      </c>
    </row>
    <row r="162" spans="1:7" x14ac:dyDescent="0.2">
      <c r="A162" s="22" t="s">
        <v>38</v>
      </c>
      <c r="B162" s="137">
        <f>'DOE25'!F501</f>
        <v>0</v>
      </c>
      <c r="C162" s="137">
        <f>'DOE25'!G501</f>
        <v>40000</v>
      </c>
      <c r="D162" s="137">
        <f>'DOE25'!H501</f>
        <v>1710000</v>
      </c>
      <c r="E162" s="137">
        <f>'DOE25'!I501</f>
        <v>0</v>
      </c>
      <c r="F162" s="137">
        <f>'DOE25'!J501</f>
        <v>0</v>
      </c>
      <c r="G162" s="138">
        <f t="shared" si="0"/>
        <v>1750000</v>
      </c>
    </row>
    <row r="163" spans="1:7" x14ac:dyDescent="0.2">
      <c r="A163" s="22" t="s">
        <v>39</v>
      </c>
      <c r="B163" s="137">
        <f>'DOE25'!F502</f>
        <v>0</v>
      </c>
      <c r="C163" s="137">
        <f>'DOE25'!G502</f>
        <v>13670</v>
      </c>
      <c r="D163" s="137">
        <f>'DOE25'!H502</f>
        <v>1116350</v>
      </c>
      <c r="E163" s="137">
        <f>'DOE25'!I502</f>
        <v>0</v>
      </c>
      <c r="F163" s="137">
        <f>'DOE25'!J502</f>
        <v>0</v>
      </c>
      <c r="G163" s="138">
        <f t="shared" si="0"/>
        <v>1130020</v>
      </c>
    </row>
    <row r="164" spans="1:7" x14ac:dyDescent="0.2">
      <c r="A164" s="22" t="s">
        <v>246</v>
      </c>
      <c r="B164" s="137">
        <f>'DOE25'!F503</f>
        <v>0</v>
      </c>
      <c r="C164" s="137">
        <f>'DOE25'!G503</f>
        <v>53670</v>
      </c>
      <c r="D164" s="137">
        <f>'DOE25'!H503</f>
        <v>2826350</v>
      </c>
      <c r="E164" s="137">
        <f>'DOE25'!I503</f>
        <v>0</v>
      </c>
      <c r="F164" s="137">
        <f>'DOE25'!J503</f>
        <v>0</v>
      </c>
      <c r="G164" s="138">
        <f t="shared" si="0"/>
        <v>2880020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topLeftCell="A4" workbookViewId="0">
      <selection activeCell="F583" sqref="F583"/>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5" t="s">
        <v>736</v>
      </c>
      <c r="B1" s="335"/>
      <c r="C1" s="335"/>
      <c r="D1" s="335"/>
    </row>
    <row r="2" spans="1:4" x14ac:dyDescent="0.2">
      <c r="A2" s="187" t="s">
        <v>713</v>
      </c>
      <c r="B2" s="186" t="str">
        <f>'DOE25'!A2</f>
        <v>Bedford School District</v>
      </c>
    </row>
    <row r="3" spans="1:4" x14ac:dyDescent="0.2">
      <c r="B3" s="188" t="s">
        <v>1600</v>
      </c>
    </row>
    <row r="4" spans="1:4" x14ac:dyDescent="0.2">
      <c r="B4" t="s">
        <v>61</v>
      </c>
      <c r="C4" s="179">
        <f>IF('DOE25'!F665+'DOE25'!F670=0,0,ROUND('DOE25'!F672,0))</f>
        <v>14168</v>
      </c>
    </row>
    <row r="5" spans="1:4" x14ac:dyDescent="0.2">
      <c r="B5" t="s">
        <v>700</v>
      </c>
      <c r="C5" s="179">
        <f>IF('DOE25'!G665+'DOE25'!G670=0,0,ROUND('DOE25'!G672,0))</f>
        <v>13463</v>
      </c>
    </row>
    <row r="6" spans="1:4" x14ac:dyDescent="0.2">
      <c r="B6" t="s">
        <v>62</v>
      </c>
      <c r="C6" s="179">
        <f>IF('DOE25'!H665+'DOE25'!H670=0,0,ROUND('DOE25'!H672,0))</f>
        <v>13740</v>
      </c>
    </row>
    <row r="7" spans="1:4" x14ac:dyDescent="0.2">
      <c r="B7" t="s">
        <v>701</v>
      </c>
      <c r="C7" s="179">
        <f>IF('DOE25'!I665+'DOE25'!I670=0,0,ROUND('DOE25'!I672,0))</f>
        <v>13902</v>
      </c>
    </row>
    <row r="9" spans="1:4" x14ac:dyDescent="0.2">
      <c r="A9" s="187" t="s">
        <v>94</v>
      </c>
      <c r="B9" s="188" t="s">
        <v>1601</v>
      </c>
      <c r="C9" s="181" t="s">
        <v>720</v>
      </c>
      <c r="D9" s="181" t="s">
        <v>721</v>
      </c>
    </row>
    <row r="10" spans="1:4" x14ac:dyDescent="0.2">
      <c r="A10">
        <v>1100</v>
      </c>
      <c r="B10" t="s">
        <v>702</v>
      </c>
      <c r="C10" s="179">
        <f>ROUND('DOE25'!L197+'DOE25'!L215+'DOE25'!L233+'DOE25'!L276+'DOE25'!L295+'DOE25'!L314,0)</f>
        <v>29597542</v>
      </c>
      <c r="D10" s="182">
        <f>ROUND((C10/$C$28)*100,1)</f>
        <v>43.8</v>
      </c>
    </row>
    <row r="11" spans="1:4" x14ac:dyDescent="0.2">
      <c r="A11">
        <v>1200</v>
      </c>
      <c r="B11" t="s">
        <v>703</v>
      </c>
      <c r="C11" s="179">
        <f>ROUND('DOE25'!L198+'DOE25'!L216+'DOE25'!L234+'DOE25'!L277+'DOE25'!L296+'DOE25'!L315,0)</f>
        <v>12474592</v>
      </c>
      <c r="D11" s="182">
        <f>ROUND((C11/$C$28)*100,1)</f>
        <v>18.5</v>
      </c>
    </row>
    <row r="12" spans="1:4" x14ac:dyDescent="0.2">
      <c r="A12">
        <v>1300</v>
      </c>
      <c r="B12" t="s">
        <v>704</v>
      </c>
      <c r="C12" s="179">
        <f>ROUND('DOE25'!L199+'DOE25'!L217+'DOE25'!L235+'DOE25'!L278+'DOE25'!L297+'DOE25'!L316,0)</f>
        <v>74500</v>
      </c>
      <c r="D12" s="182">
        <f>ROUND((C12/$C$28)*100,1)</f>
        <v>0.1</v>
      </c>
    </row>
    <row r="13" spans="1:4" x14ac:dyDescent="0.2">
      <c r="A13">
        <v>1400</v>
      </c>
      <c r="B13" t="s">
        <v>705</v>
      </c>
      <c r="C13" s="179">
        <f>ROUND('DOE25'!L200+'DOE25'!L218+'DOE25'!L236+'DOE25'!L279+'DOE25'!L298+'DOE25'!L317,0)</f>
        <v>1405513</v>
      </c>
      <c r="D13" s="182">
        <f>ROUND((C13/$C$28)*100,1)</f>
        <v>2.1</v>
      </c>
    </row>
    <row r="14" spans="1:4" x14ac:dyDescent="0.2">
      <c r="D14" s="182"/>
    </row>
    <row r="15" spans="1:4" x14ac:dyDescent="0.2">
      <c r="A15">
        <v>2100</v>
      </c>
      <c r="B15" t="s">
        <v>706</v>
      </c>
      <c r="C15" s="179">
        <f>ROUND('DOE25'!L202+'DOE25'!L220+'DOE25'!L238+'DOE25'!L281+'DOE25'!L300+'DOE25'!L319,0)</f>
        <v>4657429</v>
      </c>
      <c r="D15" s="182">
        <f t="shared" ref="D15:D27" si="0">ROUND((C15/$C$28)*100,1)</f>
        <v>6.9</v>
      </c>
    </row>
    <row r="16" spans="1:4" x14ac:dyDescent="0.2">
      <c r="A16">
        <v>2200</v>
      </c>
      <c r="B16" t="s">
        <v>707</v>
      </c>
      <c r="C16" s="179">
        <f>ROUND('DOE25'!L203+'DOE25'!L221+'DOE25'!L239+'DOE25'!L282+'DOE25'!L301+'DOE25'!L320,0)</f>
        <v>1677237</v>
      </c>
      <c r="D16" s="182">
        <f t="shared" si="0"/>
        <v>2.5</v>
      </c>
    </row>
    <row r="17" spans="1:4" x14ac:dyDescent="0.2">
      <c r="A17" s="183" t="s">
        <v>723</v>
      </c>
      <c r="B17" t="s">
        <v>738</v>
      </c>
      <c r="C17" s="179">
        <f>ROUND('DOE25'!L204+'DOE25'!L209+'DOE25'!L222+'DOE25'!L227+'DOE25'!L240+'DOE25'!L245+'DOE25'!L283+'DOE25'!L288+'DOE25'!L302+'DOE25'!L307+'DOE25'!L321+'DOE25'!L326,0)</f>
        <v>1745348</v>
      </c>
      <c r="D17" s="182">
        <f t="shared" si="0"/>
        <v>2.6</v>
      </c>
    </row>
    <row r="18" spans="1:4" x14ac:dyDescent="0.2">
      <c r="A18">
        <v>2400</v>
      </c>
      <c r="B18" t="s">
        <v>711</v>
      </c>
      <c r="C18" s="179">
        <f>ROUND('DOE25'!L205+'DOE25'!L223+'DOE25'!L241+'DOE25'!L284+'DOE25'!L303+'DOE25'!L322,0)</f>
        <v>4888789</v>
      </c>
      <c r="D18" s="182">
        <f t="shared" si="0"/>
        <v>7.2</v>
      </c>
    </row>
    <row r="19" spans="1:4" x14ac:dyDescent="0.2">
      <c r="A19">
        <v>2500</v>
      </c>
      <c r="B19" t="s">
        <v>708</v>
      </c>
      <c r="C19" s="179">
        <f>ROUND('DOE25'!L206+'DOE25'!L224+'DOE25'!L242+'DOE25'!L285+'DOE25'!L304+'DOE25'!L323,0)</f>
        <v>688440</v>
      </c>
      <c r="D19" s="182">
        <f t="shared" si="0"/>
        <v>1</v>
      </c>
    </row>
    <row r="20" spans="1:4" x14ac:dyDescent="0.2">
      <c r="A20">
        <v>2600</v>
      </c>
      <c r="B20" t="s">
        <v>709</v>
      </c>
      <c r="C20" s="179">
        <f>ROUND('DOE25'!L207+'DOE25'!L225+'DOE25'!L243+'DOE25'!L286+'DOE25'!L305+'DOE25'!L324,0)</f>
        <v>5699457</v>
      </c>
      <c r="D20" s="182">
        <f t="shared" si="0"/>
        <v>8.4</v>
      </c>
    </row>
    <row r="21" spans="1:4" x14ac:dyDescent="0.2">
      <c r="A21">
        <v>2700</v>
      </c>
      <c r="B21" t="s">
        <v>710</v>
      </c>
      <c r="C21" s="179">
        <f>ROUND('DOE25'!L208+'DOE25'!L226+'DOE25'!L244+'DOE25'!L287+'DOE25'!L306+'DOE25'!L325,0)</f>
        <v>3100919</v>
      </c>
      <c r="D21" s="182">
        <f t="shared" si="0"/>
        <v>4.5999999999999996</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12784</v>
      </c>
      <c r="D24" s="182">
        <f t="shared" si="0"/>
        <v>0</v>
      </c>
    </row>
    <row r="25" spans="1:4" x14ac:dyDescent="0.2">
      <c r="A25">
        <v>5120</v>
      </c>
      <c r="B25" t="s">
        <v>716</v>
      </c>
      <c r="C25" s="179">
        <f>ROUND('DOE25'!L261+'DOE25'!L342,0)</f>
        <v>1192730</v>
      </c>
      <c r="D25" s="182">
        <f t="shared" si="0"/>
        <v>1.8</v>
      </c>
    </row>
    <row r="26" spans="1:4" x14ac:dyDescent="0.2">
      <c r="A26" s="183" t="s">
        <v>717</v>
      </c>
      <c r="B26" t="s">
        <v>718</v>
      </c>
      <c r="C26" s="179">
        <f>'DOE25'!L268+'DOE25'!L269+'DOE25'!L349+'DOE25'!L350</f>
        <v>7835</v>
      </c>
      <c r="D26" s="182">
        <f t="shared" si="0"/>
        <v>0</v>
      </c>
    </row>
    <row r="27" spans="1:4" x14ac:dyDescent="0.2">
      <c r="A27">
        <v>3100</v>
      </c>
      <c r="B27" t="s">
        <v>11</v>
      </c>
      <c r="C27" s="179">
        <f>ROUND('DOE25'!L362-'DOE25'!L361,0)-SUM('DOE25'!G97:G110)</f>
        <v>350037.15999999992</v>
      </c>
      <c r="D27" s="182">
        <f t="shared" si="0"/>
        <v>0.5</v>
      </c>
    </row>
    <row r="28" spans="1:4" x14ac:dyDescent="0.2">
      <c r="B28" s="187" t="s">
        <v>719</v>
      </c>
      <c r="C28" s="180">
        <f>SUM(C10:C27)</f>
        <v>67573152.159999996</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67573152.159999996</v>
      </c>
    </row>
    <row r="31" spans="1:4" x14ac:dyDescent="0.2">
      <c r="B31" s="33"/>
      <c r="C31" s="180"/>
    </row>
    <row r="32" spans="1:4" x14ac:dyDescent="0.2">
      <c r="A32">
        <v>5100</v>
      </c>
      <c r="B32" s="33" t="s">
        <v>726</v>
      </c>
      <c r="C32" s="180">
        <f>ROUND('DOE25'!L260+'DOE25'!L341,0)</f>
        <v>2215000</v>
      </c>
    </row>
    <row r="34" spans="1:4" x14ac:dyDescent="0.2">
      <c r="A34" s="187" t="s">
        <v>94</v>
      </c>
      <c r="B34" s="188" t="s">
        <v>1602</v>
      </c>
      <c r="C34" s="181" t="s">
        <v>720</v>
      </c>
      <c r="D34" s="181" t="s">
        <v>721</v>
      </c>
    </row>
    <row r="35" spans="1:4" x14ac:dyDescent="0.2">
      <c r="A35">
        <v>1100</v>
      </c>
      <c r="B35" s="185" t="s">
        <v>727</v>
      </c>
      <c r="C35" s="179">
        <f>ROUND('DOE25'!F60+'DOE25'!G60+'DOE25'!H60+'DOE25'!I60+'DOE25'!J60,0)</f>
        <v>46811635</v>
      </c>
      <c r="D35" s="182">
        <f t="shared" ref="D35:D40" si="1">ROUND((C35/$C$41)*100,1)</f>
        <v>67.900000000000006</v>
      </c>
    </row>
    <row r="36" spans="1:4" x14ac:dyDescent="0.2">
      <c r="B36" s="185" t="s">
        <v>739</v>
      </c>
      <c r="C36" s="179">
        <f>SUM('DOE25'!F112:J112)-SUM('DOE25'!G97:G110)+('DOE25'!F174+'DOE25'!F175+'DOE25'!I174+'DOE25'!I175)-C35</f>
        <v>1801689.2700000033</v>
      </c>
      <c r="D36" s="182">
        <f t="shared" si="1"/>
        <v>2.6</v>
      </c>
    </row>
    <row r="37" spans="1:4" x14ac:dyDescent="0.2">
      <c r="A37" s="183" t="s">
        <v>835</v>
      </c>
      <c r="B37" s="185" t="s">
        <v>728</v>
      </c>
      <c r="C37" s="179">
        <f>ROUND('DOE25'!F117+'DOE25'!F118,0)</f>
        <v>17307350</v>
      </c>
      <c r="D37" s="182">
        <f t="shared" si="1"/>
        <v>25.1</v>
      </c>
    </row>
    <row r="38" spans="1:4" x14ac:dyDescent="0.2">
      <c r="A38" s="183" t="s">
        <v>734</v>
      </c>
      <c r="B38" s="185" t="s">
        <v>729</v>
      </c>
      <c r="C38" s="179">
        <f>ROUND(SUM('DOE25'!F140:J140)-SUM('DOE25'!F117:F119),0)</f>
        <v>1326055</v>
      </c>
      <c r="D38" s="182">
        <f t="shared" si="1"/>
        <v>1.9</v>
      </c>
    </row>
    <row r="39" spans="1:4" x14ac:dyDescent="0.2">
      <c r="A39">
        <v>4000</v>
      </c>
      <c r="B39" s="185" t="s">
        <v>730</v>
      </c>
      <c r="C39" s="179">
        <f>ROUND('DOE25'!F169+'DOE25'!G169+'DOE25'!H169+'DOE25'!I169,0)</f>
        <v>1689977</v>
      </c>
      <c r="D39" s="182">
        <f t="shared" si="1"/>
        <v>2.5</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68936706.270000011</v>
      </c>
      <c r="D41" s="184">
        <f>SUM(D35:D40)</f>
        <v>100</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583" sqref="F583"/>
      <selection pane="bottomLeft" activeCell="F583" sqref="F583"/>
    </sheetView>
  </sheetViews>
  <sheetFormatPr defaultRowHeight="11.25" x14ac:dyDescent="0.2"/>
  <cols>
    <col min="1" max="1" width="10.33203125" customWidth="1"/>
    <col min="14" max="14" width="6.1640625" customWidth="1"/>
  </cols>
  <sheetData>
    <row r="1" spans="1:26" ht="16.5" thickTop="1" x14ac:dyDescent="0.25">
      <c r="A1" s="340" t="s">
        <v>766</v>
      </c>
      <c r="B1" s="341"/>
      <c r="C1" s="341"/>
      <c r="D1" s="341"/>
      <c r="E1" s="341"/>
      <c r="F1" s="341"/>
      <c r="G1" s="341"/>
      <c r="H1" s="341"/>
      <c r="I1" s="341"/>
      <c r="J1" s="213"/>
      <c r="K1" s="213"/>
      <c r="L1" s="213"/>
      <c r="M1" s="214"/>
    </row>
    <row r="2" spans="1:26" ht="12.75" x14ac:dyDescent="0.2">
      <c r="A2" s="346" t="s">
        <v>763</v>
      </c>
      <c r="B2" s="347"/>
      <c r="C2" s="347"/>
      <c r="D2" s="347"/>
      <c r="E2" s="347"/>
      <c r="F2" s="344" t="str">
        <f>'DOE25'!A2</f>
        <v>Bedford School District</v>
      </c>
      <c r="G2" s="345"/>
      <c r="H2" s="345"/>
      <c r="I2" s="345"/>
      <c r="J2" s="52"/>
      <c r="K2" s="52"/>
      <c r="L2" s="52"/>
      <c r="M2" s="215"/>
    </row>
    <row r="3" spans="1:26" x14ac:dyDescent="0.2">
      <c r="A3" s="216" t="s">
        <v>764</v>
      </c>
      <c r="B3" s="217" t="s">
        <v>765</v>
      </c>
      <c r="C3" s="342" t="s">
        <v>767</v>
      </c>
      <c r="D3" s="342"/>
      <c r="E3" s="342"/>
      <c r="F3" s="342"/>
      <c r="G3" s="342"/>
      <c r="H3" s="342"/>
      <c r="I3" s="342"/>
      <c r="J3" s="342"/>
      <c r="K3" s="342"/>
      <c r="L3" s="342"/>
      <c r="M3" s="343"/>
    </row>
    <row r="4" spans="1:26" x14ac:dyDescent="0.2">
      <c r="A4" s="218">
        <v>19</v>
      </c>
      <c r="B4" s="219">
        <v>3</v>
      </c>
      <c r="C4" s="338" t="s">
        <v>1613</v>
      </c>
      <c r="D4" s="338"/>
      <c r="E4" s="338"/>
      <c r="F4" s="338"/>
      <c r="G4" s="338"/>
      <c r="H4" s="338"/>
      <c r="I4" s="338"/>
      <c r="J4" s="338"/>
      <c r="K4" s="338"/>
      <c r="L4" s="338"/>
      <c r="M4" s="339"/>
      <c r="N4" s="126"/>
      <c r="O4" s="126"/>
      <c r="P4" s="126"/>
      <c r="Q4" s="126"/>
      <c r="R4" s="126"/>
      <c r="S4" s="126"/>
      <c r="T4" s="126"/>
      <c r="U4" s="126"/>
      <c r="V4" s="126"/>
      <c r="W4" s="126"/>
      <c r="X4" s="126"/>
      <c r="Y4" s="126"/>
      <c r="Z4" s="126"/>
    </row>
    <row r="5" spans="1:26" x14ac:dyDescent="0.2">
      <c r="A5" s="218">
        <v>22</v>
      </c>
      <c r="B5" s="219">
        <v>18</v>
      </c>
      <c r="C5" s="338" t="s">
        <v>1620</v>
      </c>
      <c r="D5" s="338"/>
      <c r="E5" s="338"/>
      <c r="F5" s="338"/>
      <c r="G5" s="338"/>
      <c r="H5" s="338"/>
      <c r="I5" s="338"/>
      <c r="J5" s="338"/>
      <c r="K5" s="338"/>
      <c r="L5" s="338"/>
      <c r="M5" s="339"/>
      <c r="N5" s="126"/>
      <c r="O5" s="126"/>
      <c r="P5" s="126"/>
      <c r="Q5" s="126"/>
      <c r="R5" s="126"/>
      <c r="S5" s="126"/>
      <c r="T5" s="126"/>
      <c r="U5" s="126"/>
      <c r="V5" s="126"/>
      <c r="W5" s="126"/>
      <c r="X5" s="126"/>
      <c r="Y5" s="126"/>
      <c r="Z5" s="126"/>
    </row>
    <row r="6" spans="1:26" x14ac:dyDescent="0.2">
      <c r="A6" s="218">
        <v>4</v>
      </c>
      <c r="B6" s="219">
        <v>4</v>
      </c>
      <c r="C6" s="338" t="s">
        <v>1621</v>
      </c>
      <c r="D6" s="338"/>
      <c r="E6" s="338"/>
      <c r="F6" s="338"/>
      <c r="G6" s="338"/>
      <c r="H6" s="338"/>
      <c r="I6" s="338"/>
      <c r="J6" s="338"/>
      <c r="K6" s="338"/>
      <c r="L6" s="338"/>
      <c r="M6" s="339"/>
      <c r="N6" s="126"/>
      <c r="O6" s="126"/>
      <c r="P6" s="126"/>
      <c r="Q6" s="126"/>
      <c r="R6" s="126"/>
      <c r="S6" s="126"/>
      <c r="T6" s="126"/>
      <c r="U6" s="126"/>
      <c r="V6" s="126"/>
      <c r="W6" s="126"/>
      <c r="X6" s="126"/>
      <c r="Y6" s="126"/>
      <c r="Z6" s="126"/>
    </row>
    <row r="7" spans="1:26" x14ac:dyDescent="0.2">
      <c r="A7" s="218">
        <v>4</v>
      </c>
      <c r="B7" s="219">
        <v>11</v>
      </c>
      <c r="C7" s="338" t="s">
        <v>1622</v>
      </c>
      <c r="D7" s="338"/>
      <c r="E7" s="338"/>
      <c r="F7" s="338"/>
      <c r="G7" s="338"/>
      <c r="H7" s="338"/>
      <c r="I7" s="338"/>
      <c r="J7" s="338"/>
      <c r="K7" s="338"/>
      <c r="L7" s="338"/>
      <c r="M7" s="339"/>
      <c r="N7" s="126"/>
      <c r="O7" s="126"/>
      <c r="P7" s="126"/>
      <c r="Q7" s="126"/>
      <c r="R7" s="126"/>
      <c r="S7" s="126"/>
      <c r="T7" s="126"/>
      <c r="U7" s="126"/>
      <c r="V7" s="126"/>
      <c r="W7" s="126"/>
      <c r="X7" s="126"/>
      <c r="Y7" s="126"/>
      <c r="Z7" s="126"/>
    </row>
    <row r="8" spans="1:26" x14ac:dyDescent="0.2">
      <c r="A8" s="218">
        <v>4</v>
      </c>
      <c r="B8" s="219">
        <v>18</v>
      </c>
      <c r="C8" s="338" t="s">
        <v>1623</v>
      </c>
      <c r="D8" s="338"/>
      <c r="E8" s="338"/>
      <c r="F8" s="338"/>
      <c r="G8" s="338"/>
      <c r="H8" s="338"/>
      <c r="I8" s="338"/>
      <c r="J8" s="338"/>
      <c r="K8" s="338"/>
      <c r="L8" s="338"/>
      <c r="M8" s="339"/>
      <c r="N8" s="126"/>
      <c r="O8" s="126"/>
      <c r="P8" s="126"/>
      <c r="Q8" s="126"/>
      <c r="R8" s="126"/>
      <c r="S8" s="126"/>
      <c r="T8" s="126"/>
      <c r="U8" s="126"/>
      <c r="V8" s="126"/>
      <c r="W8" s="126"/>
      <c r="X8" s="126"/>
      <c r="Y8" s="126"/>
      <c r="Z8" s="126"/>
    </row>
    <row r="9" spans="1:26" x14ac:dyDescent="0.2">
      <c r="A9" s="218"/>
      <c r="B9" s="219"/>
      <c r="C9" s="338"/>
      <c r="D9" s="338"/>
      <c r="E9" s="338"/>
      <c r="F9" s="338"/>
      <c r="G9" s="338"/>
      <c r="H9" s="338"/>
      <c r="I9" s="338"/>
      <c r="J9" s="338"/>
      <c r="K9" s="338"/>
      <c r="L9" s="338"/>
      <c r="M9" s="339"/>
      <c r="N9" s="126"/>
      <c r="O9" s="126"/>
      <c r="P9" s="126"/>
      <c r="Q9" s="126"/>
      <c r="R9" s="126"/>
      <c r="S9" s="126"/>
      <c r="T9" s="126"/>
      <c r="U9" s="126"/>
      <c r="V9" s="126"/>
      <c r="W9" s="126"/>
      <c r="X9" s="126"/>
      <c r="Y9" s="126"/>
      <c r="Z9" s="126"/>
    </row>
    <row r="10" spans="1:26" x14ac:dyDescent="0.2">
      <c r="A10" s="218"/>
      <c r="B10" s="219"/>
      <c r="C10" s="338" t="s">
        <v>1624</v>
      </c>
      <c r="D10" s="338"/>
      <c r="E10" s="338"/>
      <c r="F10" s="338"/>
      <c r="G10" s="338"/>
      <c r="H10" s="338"/>
      <c r="I10" s="338"/>
      <c r="J10" s="338"/>
      <c r="K10" s="338"/>
      <c r="L10" s="338"/>
      <c r="M10" s="339"/>
      <c r="N10" s="126"/>
      <c r="O10" s="126"/>
      <c r="P10" s="126"/>
      <c r="Q10" s="126"/>
      <c r="R10" s="126"/>
      <c r="S10" s="126"/>
      <c r="T10" s="126"/>
      <c r="U10" s="126"/>
      <c r="V10" s="126"/>
      <c r="W10" s="126"/>
      <c r="X10" s="126"/>
      <c r="Y10" s="126"/>
      <c r="Z10" s="126"/>
    </row>
    <row r="11" spans="1:26" x14ac:dyDescent="0.2">
      <c r="A11" s="218"/>
      <c r="B11" s="219"/>
      <c r="C11" s="338"/>
      <c r="D11" s="338"/>
      <c r="E11" s="338"/>
      <c r="F11" s="338"/>
      <c r="G11" s="338"/>
      <c r="H11" s="338"/>
      <c r="I11" s="338"/>
      <c r="J11" s="338"/>
      <c r="K11" s="338"/>
      <c r="L11" s="338"/>
      <c r="M11" s="339"/>
      <c r="N11" s="126"/>
      <c r="O11" s="126"/>
      <c r="P11" s="126"/>
      <c r="Q11" s="126"/>
      <c r="R11" s="126"/>
      <c r="S11" s="126"/>
      <c r="T11" s="126"/>
      <c r="U11" s="126"/>
      <c r="V11" s="126"/>
      <c r="W11" s="126"/>
      <c r="X11" s="126"/>
      <c r="Y11" s="126"/>
      <c r="Z11" s="126"/>
    </row>
    <row r="12" spans="1:26" x14ac:dyDescent="0.2">
      <c r="A12" s="218"/>
      <c r="B12" s="219"/>
      <c r="C12" s="338" t="s">
        <v>1625</v>
      </c>
      <c r="D12" s="338"/>
      <c r="E12" s="338"/>
      <c r="F12" s="338"/>
      <c r="G12" s="338"/>
      <c r="H12" s="338"/>
      <c r="I12" s="338"/>
      <c r="J12" s="338"/>
      <c r="K12" s="338"/>
      <c r="L12" s="338"/>
      <c r="M12" s="339"/>
      <c r="N12" s="126"/>
      <c r="O12" s="126"/>
      <c r="P12" s="126"/>
      <c r="Q12" s="126"/>
      <c r="R12" s="126"/>
      <c r="S12" s="126"/>
      <c r="T12" s="126"/>
      <c r="U12" s="126"/>
      <c r="V12" s="126"/>
      <c r="W12" s="126"/>
      <c r="X12" s="126"/>
      <c r="Y12" s="126"/>
      <c r="Z12" s="126"/>
    </row>
    <row r="13" spans="1:26" x14ac:dyDescent="0.2">
      <c r="A13" s="218"/>
      <c r="B13" s="219"/>
      <c r="C13" s="338"/>
      <c r="D13" s="338"/>
      <c r="E13" s="338"/>
      <c r="F13" s="338"/>
      <c r="G13" s="338"/>
      <c r="H13" s="338"/>
      <c r="I13" s="338"/>
      <c r="J13" s="338"/>
      <c r="K13" s="338"/>
      <c r="L13" s="338"/>
      <c r="M13" s="339"/>
      <c r="N13" s="126"/>
      <c r="O13" s="126"/>
      <c r="P13" s="126"/>
      <c r="Q13" s="126"/>
      <c r="R13" s="126"/>
      <c r="S13" s="126"/>
      <c r="T13" s="126"/>
      <c r="U13" s="126"/>
      <c r="V13" s="126"/>
      <c r="W13" s="126"/>
      <c r="X13" s="126"/>
      <c r="Y13" s="126"/>
      <c r="Z13" s="126"/>
    </row>
    <row r="14" spans="1:26" x14ac:dyDescent="0.2">
      <c r="A14" s="218"/>
      <c r="B14" s="219"/>
      <c r="C14" s="338"/>
      <c r="D14" s="338"/>
      <c r="E14" s="338"/>
      <c r="F14" s="338"/>
      <c r="G14" s="338"/>
      <c r="H14" s="338"/>
      <c r="I14" s="338"/>
      <c r="J14" s="338"/>
      <c r="K14" s="338"/>
      <c r="L14" s="338"/>
      <c r="M14" s="339"/>
      <c r="N14" s="126"/>
      <c r="O14" s="126"/>
      <c r="P14" s="126"/>
      <c r="Q14" s="126"/>
      <c r="R14" s="126"/>
      <c r="S14" s="126"/>
      <c r="T14" s="126"/>
      <c r="U14" s="126"/>
      <c r="V14" s="126"/>
      <c r="W14" s="126"/>
      <c r="X14" s="126"/>
      <c r="Y14" s="126"/>
      <c r="Z14" s="126"/>
    </row>
    <row r="15" spans="1:26" x14ac:dyDescent="0.2">
      <c r="A15" s="218"/>
      <c r="B15" s="219"/>
      <c r="C15" s="338"/>
      <c r="D15" s="338"/>
      <c r="E15" s="338"/>
      <c r="F15" s="338"/>
      <c r="G15" s="338"/>
      <c r="H15" s="338"/>
      <c r="I15" s="338"/>
      <c r="J15" s="338"/>
      <c r="K15" s="338"/>
      <c r="L15" s="338"/>
      <c r="M15" s="339"/>
      <c r="N15" s="126"/>
      <c r="O15" s="126"/>
      <c r="P15" s="126"/>
      <c r="Q15" s="126"/>
      <c r="R15" s="126"/>
      <c r="S15" s="126"/>
      <c r="T15" s="126"/>
      <c r="U15" s="126"/>
      <c r="V15" s="126"/>
      <c r="W15" s="126"/>
      <c r="X15" s="126"/>
      <c r="Y15" s="126"/>
      <c r="Z15" s="126"/>
    </row>
    <row r="16" spans="1:26" x14ac:dyDescent="0.2">
      <c r="A16" s="218"/>
      <c r="B16" s="219"/>
      <c r="C16" s="338"/>
      <c r="D16" s="338"/>
      <c r="E16" s="338"/>
      <c r="F16" s="338"/>
      <c r="G16" s="338"/>
      <c r="H16" s="338"/>
      <c r="I16" s="338"/>
      <c r="J16" s="338"/>
      <c r="K16" s="338"/>
      <c r="L16" s="338"/>
      <c r="M16" s="339"/>
      <c r="N16" s="126"/>
      <c r="O16" s="126"/>
      <c r="P16" s="126"/>
      <c r="Q16" s="126"/>
      <c r="R16" s="126"/>
      <c r="S16" s="126"/>
      <c r="T16" s="126"/>
      <c r="U16" s="126"/>
      <c r="V16" s="126"/>
      <c r="W16" s="126"/>
      <c r="X16" s="126"/>
      <c r="Y16" s="126"/>
      <c r="Z16" s="126"/>
    </row>
    <row r="17" spans="1:256" x14ac:dyDescent="0.2">
      <c r="A17" s="218"/>
      <c r="B17" s="219"/>
      <c r="C17" s="338"/>
      <c r="D17" s="338"/>
      <c r="E17" s="338"/>
      <c r="F17" s="338"/>
      <c r="G17" s="338"/>
      <c r="H17" s="338"/>
      <c r="I17" s="338"/>
      <c r="J17" s="338"/>
      <c r="K17" s="338"/>
      <c r="L17" s="338"/>
      <c r="M17" s="339"/>
      <c r="N17" s="126"/>
      <c r="O17" s="126"/>
      <c r="P17" s="126"/>
      <c r="Q17" s="126"/>
      <c r="R17" s="126"/>
      <c r="S17" s="126"/>
      <c r="T17" s="126"/>
      <c r="U17" s="126"/>
      <c r="V17" s="126"/>
      <c r="W17" s="126"/>
      <c r="X17" s="126"/>
      <c r="Y17" s="126"/>
      <c r="Z17" s="126"/>
    </row>
    <row r="18" spans="1:256" x14ac:dyDescent="0.2">
      <c r="A18" s="218"/>
      <c r="B18" s="219"/>
      <c r="C18" s="338"/>
      <c r="D18" s="338"/>
      <c r="E18" s="338"/>
      <c r="F18" s="338"/>
      <c r="G18" s="338"/>
      <c r="H18" s="338"/>
      <c r="I18" s="338"/>
      <c r="J18" s="338"/>
      <c r="K18" s="338"/>
      <c r="L18" s="338"/>
      <c r="M18" s="339"/>
      <c r="N18" s="126"/>
      <c r="O18" s="126"/>
      <c r="P18" s="126"/>
      <c r="Q18" s="126"/>
      <c r="R18" s="126"/>
      <c r="S18" s="126"/>
      <c r="T18" s="126"/>
      <c r="U18" s="126"/>
      <c r="V18" s="126"/>
      <c r="W18" s="126"/>
      <c r="X18" s="126"/>
      <c r="Y18" s="126"/>
      <c r="Z18" s="126"/>
    </row>
    <row r="19" spans="1:256" x14ac:dyDescent="0.2">
      <c r="A19" s="218"/>
      <c r="B19" s="219"/>
      <c r="C19" s="338"/>
      <c r="D19" s="338"/>
      <c r="E19" s="338"/>
      <c r="F19" s="338"/>
      <c r="G19" s="338"/>
      <c r="H19" s="338"/>
      <c r="I19" s="338"/>
      <c r="J19" s="338"/>
      <c r="K19" s="338"/>
      <c r="L19" s="338"/>
      <c r="M19" s="339"/>
      <c r="N19" s="126"/>
      <c r="O19" s="126"/>
      <c r="P19" s="126"/>
      <c r="Q19" s="126"/>
      <c r="R19" s="126"/>
      <c r="S19" s="126"/>
      <c r="T19" s="126"/>
      <c r="U19" s="126"/>
      <c r="V19" s="126"/>
      <c r="W19" s="126"/>
      <c r="X19" s="126"/>
      <c r="Y19" s="126"/>
      <c r="Z19" s="126"/>
    </row>
    <row r="20" spans="1:256" x14ac:dyDescent="0.2">
      <c r="A20" s="218"/>
      <c r="B20" s="219"/>
      <c r="C20" s="338"/>
      <c r="D20" s="338"/>
      <c r="E20" s="338"/>
      <c r="F20" s="338"/>
      <c r="G20" s="338"/>
      <c r="H20" s="338"/>
      <c r="I20" s="338"/>
      <c r="J20" s="338"/>
      <c r="K20" s="338"/>
      <c r="L20" s="338"/>
      <c r="M20" s="339"/>
      <c r="N20" s="126"/>
      <c r="O20" s="126"/>
      <c r="P20" s="126"/>
      <c r="Q20" s="126"/>
      <c r="R20" s="126"/>
      <c r="S20" s="126"/>
      <c r="T20" s="126"/>
      <c r="U20" s="126"/>
      <c r="V20" s="126"/>
      <c r="W20" s="126"/>
      <c r="X20" s="126"/>
      <c r="Y20" s="126"/>
      <c r="Z20" s="126"/>
    </row>
    <row r="21" spans="1:256" x14ac:dyDescent="0.2">
      <c r="A21" s="218"/>
      <c r="B21" s="219"/>
      <c r="C21" s="338"/>
      <c r="D21" s="338"/>
      <c r="E21" s="338"/>
      <c r="F21" s="338"/>
      <c r="G21" s="338"/>
      <c r="H21" s="338"/>
      <c r="I21" s="338"/>
      <c r="J21" s="338"/>
      <c r="K21" s="338"/>
      <c r="L21" s="338"/>
      <c r="M21" s="339"/>
      <c r="N21" s="126"/>
      <c r="O21" s="126"/>
      <c r="P21" s="126"/>
      <c r="Q21" s="126"/>
      <c r="R21" s="126"/>
      <c r="S21" s="126"/>
      <c r="T21" s="126"/>
      <c r="U21" s="126"/>
      <c r="V21" s="126"/>
      <c r="W21" s="126"/>
      <c r="X21" s="126"/>
      <c r="Y21" s="126"/>
      <c r="Z21" s="126"/>
    </row>
    <row r="22" spans="1:256" x14ac:dyDescent="0.2">
      <c r="A22" s="218"/>
      <c r="B22" s="219"/>
      <c r="C22" s="338"/>
      <c r="D22" s="338"/>
      <c r="E22" s="338"/>
      <c r="F22" s="338"/>
      <c r="G22" s="338"/>
      <c r="H22" s="338"/>
      <c r="I22" s="338"/>
      <c r="J22" s="338"/>
      <c r="K22" s="338"/>
      <c r="L22" s="338"/>
      <c r="M22" s="339"/>
      <c r="N22" s="126"/>
      <c r="O22" s="126"/>
      <c r="P22" s="126"/>
      <c r="Q22" s="126"/>
      <c r="R22" s="126"/>
      <c r="S22" s="126"/>
      <c r="T22" s="126"/>
      <c r="U22" s="126"/>
      <c r="V22" s="126"/>
      <c r="W22" s="126"/>
      <c r="X22" s="126"/>
      <c r="Y22" s="126"/>
      <c r="Z22" s="126"/>
    </row>
    <row r="23" spans="1:256" x14ac:dyDescent="0.2">
      <c r="A23" s="218"/>
      <c r="B23" s="219"/>
      <c r="C23" s="338"/>
      <c r="D23" s="338"/>
      <c r="E23" s="338"/>
      <c r="F23" s="338"/>
      <c r="G23" s="338"/>
      <c r="H23" s="338"/>
      <c r="I23" s="338"/>
      <c r="J23" s="338"/>
      <c r="K23" s="338"/>
      <c r="L23" s="338"/>
      <c r="M23" s="339"/>
      <c r="N23" s="126"/>
      <c r="O23" s="126"/>
      <c r="P23" s="126"/>
      <c r="Q23" s="126"/>
      <c r="R23" s="126"/>
      <c r="S23" s="126"/>
      <c r="T23" s="126"/>
      <c r="U23" s="126"/>
      <c r="V23" s="126"/>
      <c r="W23" s="126"/>
      <c r="X23" s="126"/>
      <c r="Y23" s="126"/>
      <c r="Z23" s="126"/>
    </row>
    <row r="24" spans="1:256" x14ac:dyDescent="0.2">
      <c r="A24" s="218"/>
      <c r="B24" s="219"/>
      <c r="C24" s="338"/>
      <c r="D24" s="338"/>
      <c r="E24" s="338"/>
      <c r="F24" s="338"/>
      <c r="G24" s="338"/>
      <c r="H24" s="338"/>
      <c r="I24" s="338"/>
      <c r="J24" s="338"/>
      <c r="K24" s="338"/>
      <c r="L24" s="338"/>
      <c r="M24" s="339"/>
      <c r="N24" s="126"/>
      <c r="O24" s="126"/>
      <c r="P24" s="126"/>
      <c r="Q24" s="126"/>
      <c r="R24" s="126"/>
      <c r="S24" s="126"/>
      <c r="T24" s="126"/>
      <c r="U24" s="126"/>
      <c r="V24" s="126"/>
      <c r="W24" s="126"/>
      <c r="X24" s="126"/>
      <c r="Y24" s="126"/>
      <c r="Z24" s="126"/>
    </row>
    <row r="25" spans="1:256" x14ac:dyDescent="0.2">
      <c r="A25" s="218"/>
      <c r="B25" s="219"/>
      <c r="C25" s="338"/>
      <c r="D25" s="338"/>
      <c r="E25" s="338"/>
      <c r="F25" s="338"/>
      <c r="G25" s="338"/>
      <c r="H25" s="338"/>
      <c r="I25" s="338"/>
      <c r="J25" s="338"/>
      <c r="K25" s="338"/>
      <c r="L25" s="338"/>
      <c r="M25" s="339"/>
      <c r="N25" s="126"/>
      <c r="O25" s="126"/>
      <c r="P25" s="126"/>
      <c r="Q25" s="126"/>
      <c r="R25" s="126"/>
      <c r="S25" s="126"/>
      <c r="T25" s="126"/>
      <c r="U25" s="126"/>
      <c r="V25" s="126"/>
      <c r="W25" s="126"/>
      <c r="X25" s="126"/>
      <c r="Y25" s="126"/>
      <c r="Z25" s="126"/>
    </row>
    <row r="26" spans="1:256" x14ac:dyDescent="0.2">
      <c r="A26" s="218"/>
      <c r="B26" s="219"/>
      <c r="C26" s="338"/>
      <c r="D26" s="338"/>
      <c r="E26" s="338"/>
      <c r="F26" s="338"/>
      <c r="G26" s="338"/>
      <c r="H26" s="338"/>
      <c r="I26" s="338"/>
      <c r="J26" s="338"/>
      <c r="K26" s="338"/>
      <c r="L26" s="338"/>
      <c r="M26" s="339"/>
      <c r="N26" s="126"/>
      <c r="O26" s="126"/>
      <c r="P26" s="126"/>
      <c r="Q26" s="126"/>
      <c r="R26" s="126"/>
      <c r="S26" s="126"/>
      <c r="T26" s="126"/>
      <c r="U26" s="126"/>
      <c r="V26" s="126"/>
      <c r="W26" s="126"/>
      <c r="X26" s="126"/>
      <c r="Y26" s="126"/>
      <c r="Z26" s="126"/>
    </row>
    <row r="27" spans="1:256" x14ac:dyDescent="0.2">
      <c r="A27" s="218"/>
      <c r="B27" s="219"/>
      <c r="C27" s="338"/>
      <c r="D27" s="338"/>
      <c r="E27" s="338"/>
      <c r="F27" s="338"/>
      <c r="G27" s="338"/>
      <c r="H27" s="338"/>
      <c r="I27" s="338"/>
      <c r="J27" s="338"/>
      <c r="K27" s="338"/>
      <c r="L27" s="338"/>
      <c r="M27" s="339"/>
      <c r="N27" s="126"/>
      <c r="O27" s="126"/>
      <c r="P27" s="126"/>
      <c r="Q27" s="126"/>
      <c r="R27" s="126"/>
      <c r="S27" s="126"/>
      <c r="T27" s="126"/>
      <c r="U27" s="126"/>
      <c r="V27" s="126"/>
      <c r="W27" s="126"/>
      <c r="X27" s="126"/>
      <c r="Y27" s="126"/>
      <c r="Z27" s="126"/>
    </row>
    <row r="28" spans="1:256" x14ac:dyDescent="0.2">
      <c r="A28" s="218"/>
      <c r="B28" s="219"/>
      <c r="C28" s="338"/>
      <c r="D28" s="338"/>
      <c r="E28" s="338"/>
      <c r="F28" s="338"/>
      <c r="G28" s="338"/>
      <c r="H28" s="338"/>
      <c r="I28" s="338"/>
      <c r="J28" s="338"/>
      <c r="K28" s="338"/>
      <c r="L28" s="338"/>
      <c r="M28" s="339"/>
      <c r="N28" s="126"/>
      <c r="O28" s="126"/>
      <c r="P28" s="126"/>
      <c r="Q28" s="126"/>
      <c r="R28" s="126"/>
      <c r="S28" s="126"/>
      <c r="T28" s="126"/>
      <c r="U28" s="126"/>
      <c r="V28" s="126"/>
      <c r="W28" s="126"/>
      <c r="X28" s="126"/>
      <c r="Y28" s="126"/>
      <c r="Z28" s="126"/>
    </row>
    <row r="29" spans="1:256" x14ac:dyDescent="0.2">
      <c r="A29" s="218"/>
      <c r="B29" s="219"/>
      <c r="C29" s="338"/>
      <c r="D29" s="338"/>
      <c r="E29" s="338"/>
      <c r="F29" s="338"/>
      <c r="G29" s="338"/>
      <c r="H29" s="338"/>
      <c r="I29" s="338"/>
      <c r="J29" s="338"/>
      <c r="K29" s="338"/>
      <c r="L29" s="338"/>
      <c r="M29" s="339"/>
      <c r="N29" s="211"/>
      <c r="O29" s="211"/>
      <c r="P29" s="337"/>
      <c r="Q29" s="337"/>
      <c r="R29" s="337"/>
      <c r="S29" s="337"/>
      <c r="T29" s="337"/>
      <c r="U29" s="337"/>
      <c r="V29" s="337"/>
      <c r="W29" s="337"/>
      <c r="X29" s="337"/>
      <c r="Y29" s="337"/>
      <c r="Z29" s="337"/>
      <c r="AA29" s="207"/>
      <c r="AB29" s="207"/>
      <c r="AC29" s="336"/>
      <c r="AD29" s="336"/>
      <c r="AE29" s="336"/>
      <c r="AF29" s="336"/>
      <c r="AG29" s="336"/>
      <c r="AH29" s="336"/>
      <c r="AI29" s="336"/>
      <c r="AJ29" s="336"/>
      <c r="AK29" s="336"/>
      <c r="AL29" s="336"/>
      <c r="AM29" s="336"/>
      <c r="AN29" s="207"/>
      <c r="AO29" s="207"/>
      <c r="AP29" s="336"/>
      <c r="AQ29" s="336"/>
      <c r="AR29" s="336"/>
      <c r="AS29" s="336"/>
      <c r="AT29" s="336"/>
      <c r="AU29" s="336"/>
      <c r="AV29" s="336"/>
      <c r="AW29" s="336"/>
      <c r="AX29" s="336"/>
      <c r="AY29" s="336"/>
      <c r="AZ29" s="336"/>
      <c r="BA29" s="207"/>
      <c r="BB29" s="207"/>
      <c r="BC29" s="336"/>
      <c r="BD29" s="336"/>
      <c r="BE29" s="336"/>
      <c r="BF29" s="336"/>
      <c r="BG29" s="336"/>
      <c r="BH29" s="336"/>
      <c r="BI29" s="336"/>
      <c r="BJ29" s="336"/>
      <c r="BK29" s="336"/>
      <c r="BL29" s="336"/>
      <c r="BM29" s="336"/>
      <c r="BN29" s="207"/>
      <c r="BO29" s="207"/>
      <c r="BP29" s="336"/>
      <c r="BQ29" s="336"/>
      <c r="BR29" s="336"/>
      <c r="BS29" s="336"/>
      <c r="BT29" s="336"/>
      <c r="BU29" s="336"/>
      <c r="BV29" s="336"/>
      <c r="BW29" s="336"/>
      <c r="BX29" s="336"/>
      <c r="BY29" s="336"/>
      <c r="BZ29" s="336"/>
      <c r="CA29" s="207"/>
      <c r="CB29" s="207"/>
      <c r="CC29" s="336"/>
      <c r="CD29" s="336"/>
      <c r="CE29" s="336"/>
      <c r="CF29" s="336"/>
      <c r="CG29" s="336"/>
      <c r="CH29" s="336"/>
      <c r="CI29" s="336"/>
      <c r="CJ29" s="336"/>
      <c r="CK29" s="336"/>
      <c r="CL29" s="336"/>
      <c r="CM29" s="336"/>
      <c r="CN29" s="207"/>
      <c r="CO29" s="207"/>
      <c r="CP29" s="336"/>
      <c r="CQ29" s="336"/>
      <c r="CR29" s="336"/>
      <c r="CS29" s="336"/>
      <c r="CT29" s="336"/>
      <c r="CU29" s="336"/>
      <c r="CV29" s="336"/>
      <c r="CW29" s="336"/>
      <c r="CX29" s="336"/>
      <c r="CY29" s="336"/>
      <c r="CZ29" s="336"/>
      <c r="DA29" s="207"/>
      <c r="DB29" s="207"/>
      <c r="DC29" s="336"/>
      <c r="DD29" s="336"/>
      <c r="DE29" s="336"/>
      <c r="DF29" s="336"/>
      <c r="DG29" s="336"/>
      <c r="DH29" s="336"/>
      <c r="DI29" s="336"/>
      <c r="DJ29" s="336"/>
      <c r="DK29" s="336"/>
      <c r="DL29" s="336"/>
      <c r="DM29" s="336"/>
      <c r="DN29" s="207"/>
      <c r="DO29" s="207"/>
      <c r="DP29" s="336"/>
      <c r="DQ29" s="336"/>
      <c r="DR29" s="336"/>
      <c r="DS29" s="336"/>
      <c r="DT29" s="336"/>
      <c r="DU29" s="336"/>
      <c r="DV29" s="336"/>
      <c r="DW29" s="336"/>
      <c r="DX29" s="336"/>
      <c r="DY29" s="336"/>
      <c r="DZ29" s="336"/>
      <c r="EA29" s="207"/>
      <c r="EB29" s="207"/>
      <c r="EC29" s="336"/>
      <c r="ED29" s="336"/>
      <c r="EE29" s="336"/>
      <c r="EF29" s="336"/>
      <c r="EG29" s="336"/>
      <c r="EH29" s="336"/>
      <c r="EI29" s="336"/>
      <c r="EJ29" s="336"/>
      <c r="EK29" s="336"/>
      <c r="EL29" s="336"/>
      <c r="EM29" s="336"/>
      <c r="EN29" s="207"/>
      <c r="EO29" s="207"/>
      <c r="EP29" s="336"/>
      <c r="EQ29" s="336"/>
      <c r="ER29" s="336"/>
      <c r="ES29" s="336"/>
      <c r="ET29" s="336"/>
      <c r="EU29" s="336"/>
      <c r="EV29" s="336"/>
      <c r="EW29" s="336"/>
      <c r="EX29" s="336"/>
      <c r="EY29" s="336"/>
      <c r="EZ29" s="336"/>
      <c r="FA29" s="207"/>
      <c r="FB29" s="207"/>
      <c r="FC29" s="336"/>
      <c r="FD29" s="336"/>
      <c r="FE29" s="336"/>
      <c r="FF29" s="336"/>
      <c r="FG29" s="336"/>
      <c r="FH29" s="336"/>
      <c r="FI29" s="336"/>
      <c r="FJ29" s="336"/>
      <c r="FK29" s="336"/>
      <c r="FL29" s="336"/>
      <c r="FM29" s="336"/>
      <c r="FN29" s="207"/>
      <c r="FO29" s="207"/>
      <c r="FP29" s="336"/>
      <c r="FQ29" s="336"/>
      <c r="FR29" s="336"/>
      <c r="FS29" s="336"/>
      <c r="FT29" s="336"/>
      <c r="FU29" s="336"/>
      <c r="FV29" s="336"/>
      <c r="FW29" s="336"/>
      <c r="FX29" s="336"/>
      <c r="FY29" s="336"/>
      <c r="FZ29" s="336"/>
      <c r="GA29" s="207"/>
      <c r="GB29" s="207"/>
      <c r="GC29" s="336"/>
      <c r="GD29" s="336"/>
      <c r="GE29" s="336"/>
      <c r="GF29" s="336"/>
      <c r="GG29" s="336"/>
      <c r="GH29" s="336"/>
      <c r="GI29" s="336"/>
      <c r="GJ29" s="336"/>
      <c r="GK29" s="336"/>
      <c r="GL29" s="336"/>
      <c r="GM29" s="336"/>
      <c r="GN29" s="207"/>
      <c r="GO29" s="207"/>
      <c r="GP29" s="336"/>
      <c r="GQ29" s="336"/>
      <c r="GR29" s="336"/>
      <c r="GS29" s="336"/>
      <c r="GT29" s="336"/>
      <c r="GU29" s="336"/>
      <c r="GV29" s="336"/>
      <c r="GW29" s="336"/>
      <c r="GX29" s="336"/>
      <c r="GY29" s="336"/>
      <c r="GZ29" s="336"/>
      <c r="HA29" s="207"/>
      <c r="HB29" s="207"/>
      <c r="HC29" s="336"/>
      <c r="HD29" s="336"/>
      <c r="HE29" s="336"/>
      <c r="HF29" s="336"/>
      <c r="HG29" s="336"/>
      <c r="HH29" s="336"/>
      <c r="HI29" s="336"/>
      <c r="HJ29" s="336"/>
      <c r="HK29" s="336"/>
      <c r="HL29" s="336"/>
      <c r="HM29" s="336"/>
      <c r="HN29" s="207"/>
      <c r="HO29" s="207"/>
      <c r="HP29" s="336"/>
      <c r="HQ29" s="336"/>
      <c r="HR29" s="336"/>
      <c r="HS29" s="336"/>
      <c r="HT29" s="336"/>
      <c r="HU29" s="336"/>
      <c r="HV29" s="336"/>
      <c r="HW29" s="336"/>
      <c r="HX29" s="336"/>
      <c r="HY29" s="336"/>
      <c r="HZ29" s="336"/>
      <c r="IA29" s="207"/>
      <c r="IB29" s="207"/>
      <c r="IC29" s="336"/>
      <c r="ID29" s="336"/>
      <c r="IE29" s="336"/>
      <c r="IF29" s="336"/>
      <c r="IG29" s="336"/>
      <c r="IH29" s="336"/>
      <c r="II29" s="336"/>
      <c r="IJ29" s="336"/>
      <c r="IK29" s="336"/>
      <c r="IL29" s="336"/>
      <c r="IM29" s="336"/>
      <c r="IN29" s="207"/>
      <c r="IO29" s="207"/>
      <c r="IP29" s="336"/>
      <c r="IQ29" s="336"/>
      <c r="IR29" s="336"/>
      <c r="IS29" s="336"/>
      <c r="IT29" s="336"/>
      <c r="IU29" s="336"/>
      <c r="IV29" s="336"/>
    </row>
    <row r="30" spans="1:256" x14ac:dyDescent="0.2">
      <c r="A30" s="218"/>
      <c r="B30" s="219"/>
      <c r="C30" s="338"/>
      <c r="D30" s="338"/>
      <c r="E30" s="338"/>
      <c r="F30" s="338"/>
      <c r="G30" s="338"/>
      <c r="H30" s="338"/>
      <c r="I30" s="338"/>
      <c r="J30" s="338"/>
      <c r="K30" s="338"/>
      <c r="L30" s="338"/>
      <c r="M30" s="339"/>
      <c r="N30" s="211"/>
      <c r="O30" s="211"/>
      <c r="P30" s="337"/>
      <c r="Q30" s="337"/>
      <c r="R30" s="337"/>
      <c r="S30" s="337"/>
      <c r="T30" s="337"/>
      <c r="U30" s="337"/>
      <c r="V30" s="337"/>
      <c r="W30" s="337"/>
      <c r="X30" s="337"/>
      <c r="Y30" s="337"/>
      <c r="Z30" s="337"/>
      <c r="AA30" s="207"/>
      <c r="AB30" s="207"/>
      <c r="AC30" s="336"/>
      <c r="AD30" s="336"/>
      <c r="AE30" s="336"/>
      <c r="AF30" s="336"/>
      <c r="AG30" s="336"/>
      <c r="AH30" s="336"/>
      <c r="AI30" s="336"/>
      <c r="AJ30" s="336"/>
      <c r="AK30" s="336"/>
      <c r="AL30" s="336"/>
      <c r="AM30" s="336"/>
      <c r="AN30" s="207"/>
      <c r="AO30" s="207"/>
      <c r="AP30" s="336"/>
      <c r="AQ30" s="336"/>
      <c r="AR30" s="336"/>
      <c r="AS30" s="336"/>
      <c r="AT30" s="336"/>
      <c r="AU30" s="336"/>
      <c r="AV30" s="336"/>
      <c r="AW30" s="336"/>
      <c r="AX30" s="336"/>
      <c r="AY30" s="336"/>
      <c r="AZ30" s="336"/>
      <c r="BA30" s="207"/>
      <c r="BB30" s="207"/>
      <c r="BC30" s="336"/>
      <c r="BD30" s="336"/>
      <c r="BE30" s="336"/>
      <c r="BF30" s="336"/>
      <c r="BG30" s="336"/>
      <c r="BH30" s="336"/>
      <c r="BI30" s="336"/>
      <c r="BJ30" s="336"/>
      <c r="BK30" s="336"/>
      <c r="BL30" s="336"/>
      <c r="BM30" s="336"/>
      <c r="BN30" s="207"/>
      <c r="BO30" s="207"/>
      <c r="BP30" s="336"/>
      <c r="BQ30" s="336"/>
      <c r="BR30" s="336"/>
      <c r="BS30" s="336"/>
      <c r="BT30" s="336"/>
      <c r="BU30" s="336"/>
      <c r="BV30" s="336"/>
      <c r="BW30" s="336"/>
      <c r="BX30" s="336"/>
      <c r="BY30" s="336"/>
      <c r="BZ30" s="336"/>
      <c r="CA30" s="207"/>
      <c r="CB30" s="207"/>
      <c r="CC30" s="336"/>
      <c r="CD30" s="336"/>
      <c r="CE30" s="336"/>
      <c r="CF30" s="336"/>
      <c r="CG30" s="336"/>
      <c r="CH30" s="336"/>
      <c r="CI30" s="336"/>
      <c r="CJ30" s="336"/>
      <c r="CK30" s="336"/>
      <c r="CL30" s="336"/>
      <c r="CM30" s="336"/>
      <c r="CN30" s="207"/>
      <c r="CO30" s="207"/>
      <c r="CP30" s="336"/>
      <c r="CQ30" s="336"/>
      <c r="CR30" s="336"/>
      <c r="CS30" s="336"/>
      <c r="CT30" s="336"/>
      <c r="CU30" s="336"/>
      <c r="CV30" s="336"/>
      <c r="CW30" s="336"/>
      <c r="CX30" s="336"/>
      <c r="CY30" s="336"/>
      <c r="CZ30" s="336"/>
      <c r="DA30" s="207"/>
      <c r="DB30" s="207"/>
      <c r="DC30" s="336"/>
      <c r="DD30" s="336"/>
      <c r="DE30" s="336"/>
      <c r="DF30" s="336"/>
      <c r="DG30" s="336"/>
      <c r="DH30" s="336"/>
      <c r="DI30" s="336"/>
      <c r="DJ30" s="336"/>
      <c r="DK30" s="336"/>
      <c r="DL30" s="336"/>
      <c r="DM30" s="336"/>
      <c r="DN30" s="207"/>
      <c r="DO30" s="207"/>
      <c r="DP30" s="336"/>
      <c r="DQ30" s="336"/>
      <c r="DR30" s="336"/>
      <c r="DS30" s="336"/>
      <c r="DT30" s="336"/>
      <c r="DU30" s="336"/>
      <c r="DV30" s="336"/>
      <c r="DW30" s="336"/>
      <c r="DX30" s="336"/>
      <c r="DY30" s="336"/>
      <c r="DZ30" s="336"/>
      <c r="EA30" s="207"/>
      <c r="EB30" s="207"/>
      <c r="EC30" s="336"/>
      <c r="ED30" s="336"/>
      <c r="EE30" s="336"/>
      <c r="EF30" s="336"/>
      <c r="EG30" s="336"/>
      <c r="EH30" s="336"/>
      <c r="EI30" s="336"/>
      <c r="EJ30" s="336"/>
      <c r="EK30" s="336"/>
      <c r="EL30" s="336"/>
      <c r="EM30" s="336"/>
      <c r="EN30" s="207"/>
      <c r="EO30" s="207"/>
      <c r="EP30" s="336"/>
      <c r="EQ30" s="336"/>
      <c r="ER30" s="336"/>
      <c r="ES30" s="336"/>
      <c r="ET30" s="336"/>
      <c r="EU30" s="336"/>
      <c r="EV30" s="336"/>
      <c r="EW30" s="336"/>
      <c r="EX30" s="336"/>
      <c r="EY30" s="336"/>
      <c r="EZ30" s="336"/>
      <c r="FA30" s="207"/>
      <c r="FB30" s="207"/>
      <c r="FC30" s="336"/>
      <c r="FD30" s="336"/>
      <c r="FE30" s="336"/>
      <c r="FF30" s="336"/>
      <c r="FG30" s="336"/>
      <c r="FH30" s="336"/>
      <c r="FI30" s="336"/>
      <c r="FJ30" s="336"/>
      <c r="FK30" s="336"/>
      <c r="FL30" s="336"/>
      <c r="FM30" s="336"/>
      <c r="FN30" s="207"/>
      <c r="FO30" s="207"/>
      <c r="FP30" s="336"/>
      <c r="FQ30" s="336"/>
      <c r="FR30" s="336"/>
      <c r="FS30" s="336"/>
      <c r="FT30" s="336"/>
      <c r="FU30" s="336"/>
      <c r="FV30" s="336"/>
      <c r="FW30" s="336"/>
      <c r="FX30" s="336"/>
      <c r="FY30" s="336"/>
      <c r="FZ30" s="336"/>
      <c r="GA30" s="207"/>
      <c r="GB30" s="207"/>
      <c r="GC30" s="336"/>
      <c r="GD30" s="336"/>
      <c r="GE30" s="336"/>
      <c r="GF30" s="336"/>
      <c r="GG30" s="336"/>
      <c r="GH30" s="336"/>
      <c r="GI30" s="336"/>
      <c r="GJ30" s="336"/>
      <c r="GK30" s="336"/>
      <c r="GL30" s="336"/>
      <c r="GM30" s="336"/>
      <c r="GN30" s="207"/>
      <c r="GO30" s="207"/>
      <c r="GP30" s="336"/>
      <c r="GQ30" s="336"/>
      <c r="GR30" s="336"/>
      <c r="GS30" s="336"/>
      <c r="GT30" s="336"/>
      <c r="GU30" s="336"/>
      <c r="GV30" s="336"/>
      <c r="GW30" s="336"/>
      <c r="GX30" s="336"/>
      <c r="GY30" s="336"/>
      <c r="GZ30" s="336"/>
      <c r="HA30" s="207"/>
      <c r="HB30" s="207"/>
      <c r="HC30" s="336"/>
      <c r="HD30" s="336"/>
      <c r="HE30" s="336"/>
      <c r="HF30" s="336"/>
      <c r="HG30" s="336"/>
      <c r="HH30" s="336"/>
      <c r="HI30" s="336"/>
      <c r="HJ30" s="336"/>
      <c r="HK30" s="336"/>
      <c r="HL30" s="336"/>
      <c r="HM30" s="336"/>
      <c r="HN30" s="207"/>
      <c r="HO30" s="207"/>
      <c r="HP30" s="336"/>
      <c r="HQ30" s="336"/>
      <c r="HR30" s="336"/>
      <c r="HS30" s="336"/>
      <c r="HT30" s="336"/>
      <c r="HU30" s="336"/>
      <c r="HV30" s="336"/>
      <c r="HW30" s="336"/>
      <c r="HX30" s="336"/>
      <c r="HY30" s="336"/>
      <c r="HZ30" s="336"/>
      <c r="IA30" s="207"/>
      <c r="IB30" s="207"/>
      <c r="IC30" s="336"/>
      <c r="ID30" s="336"/>
      <c r="IE30" s="336"/>
      <c r="IF30" s="336"/>
      <c r="IG30" s="336"/>
      <c r="IH30" s="336"/>
      <c r="II30" s="336"/>
      <c r="IJ30" s="336"/>
      <c r="IK30" s="336"/>
      <c r="IL30" s="336"/>
      <c r="IM30" s="336"/>
      <c r="IN30" s="207"/>
      <c r="IO30" s="207"/>
      <c r="IP30" s="336"/>
      <c r="IQ30" s="336"/>
      <c r="IR30" s="336"/>
      <c r="IS30" s="336"/>
      <c r="IT30" s="336"/>
      <c r="IU30" s="336"/>
      <c r="IV30" s="336"/>
    </row>
    <row r="31" spans="1:256" x14ac:dyDescent="0.2">
      <c r="A31" s="218"/>
      <c r="B31" s="219"/>
      <c r="C31" s="338"/>
      <c r="D31" s="338"/>
      <c r="E31" s="338"/>
      <c r="F31" s="338"/>
      <c r="G31" s="338"/>
      <c r="H31" s="338"/>
      <c r="I31" s="338"/>
      <c r="J31" s="338"/>
      <c r="K31" s="338"/>
      <c r="L31" s="338"/>
      <c r="M31" s="339"/>
      <c r="N31" s="211"/>
      <c r="O31" s="211"/>
      <c r="P31" s="337"/>
      <c r="Q31" s="337"/>
      <c r="R31" s="337"/>
      <c r="S31" s="337"/>
      <c r="T31" s="337"/>
      <c r="U31" s="337"/>
      <c r="V31" s="337"/>
      <c r="W31" s="337"/>
      <c r="X31" s="337"/>
      <c r="Y31" s="337"/>
      <c r="Z31" s="337"/>
      <c r="AA31" s="207"/>
      <c r="AB31" s="207"/>
      <c r="AC31" s="336"/>
      <c r="AD31" s="336"/>
      <c r="AE31" s="336"/>
      <c r="AF31" s="336"/>
      <c r="AG31" s="336"/>
      <c r="AH31" s="336"/>
      <c r="AI31" s="336"/>
      <c r="AJ31" s="336"/>
      <c r="AK31" s="336"/>
      <c r="AL31" s="336"/>
      <c r="AM31" s="336"/>
      <c r="AN31" s="207"/>
      <c r="AO31" s="207"/>
      <c r="AP31" s="336"/>
      <c r="AQ31" s="336"/>
      <c r="AR31" s="336"/>
      <c r="AS31" s="336"/>
      <c r="AT31" s="336"/>
      <c r="AU31" s="336"/>
      <c r="AV31" s="336"/>
      <c r="AW31" s="336"/>
      <c r="AX31" s="336"/>
      <c r="AY31" s="336"/>
      <c r="AZ31" s="336"/>
      <c r="BA31" s="207"/>
      <c r="BB31" s="207"/>
      <c r="BC31" s="336"/>
      <c r="BD31" s="336"/>
      <c r="BE31" s="336"/>
      <c r="BF31" s="336"/>
      <c r="BG31" s="336"/>
      <c r="BH31" s="336"/>
      <c r="BI31" s="336"/>
      <c r="BJ31" s="336"/>
      <c r="BK31" s="336"/>
      <c r="BL31" s="336"/>
      <c r="BM31" s="336"/>
      <c r="BN31" s="207"/>
      <c r="BO31" s="207"/>
      <c r="BP31" s="336"/>
      <c r="BQ31" s="336"/>
      <c r="BR31" s="336"/>
      <c r="BS31" s="336"/>
      <c r="BT31" s="336"/>
      <c r="BU31" s="336"/>
      <c r="BV31" s="336"/>
      <c r="BW31" s="336"/>
      <c r="BX31" s="336"/>
      <c r="BY31" s="336"/>
      <c r="BZ31" s="336"/>
      <c r="CA31" s="207"/>
      <c r="CB31" s="207"/>
      <c r="CC31" s="336"/>
      <c r="CD31" s="336"/>
      <c r="CE31" s="336"/>
      <c r="CF31" s="336"/>
      <c r="CG31" s="336"/>
      <c r="CH31" s="336"/>
      <c r="CI31" s="336"/>
      <c r="CJ31" s="336"/>
      <c r="CK31" s="336"/>
      <c r="CL31" s="336"/>
      <c r="CM31" s="336"/>
      <c r="CN31" s="207"/>
      <c r="CO31" s="207"/>
      <c r="CP31" s="336"/>
      <c r="CQ31" s="336"/>
      <c r="CR31" s="336"/>
      <c r="CS31" s="336"/>
      <c r="CT31" s="336"/>
      <c r="CU31" s="336"/>
      <c r="CV31" s="336"/>
      <c r="CW31" s="336"/>
      <c r="CX31" s="336"/>
      <c r="CY31" s="336"/>
      <c r="CZ31" s="336"/>
      <c r="DA31" s="207"/>
      <c r="DB31" s="207"/>
      <c r="DC31" s="336"/>
      <c r="DD31" s="336"/>
      <c r="DE31" s="336"/>
      <c r="DF31" s="336"/>
      <c r="DG31" s="336"/>
      <c r="DH31" s="336"/>
      <c r="DI31" s="336"/>
      <c r="DJ31" s="336"/>
      <c r="DK31" s="336"/>
      <c r="DL31" s="336"/>
      <c r="DM31" s="336"/>
      <c r="DN31" s="207"/>
      <c r="DO31" s="207"/>
      <c r="DP31" s="336"/>
      <c r="DQ31" s="336"/>
      <c r="DR31" s="336"/>
      <c r="DS31" s="336"/>
      <c r="DT31" s="336"/>
      <c r="DU31" s="336"/>
      <c r="DV31" s="336"/>
      <c r="DW31" s="336"/>
      <c r="DX31" s="336"/>
      <c r="DY31" s="336"/>
      <c r="DZ31" s="336"/>
      <c r="EA31" s="207"/>
      <c r="EB31" s="207"/>
      <c r="EC31" s="336"/>
      <c r="ED31" s="336"/>
      <c r="EE31" s="336"/>
      <c r="EF31" s="336"/>
      <c r="EG31" s="336"/>
      <c r="EH31" s="336"/>
      <c r="EI31" s="336"/>
      <c r="EJ31" s="336"/>
      <c r="EK31" s="336"/>
      <c r="EL31" s="336"/>
      <c r="EM31" s="336"/>
      <c r="EN31" s="207"/>
      <c r="EO31" s="207"/>
      <c r="EP31" s="336"/>
      <c r="EQ31" s="336"/>
      <c r="ER31" s="336"/>
      <c r="ES31" s="336"/>
      <c r="ET31" s="336"/>
      <c r="EU31" s="336"/>
      <c r="EV31" s="336"/>
      <c r="EW31" s="336"/>
      <c r="EX31" s="336"/>
      <c r="EY31" s="336"/>
      <c r="EZ31" s="336"/>
      <c r="FA31" s="207"/>
      <c r="FB31" s="207"/>
      <c r="FC31" s="336"/>
      <c r="FD31" s="336"/>
      <c r="FE31" s="336"/>
      <c r="FF31" s="336"/>
      <c r="FG31" s="336"/>
      <c r="FH31" s="336"/>
      <c r="FI31" s="336"/>
      <c r="FJ31" s="336"/>
      <c r="FK31" s="336"/>
      <c r="FL31" s="336"/>
      <c r="FM31" s="336"/>
      <c r="FN31" s="207"/>
      <c r="FO31" s="207"/>
      <c r="FP31" s="336"/>
      <c r="FQ31" s="336"/>
      <c r="FR31" s="336"/>
      <c r="FS31" s="336"/>
      <c r="FT31" s="336"/>
      <c r="FU31" s="336"/>
      <c r="FV31" s="336"/>
      <c r="FW31" s="336"/>
      <c r="FX31" s="336"/>
      <c r="FY31" s="336"/>
      <c r="FZ31" s="336"/>
      <c r="GA31" s="207"/>
      <c r="GB31" s="207"/>
      <c r="GC31" s="336"/>
      <c r="GD31" s="336"/>
      <c r="GE31" s="336"/>
      <c r="GF31" s="336"/>
      <c r="GG31" s="336"/>
      <c r="GH31" s="336"/>
      <c r="GI31" s="336"/>
      <c r="GJ31" s="336"/>
      <c r="GK31" s="336"/>
      <c r="GL31" s="336"/>
      <c r="GM31" s="336"/>
      <c r="GN31" s="207"/>
      <c r="GO31" s="207"/>
      <c r="GP31" s="336"/>
      <c r="GQ31" s="336"/>
      <c r="GR31" s="336"/>
      <c r="GS31" s="336"/>
      <c r="GT31" s="336"/>
      <c r="GU31" s="336"/>
      <c r="GV31" s="336"/>
      <c r="GW31" s="336"/>
      <c r="GX31" s="336"/>
      <c r="GY31" s="336"/>
      <c r="GZ31" s="336"/>
      <c r="HA31" s="207"/>
      <c r="HB31" s="207"/>
      <c r="HC31" s="336"/>
      <c r="HD31" s="336"/>
      <c r="HE31" s="336"/>
      <c r="HF31" s="336"/>
      <c r="HG31" s="336"/>
      <c r="HH31" s="336"/>
      <c r="HI31" s="336"/>
      <c r="HJ31" s="336"/>
      <c r="HK31" s="336"/>
      <c r="HL31" s="336"/>
      <c r="HM31" s="336"/>
      <c r="HN31" s="207"/>
      <c r="HO31" s="207"/>
      <c r="HP31" s="336"/>
      <c r="HQ31" s="336"/>
      <c r="HR31" s="336"/>
      <c r="HS31" s="336"/>
      <c r="HT31" s="336"/>
      <c r="HU31" s="336"/>
      <c r="HV31" s="336"/>
      <c r="HW31" s="336"/>
      <c r="HX31" s="336"/>
      <c r="HY31" s="336"/>
      <c r="HZ31" s="336"/>
      <c r="IA31" s="207"/>
      <c r="IB31" s="207"/>
      <c r="IC31" s="336"/>
      <c r="ID31" s="336"/>
      <c r="IE31" s="336"/>
      <c r="IF31" s="336"/>
      <c r="IG31" s="336"/>
      <c r="IH31" s="336"/>
      <c r="II31" s="336"/>
      <c r="IJ31" s="336"/>
      <c r="IK31" s="336"/>
      <c r="IL31" s="336"/>
      <c r="IM31" s="336"/>
      <c r="IN31" s="207"/>
      <c r="IO31" s="207"/>
      <c r="IP31" s="336"/>
      <c r="IQ31" s="336"/>
      <c r="IR31" s="336"/>
      <c r="IS31" s="336"/>
      <c r="IT31" s="336"/>
      <c r="IU31" s="336"/>
      <c r="IV31" s="336"/>
    </row>
    <row r="32" spans="1:256" x14ac:dyDescent="0.2">
      <c r="A32" s="218"/>
      <c r="B32" s="219"/>
      <c r="C32" s="338"/>
      <c r="D32" s="338"/>
      <c r="E32" s="338"/>
      <c r="F32" s="338"/>
      <c r="G32" s="338"/>
      <c r="H32" s="338"/>
      <c r="I32" s="338"/>
      <c r="J32" s="338"/>
      <c r="K32" s="338"/>
      <c r="L32" s="338"/>
      <c r="M32" s="339"/>
      <c r="N32" s="223"/>
      <c r="O32" s="223"/>
      <c r="P32" s="348"/>
      <c r="Q32" s="348"/>
      <c r="R32" s="348"/>
      <c r="S32" s="348"/>
      <c r="T32" s="348"/>
      <c r="U32" s="348"/>
      <c r="V32" s="348"/>
      <c r="W32" s="348"/>
      <c r="X32" s="348"/>
      <c r="Y32" s="348"/>
      <c r="Z32" s="349"/>
      <c r="AA32" s="218"/>
      <c r="AB32" s="219"/>
      <c r="AC32" s="338"/>
      <c r="AD32" s="338"/>
      <c r="AE32" s="338"/>
      <c r="AF32" s="338"/>
      <c r="AG32" s="338"/>
      <c r="AH32" s="338"/>
      <c r="AI32" s="338"/>
      <c r="AJ32" s="338"/>
      <c r="AK32" s="338"/>
      <c r="AL32" s="338"/>
      <c r="AM32" s="339"/>
      <c r="AN32" s="218"/>
      <c r="AO32" s="219"/>
      <c r="AP32" s="338"/>
      <c r="AQ32" s="338"/>
      <c r="AR32" s="338"/>
      <c r="AS32" s="338"/>
      <c r="AT32" s="338"/>
      <c r="AU32" s="338"/>
      <c r="AV32" s="338"/>
      <c r="AW32" s="338"/>
      <c r="AX32" s="338"/>
      <c r="AY32" s="338"/>
      <c r="AZ32" s="339"/>
      <c r="BA32" s="218"/>
      <c r="BB32" s="219"/>
      <c r="BC32" s="338"/>
      <c r="BD32" s="338"/>
      <c r="BE32" s="338"/>
      <c r="BF32" s="338"/>
      <c r="BG32" s="338"/>
      <c r="BH32" s="338"/>
      <c r="BI32" s="338"/>
      <c r="BJ32" s="338"/>
      <c r="BK32" s="338"/>
      <c r="BL32" s="338"/>
      <c r="BM32" s="339"/>
      <c r="BN32" s="218"/>
      <c r="BO32" s="219"/>
      <c r="BP32" s="338"/>
      <c r="BQ32" s="338"/>
      <c r="BR32" s="338"/>
      <c r="BS32" s="338"/>
      <c r="BT32" s="338"/>
      <c r="BU32" s="338"/>
      <c r="BV32" s="338"/>
      <c r="BW32" s="338"/>
      <c r="BX32" s="338"/>
      <c r="BY32" s="338"/>
      <c r="BZ32" s="339"/>
      <c r="CA32" s="218"/>
      <c r="CB32" s="219"/>
      <c r="CC32" s="338"/>
      <c r="CD32" s="338"/>
      <c r="CE32" s="338"/>
      <c r="CF32" s="338"/>
      <c r="CG32" s="338"/>
      <c r="CH32" s="338"/>
      <c r="CI32" s="338"/>
      <c r="CJ32" s="338"/>
      <c r="CK32" s="338"/>
      <c r="CL32" s="338"/>
      <c r="CM32" s="339"/>
      <c r="CN32" s="218"/>
      <c r="CO32" s="219"/>
      <c r="CP32" s="338"/>
      <c r="CQ32" s="338"/>
      <c r="CR32" s="338"/>
      <c r="CS32" s="338"/>
      <c r="CT32" s="338"/>
      <c r="CU32" s="338"/>
      <c r="CV32" s="338"/>
      <c r="CW32" s="338"/>
      <c r="CX32" s="338"/>
      <c r="CY32" s="338"/>
      <c r="CZ32" s="339"/>
      <c r="DA32" s="218"/>
      <c r="DB32" s="219"/>
      <c r="DC32" s="338"/>
      <c r="DD32" s="338"/>
      <c r="DE32" s="338"/>
      <c r="DF32" s="338"/>
      <c r="DG32" s="338"/>
      <c r="DH32" s="338"/>
      <c r="DI32" s="338"/>
      <c r="DJ32" s="338"/>
      <c r="DK32" s="338"/>
      <c r="DL32" s="338"/>
      <c r="DM32" s="339"/>
      <c r="DN32" s="218"/>
      <c r="DO32" s="219"/>
      <c r="DP32" s="338"/>
      <c r="DQ32" s="338"/>
      <c r="DR32" s="338"/>
      <c r="DS32" s="338"/>
      <c r="DT32" s="338"/>
      <c r="DU32" s="338"/>
      <c r="DV32" s="338"/>
      <c r="DW32" s="338"/>
      <c r="DX32" s="338"/>
      <c r="DY32" s="338"/>
      <c r="DZ32" s="339"/>
      <c r="EA32" s="218"/>
      <c r="EB32" s="219"/>
      <c r="EC32" s="338"/>
      <c r="ED32" s="338"/>
      <c r="EE32" s="338"/>
      <c r="EF32" s="338"/>
      <c r="EG32" s="338"/>
      <c r="EH32" s="338"/>
      <c r="EI32" s="338"/>
      <c r="EJ32" s="338"/>
      <c r="EK32" s="338"/>
      <c r="EL32" s="338"/>
      <c r="EM32" s="339"/>
      <c r="EN32" s="218"/>
      <c r="EO32" s="219"/>
      <c r="EP32" s="338"/>
      <c r="EQ32" s="338"/>
      <c r="ER32" s="338"/>
      <c r="ES32" s="338"/>
      <c r="ET32" s="338"/>
      <c r="EU32" s="338"/>
      <c r="EV32" s="338"/>
      <c r="EW32" s="338"/>
      <c r="EX32" s="338"/>
      <c r="EY32" s="338"/>
      <c r="EZ32" s="339"/>
      <c r="FA32" s="218"/>
      <c r="FB32" s="219"/>
      <c r="FC32" s="338"/>
      <c r="FD32" s="338"/>
      <c r="FE32" s="338"/>
      <c r="FF32" s="338"/>
      <c r="FG32" s="338"/>
      <c r="FH32" s="338"/>
      <c r="FI32" s="338"/>
      <c r="FJ32" s="338"/>
      <c r="FK32" s="338"/>
      <c r="FL32" s="338"/>
      <c r="FM32" s="339"/>
      <c r="FN32" s="218"/>
      <c r="FO32" s="219"/>
      <c r="FP32" s="338"/>
      <c r="FQ32" s="338"/>
      <c r="FR32" s="338"/>
      <c r="FS32" s="338"/>
      <c r="FT32" s="338"/>
      <c r="FU32" s="338"/>
      <c r="FV32" s="338"/>
      <c r="FW32" s="338"/>
      <c r="FX32" s="338"/>
      <c r="FY32" s="338"/>
      <c r="FZ32" s="339"/>
      <c r="GA32" s="218"/>
      <c r="GB32" s="219"/>
      <c r="GC32" s="338"/>
      <c r="GD32" s="338"/>
      <c r="GE32" s="338"/>
      <c r="GF32" s="338"/>
      <c r="GG32" s="338"/>
      <c r="GH32" s="338"/>
      <c r="GI32" s="338"/>
      <c r="GJ32" s="338"/>
      <c r="GK32" s="338"/>
      <c r="GL32" s="338"/>
      <c r="GM32" s="339"/>
      <c r="GN32" s="218"/>
      <c r="GO32" s="219"/>
      <c r="GP32" s="338"/>
      <c r="GQ32" s="338"/>
      <c r="GR32" s="338"/>
      <c r="GS32" s="338"/>
      <c r="GT32" s="338"/>
      <c r="GU32" s="338"/>
      <c r="GV32" s="338"/>
      <c r="GW32" s="338"/>
      <c r="GX32" s="338"/>
      <c r="GY32" s="338"/>
      <c r="GZ32" s="339"/>
      <c r="HA32" s="218"/>
      <c r="HB32" s="219"/>
      <c r="HC32" s="338"/>
      <c r="HD32" s="338"/>
      <c r="HE32" s="338"/>
      <c r="HF32" s="338"/>
      <c r="HG32" s="338"/>
      <c r="HH32" s="338"/>
      <c r="HI32" s="338"/>
      <c r="HJ32" s="338"/>
      <c r="HK32" s="338"/>
      <c r="HL32" s="338"/>
      <c r="HM32" s="339"/>
      <c r="HN32" s="218"/>
      <c r="HO32" s="219"/>
      <c r="HP32" s="338"/>
      <c r="HQ32" s="338"/>
      <c r="HR32" s="338"/>
      <c r="HS32" s="338"/>
      <c r="HT32" s="338"/>
      <c r="HU32" s="338"/>
      <c r="HV32" s="338"/>
      <c r="HW32" s="338"/>
      <c r="HX32" s="338"/>
      <c r="HY32" s="338"/>
      <c r="HZ32" s="339"/>
      <c r="IA32" s="218"/>
      <c r="IB32" s="219"/>
      <c r="IC32" s="338"/>
      <c r="ID32" s="338"/>
      <c r="IE32" s="338"/>
      <c r="IF32" s="338"/>
      <c r="IG32" s="338"/>
      <c r="IH32" s="338"/>
      <c r="II32" s="338"/>
      <c r="IJ32" s="338"/>
      <c r="IK32" s="338"/>
      <c r="IL32" s="338"/>
      <c r="IM32" s="339"/>
      <c r="IN32" s="218"/>
      <c r="IO32" s="219"/>
      <c r="IP32" s="338"/>
      <c r="IQ32" s="338"/>
      <c r="IR32" s="338"/>
      <c r="IS32" s="338"/>
      <c r="IT32" s="338"/>
      <c r="IU32" s="338"/>
      <c r="IV32" s="338"/>
    </row>
    <row r="33" spans="1:256" x14ac:dyDescent="0.2">
      <c r="A33" s="218"/>
      <c r="B33" s="219"/>
      <c r="C33" s="338"/>
      <c r="D33" s="338"/>
      <c r="E33" s="338"/>
      <c r="F33" s="338"/>
      <c r="G33" s="338"/>
      <c r="H33" s="338"/>
      <c r="I33" s="338"/>
      <c r="J33" s="338"/>
      <c r="K33" s="338"/>
      <c r="L33" s="338"/>
      <c r="M33" s="339"/>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8"/>
      <c r="D34" s="338"/>
      <c r="E34" s="338"/>
      <c r="F34" s="338"/>
      <c r="G34" s="338"/>
      <c r="H34" s="338"/>
      <c r="I34" s="338"/>
      <c r="J34" s="338"/>
      <c r="K34" s="338"/>
      <c r="L34" s="338"/>
      <c r="M34" s="339"/>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8"/>
      <c r="D35" s="338"/>
      <c r="E35" s="338"/>
      <c r="F35" s="338"/>
      <c r="G35" s="338"/>
      <c r="H35" s="338"/>
      <c r="I35" s="338"/>
      <c r="J35" s="338"/>
      <c r="K35" s="338"/>
      <c r="L35" s="338"/>
      <c r="M35" s="339"/>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8"/>
      <c r="D36" s="338"/>
      <c r="E36" s="338"/>
      <c r="F36" s="338"/>
      <c r="G36" s="338"/>
      <c r="H36" s="338"/>
      <c r="I36" s="338"/>
      <c r="J36" s="338"/>
      <c r="K36" s="338"/>
      <c r="L36" s="338"/>
      <c r="M36" s="339"/>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8"/>
      <c r="D37" s="338"/>
      <c r="E37" s="338"/>
      <c r="F37" s="338"/>
      <c r="G37" s="338"/>
      <c r="H37" s="338"/>
      <c r="I37" s="338"/>
      <c r="J37" s="338"/>
      <c r="K37" s="338"/>
      <c r="L37" s="338"/>
      <c r="M37" s="339"/>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8"/>
      <c r="D38" s="338"/>
      <c r="E38" s="338"/>
      <c r="F38" s="338"/>
      <c r="G38" s="338"/>
      <c r="H38" s="338"/>
      <c r="I38" s="338"/>
      <c r="J38" s="338"/>
      <c r="K38" s="338"/>
      <c r="L38" s="338"/>
      <c r="M38" s="339"/>
      <c r="N38" s="211"/>
      <c r="O38" s="211"/>
      <c r="P38" s="337"/>
      <c r="Q38" s="337"/>
      <c r="R38" s="337"/>
      <c r="S38" s="337"/>
      <c r="T38" s="337"/>
      <c r="U38" s="337"/>
      <c r="V38" s="337"/>
      <c r="W38" s="337"/>
      <c r="X38" s="337"/>
      <c r="Y38" s="337"/>
      <c r="Z38" s="337"/>
      <c r="AA38" s="207"/>
      <c r="AB38" s="207"/>
      <c r="AC38" s="336"/>
      <c r="AD38" s="336"/>
      <c r="AE38" s="336"/>
      <c r="AF38" s="336"/>
      <c r="AG38" s="336"/>
      <c r="AH38" s="336"/>
      <c r="AI38" s="336"/>
      <c r="AJ38" s="336"/>
      <c r="AK38" s="336"/>
      <c r="AL38" s="336"/>
      <c r="AM38" s="336"/>
      <c r="AN38" s="207"/>
      <c r="AO38" s="207"/>
      <c r="AP38" s="336"/>
      <c r="AQ38" s="336"/>
      <c r="AR38" s="336"/>
      <c r="AS38" s="336"/>
      <c r="AT38" s="336"/>
      <c r="AU38" s="336"/>
      <c r="AV38" s="336"/>
      <c r="AW38" s="336"/>
      <c r="AX38" s="336"/>
      <c r="AY38" s="336"/>
      <c r="AZ38" s="336"/>
      <c r="BA38" s="207"/>
      <c r="BB38" s="207"/>
      <c r="BC38" s="336"/>
      <c r="BD38" s="336"/>
      <c r="BE38" s="336"/>
      <c r="BF38" s="336"/>
      <c r="BG38" s="336"/>
      <c r="BH38" s="336"/>
      <c r="BI38" s="336"/>
      <c r="BJ38" s="336"/>
      <c r="BK38" s="336"/>
      <c r="BL38" s="336"/>
      <c r="BM38" s="336"/>
      <c r="BN38" s="207"/>
      <c r="BO38" s="207"/>
      <c r="BP38" s="336"/>
      <c r="BQ38" s="336"/>
      <c r="BR38" s="336"/>
      <c r="BS38" s="336"/>
      <c r="BT38" s="336"/>
      <c r="BU38" s="336"/>
      <c r="BV38" s="336"/>
      <c r="BW38" s="336"/>
      <c r="BX38" s="336"/>
      <c r="BY38" s="336"/>
      <c r="BZ38" s="336"/>
      <c r="CA38" s="207"/>
      <c r="CB38" s="207"/>
      <c r="CC38" s="336"/>
      <c r="CD38" s="336"/>
      <c r="CE38" s="336"/>
      <c r="CF38" s="336"/>
      <c r="CG38" s="336"/>
      <c r="CH38" s="336"/>
      <c r="CI38" s="336"/>
      <c r="CJ38" s="336"/>
      <c r="CK38" s="336"/>
      <c r="CL38" s="336"/>
      <c r="CM38" s="336"/>
      <c r="CN38" s="207"/>
      <c r="CO38" s="207"/>
      <c r="CP38" s="336"/>
      <c r="CQ38" s="336"/>
      <c r="CR38" s="336"/>
      <c r="CS38" s="336"/>
      <c r="CT38" s="336"/>
      <c r="CU38" s="336"/>
      <c r="CV38" s="336"/>
      <c r="CW38" s="336"/>
      <c r="CX38" s="336"/>
      <c r="CY38" s="336"/>
      <c r="CZ38" s="336"/>
      <c r="DA38" s="207"/>
      <c r="DB38" s="207"/>
      <c r="DC38" s="336"/>
      <c r="DD38" s="336"/>
      <c r="DE38" s="336"/>
      <c r="DF38" s="336"/>
      <c r="DG38" s="336"/>
      <c r="DH38" s="336"/>
      <c r="DI38" s="336"/>
      <c r="DJ38" s="336"/>
      <c r="DK38" s="336"/>
      <c r="DL38" s="336"/>
      <c r="DM38" s="336"/>
      <c r="DN38" s="207"/>
      <c r="DO38" s="207"/>
      <c r="DP38" s="336"/>
      <c r="DQ38" s="336"/>
      <c r="DR38" s="336"/>
      <c r="DS38" s="336"/>
      <c r="DT38" s="336"/>
      <c r="DU38" s="336"/>
      <c r="DV38" s="336"/>
      <c r="DW38" s="336"/>
      <c r="DX38" s="336"/>
      <c r="DY38" s="336"/>
      <c r="DZ38" s="336"/>
      <c r="EA38" s="207"/>
      <c r="EB38" s="207"/>
      <c r="EC38" s="336"/>
      <c r="ED38" s="336"/>
      <c r="EE38" s="336"/>
      <c r="EF38" s="336"/>
      <c r="EG38" s="336"/>
      <c r="EH38" s="336"/>
      <c r="EI38" s="336"/>
      <c r="EJ38" s="336"/>
      <c r="EK38" s="336"/>
      <c r="EL38" s="336"/>
      <c r="EM38" s="336"/>
      <c r="EN38" s="207"/>
      <c r="EO38" s="207"/>
      <c r="EP38" s="336"/>
      <c r="EQ38" s="336"/>
      <c r="ER38" s="336"/>
      <c r="ES38" s="336"/>
      <c r="ET38" s="336"/>
      <c r="EU38" s="336"/>
      <c r="EV38" s="336"/>
      <c r="EW38" s="336"/>
      <c r="EX38" s="336"/>
      <c r="EY38" s="336"/>
      <c r="EZ38" s="336"/>
      <c r="FA38" s="207"/>
      <c r="FB38" s="207"/>
      <c r="FC38" s="336"/>
      <c r="FD38" s="336"/>
      <c r="FE38" s="336"/>
      <c r="FF38" s="336"/>
      <c r="FG38" s="336"/>
      <c r="FH38" s="336"/>
      <c r="FI38" s="336"/>
      <c r="FJ38" s="336"/>
      <c r="FK38" s="336"/>
      <c r="FL38" s="336"/>
      <c r="FM38" s="336"/>
      <c r="FN38" s="207"/>
      <c r="FO38" s="207"/>
      <c r="FP38" s="336"/>
      <c r="FQ38" s="336"/>
      <c r="FR38" s="336"/>
      <c r="FS38" s="336"/>
      <c r="FT38" s="336"/>
      <c r="FU38" s="336"/>
      <c r="FV38" s="336"/>
      <c r="FW38" s="336"/>
      <c r="FX38" s="336"/>
      <c r="FY38" s="336"/>
      <c r="FZ38" s="336"/>
      <c r="GA38" s="207"/>
      <c r="GB38" s="207"/>
      <c r="GC38" s="336"/>
      <c r="GD38" s="336"/>
      <c r="GE38" s="336"/>
      <c r="GF38" s="336"/>
      <c r="GG38" s="336"/>
      <c r="GH38" s="336"/>
      <c r="GI38" s="336"/>
      <c r="GJ38" s="336"/>
      <c r="GK38" s="336"/>
      <c r="GL38" s="336"/>
      <c r="GM38" s="336"/>
      <c r="GN38" s="207"/>
      <c r="GO38" s="207"/>
      <c r="GP38" s="336"/>
      <c r="GQ38" s="336"/>
      <c r="GR38" s="336"/>
      <c r="GS38" s="336"/>
      <c r="GT38" s="336"/>
      <c r="GU38" s="336"/>
      <c r="GV38" s="336"/>
      <c r="GW38" s="336"/>
      <c r="GX38" s="336"/>
      <c r="GY38" s="336"/>
      <c r="GZ38" s="336"/>
      <c r="HA38" s="207"/>
      <c r="HB38" s="207"/>
      <c r="HC38" s="336"/>
      <c r="HD38" s="336"/>
      <c r="HE38" s="336"/>
      <c r="HF38" s="336"/>
      <c r="HG38" s="336"/>
      <c r="HH38" s="336"/>
      <c r="HI38" s="336"/>
      <c r="HJ38" s="336"/>
      <c r="HK38" s="336"/>
      <c r="HL38" s="336"/>
      <c r="HM38" s="336"/>
      <c r="HN38" s="207"/>
      <c r="HO38" s="207"/>
      <c r="HP38" s="336"/>
      <c r="HQ38" s="336"/>
      <c r="HR38" s="336"/>
      <c r="HS38" s="336"/>
      <c r="HT38" s="336"/>
      <c r="HU38" s="336"/>
      <c r="HV38" s="336"/>
      <c r="HW38" s="336"/>
      <c r="HX38" s="336"/>
      <c r="HY38" s="336"/>
      <c r="HZ38" s="336"/>
      <c r="IA38" s="207"/>
      <c r="IB38" s="207"/>
      <c r="IC38" s="336"/>
      <c r="ID38" s="336"/>
      <c r="IE38" s="336"/>
      <c r="IF38" s="336"/>
      <c r="IG38" s="336"/>
      <c r="IH38" s="336"/>
      <c r="II38" s="336"/>
      <c r="IJ38" s="336"/>
      <c r="IK38" s="336"/>
      <c r="IL38" s="336"/>
      <c r="IM38" s="336"/>
      <c r="IN38" s="207"/>
      <c r="IO38" s="207"/>
      <c r="IP38" s="336"/>
      <c r="IQ38" s="336"/>
      <c r="IR38" s="336"/>
      <c r="IS38" s="336"/>
      <c r="IT38" s="336"/>
      <c r="IU38" s="336"/>
      <c r="IV38" s="336"/>
    </row>
    <row r="39" spans="1:256" x14ac:dyDescent="0.2">
      <c r="A39" s="218"/>
      <c r="B39" s="219"/>
      <c r="C39" s="338"/>
      <c r="D39" s="338"/>
      <c r="E39" s="338"/>
      <c r="F39" s="338"/>
      <c r="G39" s="338"/>
      <c r="H39" s="338"/>
      <c r="I39" s="338"/>
      <c r="J39" s="338"/>
      <c r="K39" s="338"/>
      <c r="L39" s="338"/>
      <c r="M39" s="339"/>
      <c r="N39" s="211"/>
      <c r="O39" s="211"/>
      <c r="P39" s="337"/>
      <c r="Q39" s="337"/>
      <c r="R39" s="337"/>
      <c r="S39" s="337"/>
      <c r="T39" s="337"/>
      <c r="U39" s="337"/>
      <c r="V39" s="337"/>
      <c r="W39" s="337"/>
      <c r="X39" s="337"/>
      <c r="Y39" s="337"/>
      <c r="Z39" s="337"/>
      <c r="AA39" s="207"/>
      <c r="AB39" s="207"/>
      <c r="AC39" s="336"/>
      <c r="AD39" s="336"/>
      <c r="AE39" s="336"/>
      <c r="AF39" s="336"/>
      <c r="AG39" s="336"/>
      <c r="AH39" s="336"/>
      <c r="AI39" s="336"/>
      <c r="AJ39" s="336"/>
      <c r="AK39" s="336"/>
      <c r="AL39" s="336"/>
      <c r="AM39" s="336"/>
      <c r="AN39" s="207"/>
      <c r="AO39" s="207"/>
      <c r="AP39" s="336"/>
      <c r="AQ39" s="336"/>
      <c r="AR39" s="336"/>
      <c r="AS39" s="336"/>
      <c r="AT39" s="336"/>
      <c r="AU39" s="336"/>
      <c r="AV39" s="336"/>
      <c r="AW39" s="336"/>
      <c r="AX39" s="336"/>
      <c r="AY39" s="336"/>
      <c r="AZ39" s="336"/>
      <c r="BA39" s="207"/>
      <c r="BB39" s="207"/>
      <c r="BC39" s="336"/>
      <c r="BD39" s="336"/>
      <c r="BE39" s="336"/>
      <c r="BF39" s="336"/>
      <c r="BG39" s="336"/>
      <c r="BH39" s="336"/>
      <c r="BI39" s="336"/>
      <c r="BJ39" s="336"/>
      <c r="BK39" s="336"/>
      <c r="BL39" s="336"/>
      <c r="BM39" s="336"/>
      <c r="BN39" s="207"/>
      <c r="BO39" s="207"/>
      <c r="BP39" s="336"/>
      <c r="BQ39" s="336"/>
      <c r="BR39" s="336"/>
      <c r="BS39" s="336"/>
      <c r="BT39" s="336"/>
      <c r="BU39" s="336"/>
      <c r="BV39" s="336"/>
      <c r="BW39" s="336"/>
      <c r="BX39" s="336"/>
      <c r="BY39" s="336"/>
      <c r="BZ39" s="336"/>
      <c r="CA39" s="207"/>
      <c r="CB39" s="207"/>
      <c r="CC39" s="336"/>
      <c r="CD39" s="336"/>
      <c r="CE39" s="336"/>
      <c r="CF39" s="336"/>
      <c r="CG39" s="336"/>
      <c r="CH39" s="336"/>
      <c r="CI39" s="336"/>
      <c r="CJ39" s="336"/>
      <c r="CK39" s="336"/>
      <c r="CL39" s="336"/>
      <c r="CM39" s="336"/>
      <c r="CN39" s="207"/>
      <c r="CO39" s="207"/>
      <c r="CP39" s="336"/>
      <c r="CQ39" s="336"/>
      <c r="CR39" s="336"/>
      <c r="CS39" s="336"/>
      <c r="CT39" s="336"/>
      <c r="CU39" s="336"/>
      <c r="CV39" s="336"/>
      <c r="CW39" s="336"/>
      <c r="CX39" s="336"/>
      <c r="CY39" s="336"/>
      <c r="CZ39" s="336"/>
      <c r="DA39" s="207"/>
      <c r="DB39" s="207"/>
      <c r="DC39" s="336"/>
      <c r="DD39" s="336"/>
      <c r="DE39" s="336"/>
      <c r="DF39" s="336"/>
      <c r="DG39" s="336"/>
      <c r="DH39" s="336"/>
      <c r="DI39" s="336"/>
      <c r="DJ39" s="336"/>
      <c r="DK39" s="336"/>
      <c r="DL39" s="336"/>
      <c r="DM39" s="336"/>
      <c r="DN39" s="207"/>
      <c r="DO39" s="207"/>
      <c r="DP39" s="336"/>
      <c r="DQ39" s="336"/>
      <c r="DR39" s="336"/>
      <c r="DS39" s="336"/>
      <c r="DT39" s="336"/>
      <c r="DU39" s="336"/>
      <c r="DV39" s="336"/>
      <c r="DW39" s="336"/>
      <c r="DX39" s="336"/>
      <c r="DY39" s="336"/>
      <c r="DZ39" s="336"/>
      <c r="EA39" s="207"/>
      <c r="EB39" s="207"/>
      <c r="EC39" s="336"/>
      <c r="ED39" s="336"/>
      <c r="EE39" s="336"/>
      <c r="EF39" s="336"/>
      <c r="EG39" s="336"/>
      <c r="EH39" s="336"/>
      <c r="EI39" s="336"/>
      <c r="EJ39" s="336"/>
      <c r="EK39" s="336"/>
      <c r="EL39" s="336"/>
      <c r="EM39" s="336"/>
      <c r="EN39" s="207"/>
      <c r="EO39" s="207"/>
      <c r="EP39" s="336"/>
      <c r="EQ39" s="336"/>
      <c r="ER39" s="336"/>
      <c r="ES39" s="336"/>
      <c r="ET39" s="336"/>
      <c r="EU39" s="336"/>
      <c r="EV39" s="336"/>
      <c r="EW39" s="336"/>
      <c r="EX39" s="336"/>
      <c r="EY39" s="336"/>
      <c r="EZ39" s="336"/>
      <c r="FA39" s="207"/>
      <c r="FB39" s="207"/>
      <c r="FC39" s="336"/>
      <c r="FD39" s="336"/>
      <c r="FE39" s="336"/>
      <c r="FF39" s="336"/>
      <c r="FG39" s="336"/>
      <c r="FH39" s="336"/>
      <c r="FI39" s="336"/>
      <c r="FJ39" s="336"/>
      <c r="FK39" s="336"/>
      <c r="FL39" s="336"/>
      <c r="FM39" s="336"/>
      <c r="FN39" s="207"/>
      <c r="FO39" s="207"/>
      <c r="FP39" s="336"/>
      <c r="FQ39" s="336"/>
      <c r="FR39" s="336"/>
      <c r="FS39" s="336"/>
      <c r="FT39" s="336"/>
      <c r="FU39" s="336"/>
      <c r="FV39" s="336"/>
      <c r="FW39" s="336"/>
      <c r="FX39" s="336"/>
      <c r="FY39" s="336"/>
      <c r="FZ39" s="336"/>
      <c r="GA39" s="207"/>
      <c r="GB39" s="207"/>
      <c r="GC39" s="336"/>
      <c r="GD39" s="336"/>
      <c r="GE39" s="336"/>
      <c r="GF39" s="336"/>
      <c r="GG39" s="336"/>
      <c r="GH39" s="336"/>
      <c r="GI39" s="336"/>
      <c r="GJ39" s="336"/>
      <c r="GK39" s="336"/>
      <c r="GL39" s="336"/>
      <c r="GM39" s="336"/>
      <c r="GN39" s="207"/>
      <c r="GO39" s="207"/>
      <c r="GP39" s="336"/>
      <c r="GQ39" s="336"/>
      <c r="GR39" s="336"/>
      <c r="GS39" s="336"/>
      <c r="GT39" s="336"/>
      <c r="GU39" s="336"/>
      <c r="GV39" s="336"/>
      <c r="GW39" s="336"/>
      <c r="GX39" s="336"/>
      <c r="GY39" s="336"/>
      <c r="GZ39" s="336"/>
      <c r="HA39" s="207"/>
      <c r="HB39" s="207"/>
      <c r="HC39" s="336"/>
      <c r="HD39" s="336"/>
      <c r="HE39" s="336"/>
      <c r="HF39" s="336"/>
      <c r="HG39" s="336"/>
      <c r="HH39" s="336"/>
      <c r="HI39" s="336"/>
      <c r="HJ39" s="336"/>
      <c r="HK39" s="336"/>
      <c r="HL39" s="336"/>
      <c r="HM39" s="336"/>
      <c r="HN39" s="207"/>
      <c r="HO39" s="207"/>
      <c r="HP39" s="336"/>
      <c r="HQ39" s="336"/>
      <c r="HR39" s="336"/>
      <c r="HS39" s="336"/>
      <c r="HT39" s="336"/>
      <c r="HU39" s="336"/>
      <c r="HV39" s="336"/>
      <c r="HW39" s="336"/>
      <c r="HX39" s="336"/>
      <c r="HY39" s="336"/>
      <c r="HZ39" s="336"/>
      <c r="IA39" s="207"/>
      <c r="IB39" s="207"/>
      <c r="IC39" s="336"/>
      <c r="ID39" s="336"/>
      <c r="IE39" s="336"/>
      <c r="IF39" s="336"/>
      <c r="IG39" s="336"/>
      <c r="IH39" s="336"/>
      <c r="II39" s="336"/>
      <c r="IJ39" s="336"/>
      <c r="IK39" s="336"/>
      <c r="IL39" s="336"/>
      <c r="IM39" s="336"/>
      <c r="IN39" s="207"/>
      <c r="IO39" s="207"/>
      <c r="IP39" s="336"/>
      <c r="IQ39" s="336"/>
      <c r="IR39" s="336"/>
      <c r="IS39" s="336"/>
      <c r="IT39" s="336"/>
      <c r="IU39" s="336"/>
      <c r="IV39" s="336"/>
    </row>
    <row r="40" spans="1:256" x14ac:dyDescent="0.2">
      <c r="A40" s="218"/>
      <c r="B40" s="219"/>
      <c r="C40" s="338"/>
      <c r="D40" s="338"/>
      <c r="E40" s="338"/>
      <c r="F40" s="338"/>
      <c r="G40" s="338"/>
      <c r="H40" s="338"/>
      <c r="I40" s="338"/>
      <c r="J40" s="338"/>
      <c r="K40" s="338"/>
      <c r="L40" s="338"/>
      <c r="M40" s="339"/>
      <c r="N40" s="211"/>
      <c r="O40" s="211"/>
      <c r="P40" s="337"/>
      <c r="Q40" s="337"/>
      <c r="R40" s="337"/>
      <c r="S40" s="337"/>
      <c r="T40" s="337"/>
      <c r="U40" s="337"/>
      <c r="V40" s="337"/>
      <c r="W40" s="337"/>
      <c r="X40" s="337"/>
      <c r="Y40" s="337"/>
      <c r="Z40" s="337"/>
      <c r="AA40" s="207"/>
      <c r="AB40" s="207"/>
      <c r="AC40" s="336"/>
      <c r="AD40" s="336"/>
      <c r="AE40" s="336"/>
      <c r="AF40" s="336"/>
      <c r="AG40" s="336"/>
      <c r="AH40" s="336"/>
      <c r="AI40" s="336"/>
      <c r="AJ40" s="336"/>
      <c r="AK40" s="336"/>
      <c r="AL40" s="336"/>
      <c r="AM40" s="336"/>
      <c r="AN40" s="207"/>
      <c r="AO40" s="207"/>
      <c r="AP40" s="336"/>
      <c r="AQ40" s="336"/>
      <c r="AR40" s="336"/>
      <c r="AS40" s="336"/>
      <c r="AT40" s="336"/>
      <c r="AU40" s="336"/>
      <c r="AV40" s="336"/>
      <c r="AW40" s="336"/>
      <c r="AX40" s="336"/>
      <c r="AY40" s="336"/>
      <c r="AZ40" s="336"/>
      <c r="BA40" s="207"/>
      <c r="BB40" s="207"/>
      <c r="BC40" s="336"/>
      <c r="BD40" s="336"/>
      <c r="BE40" s="336"/>
      <c r="BF40" s="336"/>
      <c r="BG40" s="336"/>
      <c r="BH40" s="336"/>
      <c r="BI40" s="336"/>
      <c r="BJ40" s="336"/>
      <c r="BK40" s="336"/>
      <c r="BL40" s="336"/>
      <c r="BM40" s="336"/>
      <c r="BN40" s="207"/>
      <c r="BO40" s="207"/>
      <c r="BP40" s="336"/>
      <c r="BQ40" s="336"/>
      <c r="BR40" s="336"/>
      <c r="BS40" s="336"/>
      <c r="BT40" s="336"/>
      <c r="BU40" s="336"/>
      <c r="BV40" s="336"/>
      <c r="BW40" s="336"/>
      <c r="BX40" s="336"/>
      <c r="BY40" s="336"/>
      <c r="BZ40" s="336"/>
      <c r="CA40" s="207"/>
      <c r="CB40" s="207"/>
      <c r="CC40" s="336"/>
      <c r="CD40" s="336"/>
      <c r="CE40" s="336"/>
      <c r="CF40" s="336"/>
      <c r="CG40" s="336"/>
      <c r="CH40" s="336"/>
      <c r="CI40" s="336"/>
      <c r="CJ40" s="336"/>
      <c r="CK40" s="336"/>
      <c r="CL40" s="336"/>
      <c r="CM40" s="336"/>
      <c r="CN40" s="207"/>
      <c r="CO40" s="207"/>
      <c r="CP40" s="336"/>
      <c r="CQ40" s="336"/>
      <c r="CR40" s="336"/>
      <c r="CS40" s="336"/>
      <c r="CT40" s="336"/>
      <c r="CU40" s="336"/>
      <c r="CV40" s="336"/>
      <c r="CW40" s="336"/>
      <c r="CX40" s="336"/>
      <c r="CY40" s="336"/>
      <c r="CZ40" s="336"/>
      <c r="DA40" s="207"/>
      <c r="DB40" s="207"/>
      <c r="DC40" s="336"/>
      <c r="DD40" s="336"/>
      <c r="DE40" s="336"/>
      <c r="DF40" s="336"/>
      <c r="DG40" s="336"/>
      <c r="DH40" s="336"/>
      <c r="DI40" s="336"/>
      <c r="DJ40" s="336"/>
      <c r="DK40" s="336"/>
      <c r="DL40" s="336"/>
      <c r="DM40" s="336"/>
      <c r="DN40" s="207"/>
      <c r="DO40" s="207"/>
      <c r="DP40" s="336"/>
      <c r="DQ40" s="336"/>
      <c r="DR40" s="336"/>
      <c r="DS40" s="336"/>
      <c r="DT40" s="336"/>
      <c r="DU40" s="336"/>
      <c r="DV40" s="336"/>
      <c r="DW40" s="336"/>
      <c r="DX40" s="336"/>
      <c r="DY40" s="336"/>
      <c r="DZ40" s="336"/>
      <c r="EA40" s="207"/>
      <c r="EB40" s="207"/>
      <c r="EC40" s="336"/>
      <c r="ED40" s="336"/>
      <c r="EE40" s="336"/>
      <c r="EF40" s="336"/>
      <c r="EG40" s="336"/>
      <c r="EH40" s="336"/>
      <c r="EI40" s="336"/>
      <c r="EJ40" s="336"/>
      <c r="EK40" s="336"/>
      <c r="EL40" s="336"/>
      <c r="EM40" s="336"/>
      <c r="EN40" s="207"/>
      <c r="EO40" s="207"/>
      <c r="EP40" s="336"/>
      <c r="EQ40" s="336"/>
      <c r="ER40" s="336"/>
      <c r="ES40" s="336"/>
      <c r="ET40" s="336"/>
      <c r="EU40" s="336"/>
      <c r="EV40" s="336"/>
      <c r="EW40" s="336"/>
      <c r="EX40" s="336"/>
      <c r="EY40" s="336"/>
      <c r="EZ40" s="336"/>
      <c r="FA40" s="207"/>
      <c r="FB40" s="207"/>
      <c r="FC40" s="336"/>
      <c r="FD40" s="336"/>
      <c r="FE40" s="336"/>
      <c r="FF40" s="336"/>
      <c r="FG40" s="336"/>
      <c r="FH40" s="336"/>
      <c r="FI40" s="336"/>
      <c r="FJ40" s="336"/>
      <c r="FK40" s="336"/>
      <c r="FL40" s="336"/>
      <c r="FM40" s="336"/>
      <c r="FN40" s="207"/>
      <c r="FO40" s="207"/>
      <c r="FP40" s="336"/>
      <c r="FQ40" s="336"/>
      <c r="FR40" s="336"/>
      <c r="FS40" s="336"/>
      <c r="FT40" s="336"/>
      <c r="FU40" s="336"/>
      <c r="FV40" s="336"/>
      <c r="FW40" s="336"/>
      <c r="FX40" s="336"/>
      <c r="FY40" s="336"/>
      <c r="FZ40" s="336"/>
      <c r="GA40" s="207"/>
      <c r="GB40" s="207"/>
      <c r="GC40" s="336"/>
      <c r="GD40" s="336"/>
      <c r="GE40" s="336"/>
      <c r="GF40" s="336"/>
      <c r="GG40" s="336"/>
      <c r="GH40" s="336"/>
      <c r="GI40" s="336"/>
      <c r="GJ40" s="336"/>
      <c r="GK40" s="336"/>
      <c r="GL40" s="336"/>
      <c r="GM40" s="336"/>
      <c r="GN40" s="207"/>
      <c r="GO40" s="207"/>
      <c r="GP40" s="336"/>
      <c r="GQ40" s="336"/>
      <c r="GR40" s="336"/>
      <c r="GS40" s="336"/>
      <c r="GT40" s="336"/>
      <c r="GU40" s="336"/>
      <c r="GV40" s="336"/>
      <c r="GW40" s="336"/>
      <c r="GX40" s="336"/>
      <c r="GY40" s="336"/>
      <c r="GZ40" s="336"/>
      <c r="HA40" s="207"/>
      <c r="HB40" s="207"/>
      <c r="HC40" s="336"/>
      <c r="HD40" s="336"/>
      <c r="HE40" s="336"/>
      <c r="HF40" s="336"/>
      <c r="HG40" s="336"/>
      <c r="HH40" s="336"/>
      <c r="HI40" s="336"/>
      <c r="HJ40" s="336"/>
      <c r="HK40" s="336"/>
      <c r="HL40" s="336"/>
      <c r="HM40" s="336"/>
      <c r="HN40" s="207"/>
      <c r="HO40" s="207"/>
      <c r="HP40" s="336"/>
      <c r="HQ40" s="336"/>
      <c r="HR40" s="336"/>
      <c r="HS40" s="336"/>
      <c r="HT40" s="336"/>
      <c r="HU40" s="336"/>
      <c r="HV40" s="336"/>
      <c r="HW40" s="336"/>
      <c r="HX40" s="336"/>
      <c r="HY40" s="336"/>
      <c r="HZ40" s="336"/>
      <c r="IA40" s="207"/>
      <c r="IB40" s="207"/>
      <c r="IC40" s="336"/>
      <c r="ID40" s="336"/>
      <c r="IE40" s="336"/>
      <c r="IF40" s="336"/>
      <c r="IG40" s="336"/>
      <c r="IH40" s="336"/>
      <c r="II40" s="336"/>
      <c r="IJ40" s="336"/>
      <c r="IK40" s="336"/>
      <c r="IL40" s="336"/>
      <c r="IM40" s="336"/>
      <c r="IN40" s="207"/>
      <c r="IO40" s="207"/>
      <c r="IP40" s="336"/>
      <c r="IQ40" s="336"/>
      <c r="IR40" s="336"/>
      <c r="IS40" s="336"/>
      <c r="IT40" s="336"/>
      <c r="IU40" s="336"/>
      <c r="IV40" s="336"/>
    </row>
    <row r="41" spans="1:256" x14ac:dyDescent="0.2">
      <c r="A41" s="218"/>
      <c r="B41" s="219"/>
      <c r="C41" s="338"/>
      <c r="D41" s="338"/>
      <c r="E41" s="338"/>
      <c r="F41" s="338"/>
      <c r="G41" s="338"/>
      <c r="H41" s="338"/>
      <c r="I41" s="338"/>
      <c r="J41" s="338"/>
      <c r="K41" s="338"/>
      <c r="L41" s="338"/>
      <c r="M41" s="339"/>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8"/>
      <c r="D42" s="338"/>
      <c r="E42" s="338"/>
      <c r="F42" s="338"/>
      <c r="G42" s="338"/>
      <c r="H42" s="338"/>
      <c r="I42" s="338"/>
      <c r="J42" s="338"/>
      <c r="K42" s="338"/>
      <c r="L42" s="338"/>
      <c r="M42" s="339"/>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8"/>
      <c r="D43" s="338"/>
      <c r="E43" s="338"/>
      <c r="F43" s="338"/>
      <c r="G43" s="338"/>
      <c r="H43" s="338"/>
      <c r="I43" s="338"/>
      <c r="J43" s="338"/>
      <c r="K43" s="338"/>
      <c r="L43" s="338"/>
      <c r="M43" s="339"/>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8"/>
      <c r="D44" s="338"/>
      <c r="E44" s="338"/>
      <c r="F44" s="338"/>
      <c r="G44" s="338"/>
      <c r="H44" s="338"/>
      <c r="I44" s="338"/>
      <c r="J44" s="338"/>
      <c r="K44" s="338"/>
      <c r="L44" s="338"/>
      <c r="M44" s="339"/>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8"/>
      <c r="D45" s="338"/>
      <c r="E45" s="338"/>
      <c r="F45" s="338"/>
      <c r="G45" s="338"/>
      <c r="H45" s="338"/>
      <c r="I45" s="338"/>
      <c r="J45" s="338"/>
      <c r="K45" s="338"/>
      <c r="L45" s="338"/>
      <c r="M45" s="339"/>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8"/>
      <c r="D46" s="338"/>
      <c r="E46" s="338"/>
      <c r="F46" s="338"/>
      <c r="G46" s="338"/>
      <c r="H46" s="338"/>
      <c r="I46" s="338"/>
      <c r="J46" s="338"/>
      <c r="K46" s="338"/>
      <c r="L46" s="338"/>
      <c r="M46" s="339"/>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8"/>
      <c r="D47" s="338"/>
      <c r="E47" s="338"/>
      <c r="F47" s="338"/>
      <c r="G47" s="338"/>
      <c r="H47" s="338"/>
      <c r="I47" s="338"/>
      <c r="J47" s="338"/>
      <c r="K47" s="338"/>
      <c r="L47" s="338"/>
      <c r="M47" s="339"/>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8"/>
      <c r="D48" s="338"/>
      <c r="E48" s="338"/>
      <c r="F48" s="338"/>
      <c r="G48" s="338"/>
      <c r="H48" s="338"/>
      <c r="I48" s="338"/>
      <c r="J48" s="338"/>
      <c r="K48" s="338"/>
      <c r="L48" s="338"/>
      <c r="M48" s="339"/>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8"/>
      <c r="D49" s="338"/>
      <c r="E49" s="338"/>
      <c r="F49" s="338"/>
      <c r="G49" s="338"/>
      <c r="H49" s="338"/>
      <c r="I49" s="338"/>
      <c r="J49" s="338"/>
      <c r="K49" s="338"/>
      <c r="L49" s="338"/>
      <c r="M49" s="339"/>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8"/>
      <c r="D50" s="338"/>
      <c r="E50" s="338"/>
      <c r="F50" s="338"/>
      <c r="G50" s="338"/>
      <c r="H50" s="338"/>
      <c r="I50" s="338"/>
      <c r="J50" s="338"/>
      <c r="K50" s="338"/>
      <c r="L50" s="338"/>
      <c r="M50" s="339"/>
      <c r="N50" s="126"/>
      <c r="O50" s="126"/>
      <c r="P50" s="126"/>
      <c r="Q50" s="126"/>
      <c r="R50" s="126"/>
      <c r="S50" s="126"/>
      <c r="T50" s="126"/>
      <c r="U50" s="126"/>
      <c r="V50" s="126"/>
      <c r="W50" s="126"/>
      <c r="X50" s="126"/>
      <c r="Y50" s="126"/>
      <c r="Z50" s="126"/>
    </row>
    <row r="51" spans="1:256" x14ac:dyDescent="0.2">
      <c r="A51" s="218"/>
      <c r="B51" s="219"/>
      <c r="C51" s="338"/>
      <c r="D51" s="338"/>
      <c r="E51" s="338"/>
      <c r="F51" s="338"/>
      <c r="G51" s="338"/>
      <c r="H51" s="338"/>
      <c r="I51" s="338"/>
      <c r="J51" s="338"/>
      <c r="K51" s="338"/>
      <c r="L51" s="338"/>
      <c r="M51" s="339"/>
      <c r="N51" s="126"/>
      <c r="O51" s="126"/>
      <c r="P51" s="126"/>
      <c r="Q51" s="126"/>
      <c r="R51" s="126"/>
      <c r="S51" s="126"/>
      <c r="T51" s="126"/>
      <c r="U51" s="126"/>
      <c r="V51" s="126"/>
      <c r="W51" s="126"/>
      <c r="X51" s="126"/>
      <c r="Y51" s="126"/>
      <c r="Z51" s="126"/>
    </row>
    <row r="52" spans="1:256" x14ac:dyDescent="0.2">
      <c r="A52" s="218"/>
      <c r="B52" s="219"/>
      <c r="C52" s="338"/>
      <c r="D52" s="338"/>
      <c r="E52" s="338"/>
      <c r="F52" s="338"/>
      <c r="G52" s="338"/>
      <c r="H52" s="338"/>
      <c r="I52" s="338"/>
      <c r="J52" s="338"/>
      <c r="K52" s="338"/>
      <c r="L52" s="338"/>
      <c r="M52" s="339"/>
      <c r="N52" s="126"/>
      <c r="O52" s="126"/>
      <c r="P52" s="126"/>
      <c r="Q52" s="126"/>
      <c r="R52" s="126"/>
      <c r="S52" s="126"/>
      <c r="T52" s="126"/>
      <c r="U52" s="126"/>
      <c r="V52" s="126"/>
      <c r="W52" s="126"/>
      <c r="X52" s="126"/>
      <c r="Y52" s="126"/>
      <c r="Z52" s="126"/>
    </row>
    <row r="53" spans="1:256" x14ac:dyDescent="0.2">
      <c r="A53" s="218"/>
      <c r="B53" s="219"/>
      <c r="C53" s="338"/>
      <c r="D53" s="338"/>
      <c r="E53" s="338"/>
      <c r="F53" s="338"/>
      <c r="G53" s="338"/>
      <c r="H53" s="338"/>
      <c r="I53" s="338"/>
      <c r="J53" s="338"/>
      <c r="K53" s="338"/>
      <c r="L53" s="338"/>
      <c r="M53" s="339"/>
      <c r="N53" s="126"/>
      <c r="O53" s="126"/>
      <c r="P53" s="126"/>
      <c r="Q53" s="126"/>
      <c r="R53" s="126"/>
      <c r="S53" s="126"/>
      <c r="T53" s="126"/>
      <c r="U53" s="126"/>
      <c r="V53" s="126"/>
      <c r="W53" s="126"/>
      <c r="X53" s="126"/>
      <c r="Y53" s="126"/>
      <c r="Z53" s="126"/>
    </row>
    <row r="54" spans="1:256" x14ac:dyDescent="0.2">
      <c r="A54" s="218"/>
      <c r="B54" s="219"/>
      <c r="C54" s="338"/>
      <c r="D54" s="338"/>
      <c r="E54" s="338"/>
      <c r="F54" s="338"/>
      <c r="G54" s="338"/>
      <c r="H54" s="338"/>
      <c r="I54" s="338"/>
      <c r="J54" s="338"/>
      <c r="K54" s="338"/>
      <c r="L54" s="338"/>
      <c r="M54" s="339"/>
      <c r="N54" s="126"/>
      <c r="O54" s="126"/>
      <c r="P54" s="126"/>
      <c r="Q54" s="126"/>
      <c r="R54" s="126"/>
      <c r="S54" s="126"/>
      <c r="T54" s="126"/>
      <c r="U54" s="126"/>
      <c r="V54" s="126"/>
      <c r="W54" s="126"/>
      <c r="X54" s="126"/>
      <c r="Y54" s="126"/>
      <c r="Z54" s="126"/>
    </row>
    <row r="55" spans="1:256" x14ac:dyDescent="0.2">
      <c r="A55" s="218"/>
      <c r="B55" s="219"/>
      <c r="C55" s="338"/>
      <c r="D55" s="338"/>
      <c r="E55" s="338"/>
      <c r="F55" s="338"/>
      <c r="G55" s="338"/>
      <c r="H55" s="338"/>
      <c r="I55" s="338"/>
      <c r="J55" s="338"/>
      <c r="K55" s="338"/>
      <c r="L55" s="338"/>
      <c r="M55" s="339"/>
      <c r="N55" s="126"/>
      <c r="O55" s="126"/>
      <c r="P55" s="126"/>
      <c r="Q55" s="126"/>
      <c r="R55" s="126"/>
      <c r="S55" s="126"/>
      <c r="T55" s="126"/>
      <c r="U55" s="126"/>
      <c r="V55" s="126"/>
      <c r="W55" s="126"/>
      <c r="X55" s="126"/>
      <c r="Y55" s="126"/>
      <c r="Z55" s="126"/>
    </row>
    <row r="56" spans="1:256" x14ac:dyDescent="0.2">
      <c r="A56" s="218"/>
      <c r="B56" s="219"/>
      <c r="C56" s="338"/>
      <c r="D56" s="338"/>
      <c r="E56" s="338"/>
      <c r="F56" s="338"/>
      <c r="G56" s="338"/>
      <c r="H56" s="338"/>
      <c r="I56" s="338"/>
      <c r="J56" s="338"/>
      <c r="K56" s="338"/>
      <c r="L56" s="338"/>
      <c r="M56" s="339"/>
      <c r="N56" s="126"/>
      <c r="O56" s="126"/>
      <c r="P56" s="126"/>
      <c r="Q56" s="126"/>
      <c r="R56" s="126"/>
      <c r="S56" s="126"/>
      <c r="T56" s="126"/>
      <c r="U56" s="126"/>
      <c r="V56" s="126"/>
      <c r="W56" s="126"/>
      <c r="X56" s="126"/>
      <c r="Y56" s="126"/>
      <c r="Z56" s="126"/>
    </row>
    <row r="57" spans="1:256" x14ac:dyDescent="0.2">
      <c r="A57" s="218"/>
      <c r="B57" s="219"/>
      <c r="C57" s="338"/>
      <c r="D57" s="338"/>
      <c r="E57" s="338"/>
      <c r="F57" s="338"/>
      <c r="G57" s="338"/>
      <c r="H57" s="338"/>
      <c r="I57" s="338"/>
      <c r="J57" s="338"/>
      <c r="K57" s="338"/>
      <c r="L57" s="338"/>
      <c r="M57" s="339"/>
      <c r="N57" s="126"/>
      <c r="O57" s="126"/>
      <c r="P57" s="126"/>
      <c r="Q57" s="126"/>
      <c r="R57" s="126"/>
      <c r="S57" s="126"/>
      <c r="T57" s="126"/>
      <c r="U57" s="126"/>
      <c r="V57" s="126"/>
      <c r="W57" s="126"/>
      <c r="X57" s="126"/>
      <c r="Y57" s="126"/>
      <c r="Z57" s="126"/>
    </row>
    <row r="58" spans="1:256" x14ac:dyDescent="0.2">
      <c r="A58" s="218"/>
      <c r="B58" s="219"/>
      <c r="C58" s="338"/>
      <c r="D58" s="338"/>
      <c r="E58" s="338"/>
      <c r="F58" s="338"/>
      <c r="G58" s="338"/>
      <c r="H58" s="338"/>
      <c r="I58" s="338"/>
      <c r="J58" s="338"/>
      <c r="K58" s="338"/>
      <c r="L58" s="338"/>
      <c r="M58" s="339"/>
      <c r="N58" s="126"/>
      <c r="O58" s="126"/>
      <c r="P58" s="126"/>
      <c r="Q58" s="126"/>
      <c r="R58" s="126"/>
      <c r="S58" s="126"/>
      <c r="T58" s="126"/>
      <c r="U58" s="126"/>
      <c r="V58" s="126"/>
      <c r="W58" s="126"/>
      <c r="X58" s="126"/>
      <c r="Y58" s="126"/>
      <c r="Z58" s="126"/>
    </row>
    <row r="59" spans="1:256" x14ac:dyDescent="0.2">
      <c r="A59" s="218"/>
      <c r="B59" s="219"/>
      <c r="C59" s="338"/>
      <c r="D59" s="338"/>
      <c r="E59" s="338"/>
      <c r="F59" s="338"/>
      <c r="G59" s="338"/>
      <c r="H59" s="338"/>
      <c r="I59" s="338"/>
      <c r="J59" s="338"/>
      <c r="K59" s="338"/>
      <c r="L59" s="338"/>
      <c r="M59" s="339"/>
    </row>
    <row r="60" spans="1:256" x14ac:dyDescent="0.2">
      <c r="A60" s="218"/>
      <c r="B60" s="219"/>
      <c r="C60" s="338"/>
      <c r="D60" s="338"/>
      <c r="E60" s="338"/>
      <c r="F60" s="338"/>
      <c r="G60" s="338"/>
      <c r="H60" s="338"/>
      <c r="I60" s="338"/>
      <c r="J60" s="338"/>
      <c r="K60" s="338"/>
      <c r="L60" s="338"/>
      <c r="M60" s="339"/>
    </row>
    <row r="61" spans="1:256" x14ac:dyDescent="0.2">
      <c r="A61" s="218"/>
      <c r="B61" s="219"/>
      <c r="C61" s="338"/>
      <c r="D61" s="338"/>
      <c r="E61" s="338"/>
      <c r="F61" s="338"/>
      <c r="G61" s="338"/>
      <c r="H61" s="338"/>
      <c r="I61" s="338"/>
      <c r="J61" s="338"/>
      <c r="K61" s="338"/>
      <c r="L61" s="338"/>
      <c r="M61" s="339"/>
    </row>
    <row r="62" spans="1:256" x14ac:dyDescent="0.2">
      <c r="A62" s="218"/>
      <c r="B62" s="219"/>
      <c r="C62" s="338"/>
      <c r="D62" s="338"/>
      <c r="E62" s="338"/>
      <c r="F62" s="338"/>
      <c r="G62" s="338"/>
      <c r="H62" s="338"/>
      <c r="I62" s="338"/>
      <c r="J62" s="338"/>
      <c r="K62" s="338"/>
      <c r="L62" s="338"/>
      <c r="M62" s="339"/>
    </row>
    <row r="63" spans="1:256" x14ac:dyDescent="0.2">
      <c r="A63" s="218"/>
      <c r="B63" s="219"/>
      <c r="C63" s="338"/>
      <c r="D63" s="338"/>
      <c r="E63" s="338"/>
      <c r="F63" s="338"/>
      <c r="G63" s="338"/>
      <c r="H63" s="338"/>
      <c r="I63" s="338"/>
      <c r="J63" s="338"/>
      <c r="K63" s="338"/>
      <c r="L63" s="338"/>
      <c r="M63" s="339"/>
    </row>
    <row r="64" spans="1:256" x14ac:dyDescent="0.2">
      <c r="A64" s="218"/>
      <c r="B64" s="219"/>
      <c r="C64" s="338"/>
      <c r="D64" s="338"/>
      <c r="E64" s="338"/>
      <c r="F64" s="338"/>
      <c r="G64" s="338"/>
      <c r="H64" s="338"/>
      <c r="I64" s="338"/>
      <c r="J64" s="338"/>
      <c r="K64" s="338"/>
      <c r="L64" s="338"/>
      <c r="M64" s="339"/>
    </row>
    <row r="65" spans="1:13" x14ac:dyDescent="0.2">
      <c r="A65" s="218"/>
      <c r="B65" s="219"/>
      <c r="C65" s="338"/>
      <c r="D65" s="338"/>
      <c r="E65" s="338"/>
      <c r="F65" s="338"/>
      <c r="G65" s="338"/>
      <c r="H65" s="338"/>
      <c r="I65" s="338"/>
      <c r="J65" s="338"/>
      <c r="K65" s="338"/>
      <c r="L65" s="338"/>
      <c r="M65" s="339"/>
    </row>
    <row r="66" spans="1:13" x14ac:dyDescent="0.2">
      <c r="A66" s="218"/>
      <c r="B66" s="219"/>
      <c r="C66" s="338"/>
      <c r="D66" s="338"/>
      <c r="E66" s="338"/>
      <c r="F66" s="338"/>
      <c r="G66" s="338"/>
      <c r="H66" s="338"/>
      <c r="I66" s="338"/>
      <c r="J66" s="338"/>
      <c r="K66" s="338"/>
      <c r="L66" s="338"/>
      <c r="M66" s="339"/>
    </row>
    <row r="67" spans="1:13" x14ac:dyDescent="0.2">
      <c r="A67" s="218"/>
      <c r="B67" s="219"/>
      <c r="C67" s="338"/>
      <c r="D67" s="338"/>
      <c r="E67" s="338"/>
      <c r="F67" s="338"/>
      <c r="G67" s="338"/>
      <c r="H67" s="338"/>
      <c r="I67" s="338"/>
      <c r="J67" s="338"/>
      <c r="K67" s="338"/>
      <c r="L67" s="338"/>
      <c r="M67" s="339"/>
    </row>
    <row r="68" spans="1:13" x14ac:dyDescent="0.2">
      <c r="A68" s="218"/>
      <c r="B68" s="219"/>
      <c r="C68" s="338"/>
      <c r="D68" s="338"/>
      <c r="E68" s="338"/>
      <c r="F68" s="338"/>
      <c r="G68" s="338"/>
      <c r="H68" s="338"/>
      <c r="I68" s="338"/>
      <c r="J68" s="338"/>
      <c r="K68" s="338"/>
      <c r="L68" s="338"/>
      <c r="M68" s="339"/>
    </row>
    <row r="69" spans="1:13" x14ac:dyDescent="0.2">
      <c r="A69" s="218"/>
      <c r="B69" s="219"/>
      <c r="C69" s="338"/>
      <c r="D69" s="338"/>
      <c r="E69" s="338"/>
      <c r="F69" s="338"/>
      <c r="G69" s="338"/>
      <c r="H69" s="338"/>
      <c r="I69" s="338"/>
      <c r="J69" s="338"/>
      <c r="K69" s="338"/>
      <c r="L69" s="338"/>
      <c r="M69" s="339"/>
    </row>
    <row r="70" spans="1:13" ht="12" thickBot="1" x14ac:dyDescent="0.25">
      <c r="A70" s="220"/>
      <c r="B70" s="221"/>
      <c r="C70" s="351"/>
      <c r="D70" s="351"/>
      <c r="E70" s="351"/>
      <c r="F70" s="351"/>
      <c r="G70" s="351"/>
      <c r="H70" s="351"/>
      <c r="I70" s="351"/>
      <c r="J70" s="351"/>
      <c r="K70" s="351"/>
      <c r="L70" s="351"/>
      <c r="M70" s="352"/>
    </row>
    <row r="71" spans="1:13" ht="12" thickTop="1" x14ac:dyDescent="0.2">
      <c r="A71" s="208"/>
      <c r="B71" s="208"/>
      <c r="C71" s="209"/>
      <c r="D71" s="209"/>
      <c r="E71" s="209"/>
      <c r="F71" s="209"/>
      <c r="G71" s="209"/>
      <c r="H71" s="209"/>
      <c r="I71" s="209"/>
      <c r="J71" s="209"/>
      <c r="K71" s="209"/>
      <c r="L71" s="209"/>
    </row>
    <row r="72" spans="1:13" ht="12.75" x14ac:dyDescent="0.2">
      <c r="A72" s="353" t="s">
        <v>832</v>
      </c>
      <c r="B72" s="353"/>
      <c r="C72" s="353"/>
      <c r="D72" s="353"/>
      <c r="E72" s="353"/>
      <c r="F72" s="126"/>
      <c r="G72" s="126"/>
      <c r="H72" s="126"/>
      <c r="I72" s="126"/>
      <c r="J72" s="126"/>
      <c r="K72" s="126"/>
      <c r="L72" s="126"/>
      <c r="M72" s="126"/>
    </row>
    <row r="73" spans="1:13" x14ac:dyDescent="0.2">
      <c r="A73" s="210" t="s">
        <v>764</v>
      </c>
      <c r="B73" s="210" t="s">
        <v>765</v>
      </c>
      <c r="C73" s="350"/>
      <c r="D73" s="350"/>
      <c r="E73" s="350"/>
      <c r="F73" s="350"/>
      <c r="G73" s="350"/>
      <c r="H73" s="350"/>
      <c r="I73" s="350"/>
      <c r="J73" s="350"/>
      <c r="K73" s="350"/>
      <c r="L73" s="350"/>
      <c r="M73" s="350"/>
    </row>
    <row r="74" spans="1:13" x14ac:dyDescent="0.2">
      <c r="A74" s="211"/>
      <c r="B74" s="211"/>
      <c r="C74" s="350"/>
      <c r="D74" s="350"/>
      <c r="E74" s="350"/>
      <c r="F74" s="350"/>
      <c r="G74" s="350"/>
      <c r="H74" s="350"/>
      <c r="I74" s="350"/>
      <c r="J74" s="350"/>
      <c r="K74" s="350"/>
      <c r="L74" s="350"/>
      <c r="M74" s="350"/>
    </row>
    <row r="75" spans="1:13" x14ac:dyDescent="0.2">
      <c r="A75" s="211"/>
      <c r="B75" s="211"/>
      <c r="C75" s="350"/>
      <c r="D75" s="350"/>
      <c r="E75" s="350"/>
      <c r="F75" s="350"/>
      <c r="G75" s="350"/>
      <c r="H75" s="350"/>
      <c r="I75" s="350"/>
      <c r="J75" s="350"/>
      <c r="K75" s="350"/>
      <c r="L75" s="350"/>
      <c r="M75" s="350"/>
    </row>
    <row r="76" spans="1:13" x14ac:dyDescent="0.2">
      <c r="A76" s="211"/>
      <c r="B76" s="211"/>
      <c r="C76" s="350"/>
      <c r="D76" s="350"/>
      <c r="E76" s="350"/>
      <c r="F76" s="350"/>
      <c r="G76" s="350"/>
      <c r="H76" s="350"/>
      <c r="I76" s="350"/>
      <c r="J76" s="350"/>
      <c r="K76" s="350"/>
      <c r="L76" s="350"/>
      <c r="M76" s="350"/>
    </row>
    <row r="77" spans="1:13" x14ac:dyDescent="0.2">
      <c r="A77" s="211"/>
      <c r="B77" s="211"/>
      <c r="C77" s="350"/>
      <c r="D77" s="350"/>
      <c r="E77" s="350"/>
      <c r="F77" s="350"/>
      <c r="G77" s="350"/>
      <c r="H77" s="350"/>
      <c r="I77" s="350"/>
      <c r="J77" s="350"/>
      <c r="K77" s="350"/>
      <c r="L77" s="350"/>
      <c r="M77" s="350"/>
    </row>
    <row r="78" spans="1:13" x14ac:dyDescent="0.2">
      <c r="A78" s="211"/>
      <c r="B78" s="211"/>
      <c r="C78" s="350"/>
      <c r="D78" s="350"/>
      <c r="E78" s="350"/>
      <c r="F78" s="350"/>
      <c r="G78" s="350"/>
      <c r="H78" s="350"/>
      <c r="I78" s="350"/>
      <c r="J78" s="350"/>
      <c r="K78" s="350"/>
      <c r="L78" s="350"/>
      <c r="M78" s="350"/>
    </row>
    <row r="79" spans="1:13" x14ac:dyDescent="0.2">
      <c r="A79" s="211"/>
      <c r="B79" s="211"/>
      <c r="C79" s="350"/>
      <c r="D79" s="350"/>
      <c r="E79" s="350"/>
      <c r="F79" s="350"/>
      <c r="G79" s="350"/>
      <c r="H79" s="350"/>
      <c r="I79" s="350"/>
      <c r="J79" s="350"/>
      <c r="K79" s="350"/>
      <c r="L79" s="350"/>
      <c r="M79" s="350"/>
    </row>
    <row r="80" spans="1:13" x14ac:dyDescent="0.2">
      <c r="A80" s="211"/>
      <c r="B80" s="211"/>
      <c r="C80" s="350"/>
      <c r="D80" s="350"/>
      <c r="E80" s="350"/>
      <c r="F80" s="350"/>
      <c r="G80" s="350"/>
      <c r="H80" s="350"/>
      <c r="I80" s="350"/>
      <c r="J80" s="350"/>
      <c r="K80" s="350"/>
      <c r="L80" s="350"/>
      <c r="M80" s="350"/>
    </row>
    <row r="81" spans="1:13" x14ac:dyDescent="0.2">
      <c r="A81" s="211"/>
      <c r="B81" s="211"/>
      <c r="C81" s="350"/>
      <c r="D81" s="350"/>
      <c r="E81" s="350"/>
      <c r="F81" s="350"/>
      <c r="G81" s="350"/>
      <c r="H81" s="350"/>
      <c r="I81" s="350"/>
      <c r="J81" s="350"/>
      <c r="K81" s="350"/>
      <c r="L81" s="350"/>
      <c r="M81" s="350"/>
    </row>
    <row r="82" spans="1:13" x14ac:dyDescent="0.2">
      <c r="A82" s="211"/>
      <c r="B82" s="211"/>
      <c r="C82" s="350"/>
      <c r="D82" s="350"/>
      <c r="E82" s="350"/>
      <c r="F82" s="350"/>
      <c r="G82" s="350"/>
      <c r="H82" s="350"/>
      <c r="I82" s="350"/>
      <c r="J82" s="350"/>
      <c r="K82" s="350"/>
      <c r="L82" s="350"/>
      <c r="M82" s="350"/>
    </row>
    <row r="83" spans="1:13" x14ac:dyDescent="0.2">
      <c r="A83" s="211"/>
      <c r="B83" s="211"/>
      <c r="C83" s="350"/>
      <c r="D83" s="350"/>
      <c r="E83" s="350"/>
      <c r="F83" s="350"/>
      <c r="G83" s="350"/>
      <c r="H83" s="350"/>
      <c r="I83" s="350"/>
      <c r="J83" s="350"/>
      <c r="K83" s="350"/>
      <c r="L83" s="350"/>
      <c r="M83" s="350"/>
    </row>
    <row r="84" spans="1:13" x14ac:dyDescent="0.2">
      <c r="A84" s="211"/>
      <c r="B84" s="211"/>
      <c r="C84" s="350"/>
      <c r="D84" s="350"/>
      <c r="E84" s="350"/>
      <c r="F84" s="350"/>
      <c r="G84" s="350"/>
      <c r="H84" s="350"/>
      <c r="I84" s="350"/>
      <c r="J84" s="350"/>
      <c r="K84" s="350"/>
      <c r="L84" s="350"/>
      <c r="M84" s="350"/>
    </row>
    <row r="85" spans="1:13" x14ac:dyDescent="0.2">
      <c r="A85" s="211"/>
      <c r="B85" s="211"/>
      <c r="C85" s="350"/>
      <c r="D85" s="350"/>
      <c r="E85" s="350"/>
      <c r="F85" s="350"/>
      <c r="G85" s="350"/>
      <c r="H85" s="350"/>
      <c r="I85" s="350"/>
      <c r="J85" s="350"/>
      <c r="K85" s="350"/>
      <c r="L85" s="350"/>
      <c r="M85" s="350"/>
    </row>
    <row r="86" spans="1:13" x14ac:dyDescent="0.2">
      <c r="A86" s="211"/>
      <c r="B86" s="211"/>
      <c r="C86" s="350"/>
      <c r="D86" s="350"/>
      <c r="E86" s="350"/>
      <c r="F86" s="350"/>
      <c r="G86" s="350"/>
      <c r="H86" s="350"/>
      <c r="I86" s="350"/>
      <c r="J86" s="350"/>
      <c r="K86" s="350"/>
      <c r="L86" s="350"/>
      <c r="M86" s="350"/>
    </row>
    <row r="87" spans="1:13" x14ac:dyDescent="0.2">
      <c r="A87" s="211"/>
      <c r="B87" s="211"/>
      <c r="C87" s="350"/>
      <c r="D87" s="350"/>
      <c r="E87" s="350"/>
      <c r="F87" s="350"/>
      <c r="G87" s="350"/>
      <c r="H87" s="350"/>
      <c r="I87" s="350"/>
      <c r="J87" s="350"/>
      <c r="K87" s="350"/>
      <c r="L87" s="350"/>
      <c r="M87" s="350"/>
    </row>
    <row r="88" spans="1:13" x14ac:dyDescent="0.2">
      <c r="A88" s="211"/>
      <c r="B88" s="211"/>
      <c r="C88" s="350"/>
      <c r="D88" s="350"/>
      <c r="E88" s="350"/>
      <c r="F88" s="350"/>
      <c r="G88" s="350"/>
      <c r="H88" s="350"/>
      <c r="I88" s="350"/>
      <c r="J88" s="350"/>
      <c r="K88" s="350"/>
      <c r="L88" s="350"/>
      <c r="M88" s="350"/>
    </row>
    <row r="89" spans="1:13" x14ac:dyDescent="0.2">
      <c r="A89" s="211"/>
      <c r="B89" s="211"/>
      <c r="C89" s="350"/>
      <c r="D89" s="350"/>
      <c r="E89" s="350"/>
      <c r="F89" s="350"/>
      <c r="G89" s="350"/>
      <c r="H89" s="350"/>
      <c r="I89" s="350"/>
      <c r="J89" s="350"/>
      <c r="K89" s="350"/>
      <c r="L89" s="350"/>
      <c r="M89" s="350"/>
    </row>
    <row r="90" spans="1:13" x14ac:dyDescent="0.2">
      <c r="A90" s="211"/>
      <c r="B90" s="211"/>
      <c r="C90" s="350"/>
      <c r="D90" s="350"/>
      <c r="E90" s="350"/>
      <c r="F90" s="350"/>
      <c r="G90" s="350"/>
      <c r="H90" s="350"/>
      <c r="I90" s="350"/>
      <c r="J90" s="350"/>
      <c r="K90" s="350"/>
      <c r="L90" s="350"/>
      <c r="M90" s="350"/>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7"/>
  <sheetViews>
    <sheetView workbookViewId="0"/>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915</v>
      </c>
      <c r="B2" s="287" t="s">
        <v>916</v>
      </c>
      <c r="C2" s="287" t="s">
        <v>918</v>
      </c>
      <c r="D2" s="287" t="s">
        <v>917</v>
      </c>
      <c r="E2" s="288" t="s">
        <v>1567</v>
      </c>
      <c r="G2" s="287" t="s">
        <v>915</v>
      </c>
      <c r="H2" s="287" t="s">
        <v>916</v>
      </c>
      <c r="I2" s="287" t="s">
        <v>918</v>
      </c>
      <c r="J2" s="287" t="s">
        <v>917</v>
      </c>
      <c r="K2" s="288" t="s">
        <v>1567</v>
      </c>
      <c r="M2" s="287" t="s">
        <v>915</v>
      </c>
      <c r="N2" s="287" t="s">
        <v>916</v>
      </c>
      <c r="O2" s="287" t="s">
        <v>918</v>
      </c>
      <c r="P2" s="287" t="s">
        <v>917</v>
      </c>
      <c r="Q2" s="288" t="s">
        <v>1567</v>
      </c>
    </row>
    <row r="3" spans="1:18" ht="15" x14ac:dyDescent="0.25">
      <c r="A3" s="314">
        <v>999</v>
      </c>
      <c r="B3" s="315" t="s">
        <v>1584</v>
      </c>
      <c r="C3" s="315" t="s">
        <v>1584</v>
      </c>
      <c r="D3" s="315">
        <v>99999</v>
      </c>
      <c r="E3" s="315" t="s">
        <v>61</v>
      </c>
      <c r="F3" s="291" t="b">
        <f>C3=C4</f>
        <v>0</v>
      </c>
      <c r="G3" s="318">
        <v>999</v>
      </c>
      <c r="H3" s="318" t="s">
        <v>1584</v>
      </c>
      <c r="I3" s="319" t="s">
        <v>1584</v>
      </c>
      <c r="J3" s="319">
        <v>99999</v>
      </c>
      <c r="K3" s="319" t="s">
        <v>1568</v>
      </c>
      <c r="L3" s="291" t="b">
        <f>I3=I4</f>
        <v>0</v>
      </c>
      <c r="M3" s="320">
        <v>999</v>
      </c>
      <c r="N3" s="321" t="s">
        <v>1584</v>
      </c>
      <c r="O3" s="321" t="s">
        <v>1584</v>
      </c>
      <c r="P3" s="321">
        <v>99999</v>
      </c>
      <c r="Q3" s="321" t="s">
        <v>1569</v>
      </c>
      <c r="R3" s="291" t="b">
        <f>O3=O4</f>
        <v>0</v>
      </c>
    </row>
    <row r="4" spans="1:18" ht="15" x14ac:dyDescent="0.25">
      <c r="A4" s="314">
        <v>111</v>
      </c>
      <c r="B4" s="315" t="s">
        <v>982</v>
      </c>
      <c r="C4" s="315" t="s">
        <v>984</v>
      </c>
      <c r="D4" s="315">
        <v>20240</v>
      </c>
      <c r="E4" s="315" t="s">
        <v>61</v>
      </c>
      <c r="F4" s="291" t="b">
        <f t="shared" ref="F4:F67" si="0">C4=C5</f>
        <v>0</v>
      </c>
      <c r="G4" s="318">
        <v>113</v>
      </c>
      <c r="H4" s="319" t="s">
        <v>1002</v>
      </c>
      <c r="I4" s="319" t="s">
        <v>1007</v>
      </c>
      <c r="J4" s="319">
        <v>27010</v>
      </c>
      <c r="K4" s="319" t="s">
        <v>1568</v>
      </c>
      <c r="L4" s="291" t="b">
        <f t="shared" ref="L4:L67" si="1">I4=I5</f>
        <v>0</v>
      </c>
      <c r="M4" s="320">
        <v>725</v>
      </c>
      <c r="N4" s="321" t="s">
        <v>1540</v>
      </c>
      <c r="O4" s="321" t="s">
        <v>1541</v>
      </c>
      <c r="P4" s="321">
        <v>28615</v>
      </c>
      <c r="Q4" s="321" t="s">
        <v>1569</v>
      </c>
      <c r="R4" s="291" t="b">
        <f t="shared" ref="R4:R67" si="2">O4=O5</f>
        <v>0</v>
      </c>
    </row>
    <row r="5" spans="1:18" ht="15" x14ac:dyDescent="0.25">
      <c r="A5" s="314">
        <v>174</v>
      </c>
      <c r="B5" s="315" t="s">
        <v>1048</v>
      </c>
      <c r="C5" s="315" t="s">
        <v>1049</v>
      </c>
      <c r="D5" s="315">
        <v>22960</v>
      </c>
      <c r="E5" s="315" t="s">
        <v>61</v>
      </c>
      <c r="F5" s="291" t="b">
        <f t="shared" si="0"/>
        <v>0</v>
      </c>
      <c r="G5" s="318">
        <v>725</v>
      </c>
      <c r="H5" s="319" t="s">
        <v>1540</v>
      </c>
      <c r="I5" s="319" t="s">
        <v>1542</v>
      </c>
      <c r="J5" s="319">
        <v>28580</v>
      </c>
      <c r="K5" s="319" t="s">
        <v>1568</v>
      </c>
      <c r="L5" s="291" t="b">
        <f t="shared" si="1"/>
        <v>0</v>
      </c>
      <c r="M5" s="320">
        <v>267</v>
      </c>
      <c r="N5" s="321" t="s">
        <v>1145</v>
      </c>
      <c r="O5" s="321" t="s">
        <v>1147</v>
      </c>
      <c r="P5" s="321">
        <v>21050</v>
      </c>
      <c r="Q5" s="321" t="s">
        <v>1569</v>
      </c>
      <c r="R5" s="291" t="b">
        <f t="shared" si="2"/>
        <v>0</v>
      </c>
    </row>
    <row r="6" spans="1:18" ht="15" x14ac:dyDescent="0.25">
      <c r="A6" s="314">
        <v>225</v>
      </c>
      <c r="B6" s="315" t="s">
        <v>1103</v>
      </c>
      <c r="C6" s="315" t="s">
        <v>1105</v>
      </c>
      <c r="D6" s="315">
        <v>20795</v>
      </c>
      <c r="E6" s="315" t="s">
        <v>61</v>
      </c>
      <c r="F6" s="291" t="b">
        <f t="shared" si="0"/>
        <v>0</v>
      </c>
      <c r="G6" s="318">
        <v>17</v>
      </c>
      <c r="H6" s="319" t="s">
        <v>924</v>
      </c>
      <c r="I6" s="319" t="s">
        <v>925</v>
      </c>
      <c r="J6" s="319">
        <v>21745</v>
      </c>
      <c r="K6" s="319" t="s">
        <v>1568</v>
      </c>
      <c r="L6" s="291" t="b">
        <f t="shared" si="1"/>
        <v>0</v>
      </c>
      <c r="M6" s="320">
        <v>41</v>
      </c>
      <c r="N6" s="321" t="s">
        <v>943</v>
      </c>
      <c r="O6" s="321" t="s">
        <v>947</v>
      </c>
      <c r="P6" s="321">
        <v>28555</v>
      </c>
      <c r="Q6" s="321" t="s">
        <v>1569</v>
      </c>
      <c r="R6" s="291" t="b">
        <f t="shared" si="2"/>
        <v>0</v>
      </c>
    </row>
    <row r="7" spans="1:18" ht="15" x14ac:dyDescent="0.25">
      <c r="A7" s="314">
        <v>9</v>
      </c>
      <c r="B7" s="315" t="s">
        <v>919</v>
      </c>
      <c r="C7" s="315" t="s">
        <v>921</v>
      </c>
      <c r="D7" s="315">
        <v>22580</v>
      </c>
      <c r="E7" s="315" t="s">
        <v>61</v>
      </c>
      <c r="F7" s="291" t="b">
        <f t="shared" si="0"/>
        <v>0</v>
      </c>
      <c r="G7" s="318">
        <v>33</v>
      </c>
      <c r="H7" s="319" t="s">
        <v>935</v>
      </c>
      <c r="I7" s="319" t="s">
        <v>936</v>
      </c>
      <c r="J7" s="319">
        <v>22030</v>
      </c>
      <c r="K7" s="319" t="s">
        <v>1568</v>
      </c>
      <c r="L7" s="291" t="b">
        <f t="shared" si="1"/>
        <v>0</v>
      </c>
      <c r="M7" s="320">
        <v>486</v>
      </c>
      <c r="N7" s="321" t="s">
        <v>1437</v>
      </c>
      <c r="O7" s="321" t="s">
        <v>1440</v>
      </c>
      <c r="P7" s="321">
        <v>22145</v>
      </c>
      <c r="Q7" s="321" t="s">
        <v>1569</v>
      </c>
      <c r="R7" s="291" t="b">
        <f t="shared" si="2"/>
        <v>0</v>
      </c>
    </row>
    <row r="8" spans="1:18" ht="15" x14ac:dyDescent="0.25">
      <c r="A8" s="314">
        <v>174</v>
      </c>
      <c r="B8" s="315" t="s">
        <v>1048</v>
      </c>
      <c r="C8" s="315" t="s">
        <v>1050</v>
      </c>
      <c r="D8" s="315">
        <v>22965</v>
      </c>
      <c r="E8" s="315" t="s">
        <v>61</v>
      </c>
      <c r="F8" s="291" t="b">
        <f t="shared" si="0"/>
        <v>0</v>
      </c>
      <c r="G8" s="318">
        <v>486</v>
      </c>
      <c r="H8" s="319" t="s">
        <v>1437</v>
      </c>
      <c r="I8" s="319" t="s">
        <v>1441</v>
      </c>
      <c r="J8" s="319">
        <v>22150</v>
      </c>
      <c r="K8" s="319" t="s">
        <v>1568</v>
      </c>
      <c r="L8" s="291" t="b">
        <f t="shared" si="1"/>
        <v>0</v>
      </c>
      <c r="M8" s="320">
        <v>51</v>
      </c>
      <c r="N8" s="321" t="s">
        <v>949</v>
      </c>
      <c r="O8" s="321" t="s">
        <v>951</v>
      </c>
      <c r="P8" s="321">
        <v>20050</v>
      </c>
      <c r="Q8" s="321" t="s">
        <v>1569</v>
      </c>
      <c r="R8" s="291" t="b">
        <f t="shared" si="2"/>
        <v>0</v>
      </c>
    </row>
    <row r="9" spans="1:18" ht="15" x14ac:dyDescent="0.25">
      <c r="A9" s="314">
        <v>15</v>
      </c>
      <c r="B9" s="315" t="s">
        <v>922</v>
      </c>
      <c r="C9" s="315" t="s">
        <v>923</v>
      </c>
      <c r="D9" s="315">
        <v>22480</v>
      </c>
      <c r="E9" s="315" t="s">
        <v>61</v>
      </c>
      <c r="F9" s="291" t="b">
        <f t="shared" si="0"/>
        <v>0</v>
      </c>
      <c r="G9" s="318">
        <v>51</v>
      </c>
      <c r="H9" s="319" t="s">
        <v>949</v>
      </c>
      <c r="I9" s="319" t="s">
        <v>950</v>
      </c>
      <c r="J9" s="319">
        <v>20045</v>
      </c>
      <c r="K9" s="319" t="s">
        <v>1568</v>
      </c>
      <c r="L9" s="291" t="b">
        <f t="shared" si="1"/>
        <v>0</v>
      </c>
      <c r="M9" s="320">
        <v>57</v>
      </c>
      <c r="N9" s="321" t="s">
        <v>956</v>
      </c>
      <c r="O9" s="321" t="s">
        <v>959</v>
      </c>
      <c r="P9" s="321">
        <v>27375</v>
      </c>
      <c r="Q9" s="321" t="s">
        <v>1569</v>
      </c>
      <c r="R9" s="291" t="b">
        <f t="shared" si="2"/>
        <v>0</v>
      </c>
    </row>
    <row r="10" spans="1:18" ht="15" x14ac:dyDescent="0.25">
      <c r="A10" s="314">
        <v>371</v>
      </c>
      <c r="B10" s="315" t="s">
        <v>1306</v>
      </c>
      <c r="C10" s="315" t="s">
        <v>1322</v>
      </c>
      <c r="D10" s="315">
        <v>21940</v>
      </c>
      <c r="E10" s="315" t="s">
        <v>61</v>
      </c>
      <c r="F10" s="291" t="b">
        <f t="shared" si="0"/>
        <v>0</v>
      </c>
      <c r="G10" s="318">
        <v>57</v>
      </c>
      <c r="H10" s="319" t="s">
        <v>956</v>
      </c>
      <c r="I10" s="319" t="s">
        <v>957</v>
      </c>
      <c r="J10" s="319">
        <v>20675</v>
      </c>
      <c r="K10" s="319" t="s">
        <v>1568</v>
      </c>
      <c r="L10" s="291" t="b">
        <f t="shared" si="1"/>
        <v>0</v>
      </c>
      <c r="M10" s="320">
        <v>461</v>
      </c>
      <c r="N10" s="321" t="s">
        <v>1403</v>
      </c>
      <c r="O10" s="321" t="s">
        <v>1407</v>
      </c>
      <c r="P10" s="321">
        <v>22675</v>
      </c>
      <c r="Q10" s="321" t="s">
        <v>1569</v>
      </c>
      <c r="R10" s="291" t="b">
        <f t="shared" si="2"/>
        <v>0</v>
      </c>
    </row>
    <row r="11" spans="1:18" ht="15" x14ac:dyDescent="0.25">
      <c r="A11" s="314">
        <v>19</v>
      </c>
      <c r="B11" s="315" t="s">
        <v>927</v>
      </c>
      <c r="C11" s="315" t="s">
        <v>928</v>
      </c>
      <c r="D11" s="315">
        <v>22130</v>
      </c>
      <c r="E11" s="315" t="s">
        <v>61</v>
      </c>
      <c r="F11" s="291" t="b">
        <f t="shared" si="0"/>
        <v>0</v>
      </c>
      <c r="G11" s="318">
        <v>342</v>
      </c>
      <c r="H11" s="319" t="s">
        <v>1251</v>
      </c>
      <c r="I11" s="319" t="s">
        <v>1252</v>
      </c>
      <c r="J11" s="319">
        <v>26685</v>
      </c>
      <c r="K11" s="319" t="s">
        <v>1568</v>
      </c>
      <c r="L11" s="291" t="b">
        <f t="shared" si="1"/>
        <v>0</v>
      </c>
      <c r="M11" s="320">
        <v>315</v>
      </c>
      <c r="N11" s="321" t="s">
        <v>1206</v>
      </c>
      <c r="O11" s="321" t="s">
        <v>1208</v>
      </c>
      <c r="P11" s="321">
        <v>27715</v>
      </c>
      <c r="Q11" s="321" t="s">
        <v>1569</v>
      </c>
      <c r="R11" s="291" t="b">
        <f t="shared" si="2"/>
        <v>0</v>
      </c>
    </row>
    <row r="12" spans="1:18" ht="15" x14ac:dyDescent="0.25">
      <c r="A12" s="314">
        <v>112</v>
      </c>
      <c r="B12" s="315" t="s">
        <v>990</v>
      </c>
      <c r="C12" s="315" t="s">
        <v>992</v>
      </c>
      <c r="D12" s="315">
        <v>22215</v>
      </c>
      <c r="E12" s="315" t="s">
        <v>61</v>
      </c>
      <c r="F12" s="291" t="b">
        <f t="shared" si="0"/>
        <v>0</v>
      </c>
      <c r="G12" s="318">
        <v>101</v>
      </c>
      <c r="H12" s="319" t="s">
        <v>974</v>
      </c>
      <c r="I12" s="319" t="s">
        <v>975</v>
      </c>
      <c r="J12" s="319">
        <v>20115</v>
      </c>
      <c r="K12" s="319" t="s">
        <v>1568</v>
      </c>
      <c r="L12" s="291" t="b">
        <f t="shared" si="1"/>
        <v>0</v>
      </c>
      <c r="M12" s="320">
        <v>710</v>
      </c>
      <c r="N12" s="321" t="s">
        <v>1532</v>
      </c>
      <c r="O12" s="321" t="s">
        <v>1534</v>
      </c>
      <c r="P12" s="321">
        <v>29195</v>
      </c>
      <c r="Q12" s="321" t="s">
        <v>1569</v>
      </c>
      <c r="R12" s="291" t="b">
        <f t="shared" si="2"/>
        <v>0</v>
      </c>
    </row>
    <row r="13" spans="1:18" ht="15" x14ac:dyDescent="0.25">
      <c r="A13" s="314">
        <v>9</v>
      </c>
      <c r="B13" s="315" t="s">
        <v>919</v>
      </c>
      <c r="C13" s="315" t="s">
        <v>920</v>
      </c>
      <c r="D13" s="315">
        <v>22575</v>
      </c>
      <c r="E13" s="315" t="s">
        <v>61</v>
      </c>
      <c r="F13" s="291" t="b">
        <f t="shared" si="0"/>
        <v>0</v>
      </c>
      <c r="G13" s="318">
        <v>172</v>
      </c>
      <c r="H13" s="319" t="s">
        <v>1042</v>
      </c>
      <c r="I13" s="319" t="s">
        <v>1043</v>
      </c>
      <c r="J13" s="319">
        <v>20590</v>
      </c>
      <c r="K13" s="319" t="s">
        <v>1568</v>
      </c>
      <c r="L13" s="291" t="b">
        <f t="shared" si="1"/>
        <v>0</v>
      </c>
      <c r="M13" s="320">
        <v>707</v>
      </c>
      <c r="N13" s="321" t="s">
        <v>1525</v>
      </c>
      <c r="O13" s="321" t="s">
        <v>1525</v>
      </c>
      <c r="P13" s="321">
        <v>28455</v>
      </c>
      <c r="Q13" s="321" t="s">
        <v>1569</v>
      </c>
      <c r="R13" s="291" t="b">
        <f t="shared" si="2"/>
        <v>0</v>
      </c>
    </row>
    <row r="14" spans="1:18" ht="15" x14ac:dyDescent="0.25">
      <c r="A14" s="314">
        <v>23</v>
      </c>
      <c r="B14" s="315" t="s">
        <v>929</v>
      </c>
      <c r="C14" s="315" t="s">
        <v>930</v>
      </c>
      <c r="D14" s="315">
        <v>20010</v>
      </c>
      <c r="E14" s="315" t="s">
        <v>61</v>
      </c>
      <c r="F14" s="291" t="b">
        <f t="shared" si="0"/>
        <v>0</v>
      </c>
      <c r="G14" s="318">
        <v>317</v>
      </c>
      <c r="H14" s="319" t="s">
        <v>1210</v>
      </c>
      <c r="I14" s="319" t="s">
        <v>1211</v>
      </c>
      <c r="J14" s="319">
        <v>21440</v>
      </c>
      <c r="K14" s="319" t="s">
        <v>1568</v>
      </c>
      <c r="L14" s="291" t="b">
        <f t="shared" si="1"/>
        <v>0</v>
      </c>
      <c r="M14" s="320">
        <v>105</v>
      </c>
      <c r="N14" s="321" t="s">
        <v>979</v>
      </c>
      <c r="O14" s="321" t="s">
        <v>980</v>
      </c>
      <c r="P14" s="321">
        <v>20185</v>
      </c>
      <c r="Q14" s="321" t="s">
        <v>1569</v>
      </c>
      <c r="R14" s="291" t="b">
        <f t="shared" si="2"/>
        <v>0</v>
      </c>
    </row>
    <row r="15" spans="1:18" ht="15" x14ac:dyDescent="0.25">
      <c r="A15" s="314">
        <v>534</v>
      </c>
      <c r="B15" s="315" t="s">
        <v>1470</v>
      </c>
      <c r="C15" s="315" t="s">
        <v>1472</v>
      </c>
      <c r="D15" s="315">
        <v>22740</v>
      </c>
      <c r="E15" s="315" t="s">
        <v>61</v>
      </c>
      <c r="F15" s="291" t="b">
        <f t="shared" si="0"/>
        <v>0</v>
      </c>
      <c r="G15" s="318">
        <v>261</v>
      </c>
      <c r="H15" s="319" t="s">
        <v>1136</v>
      </c>
      <c r="I15" s="319" t="s">
        <v>1139</v>
      </c>
      <c r="J15" s="319">
        <v>28050</v>
      </c>
      <c r="K15" s="319" t="s">
        <v>1568</v>
      </c>
      <c r="L15" s="291" t="b">
        <f t="shared" si="1"/>
        <v>0</v>
      </c>
      <c r="M15" s="320">
        <v>274</v>
      </c>
      <c r="N15" s="321" t="s">
        <v>1158</v>
      </c>
      <c r="O15" s="321" t="s">
        <v>1160</v>
      </c>
      <c r="P15" s="321">
        <v>22265</v>
      </c>
      <c r="Q15" s="321" t="s">
        <v>1569</v>
      </c>
      <c r="R15" s="291" t="b">
        <f t="shared" si="2"/>
        <v>0</v>
      </c>
    </row>
    <row r="16" spans="1:18" ht="15" x14ac:dyDescent="0.25">
      <c r="A16" s="314">
        <v>29</v>
      </c>
      <c r="B16" s="315" t="s">
        <v>931</v>
      </c>
      <c r="C16" s="315" t="s">
        <v>932</v>
      </c>
      <c r="D16" s="315">
        <v>20530</v>
      </c>
      <c r="E16" s="315" t="s">
        <v>61</v>
      </c>
      <c r="F16" s="291" t="b">
        <f t="shared" si="0"/>
        <v>0</v>
      </c>
      <c r="G16" s="318">
        <v>141</v>
      </c>
      <c r="H16" s="319" t="s">
        <v>1022</v>
      </c>
      <c r="I16" s="319" t="s">
        <v>1024</v>
      </c>
      <c r="J16" s="319">
        <v>20435</v>
      </c>
      <c r="K16" s="319" t="s">
        <v>1568</v>
      </c>
      <c r="L16" s="291" t="b">
        <f t="shared" si="1"/>
        <v>0</v>
      </c>
      <c r="M16" s="320">
        <v>111</v>
      </c>
      <c r="N16" s="321" t="s">
        <v>982</v>
      </c>
      <c r="O16" s="321" t="s">
        <v>988</v>
      </c>
      <c r="P16" s="321">
        <v>20285</v>
      </c>
      <c r="Q16" s="321" t="s">
        <v>1569</v>
      </c>
      <c r="R16" s="291" t="b">
        <f t="shared" si="2"/>
        <v>0</v>
      </c>
    </row>
    <row r="17" spans="1:18" ht="15" x14ac:dyDescent="0.25">
      <c r="A17" s="314">
        <v>335</v>
      </c>
      <c r="B17" s="315" t="s">
        <v>914</v>
      </c>
      <c r="C17" s="315" t="s">
        <v>1232</v>
      </c>
      <c r="D17" s="315">
        <v>21545</v>
      </c>
      <c r="E17" s="315" t="s">
        <v>61</v>
      </c>
      <c r="F17" s="291" t="b">
        <f t="shared" si="0"/>
        <v>0</v>
      </c>
      <c r="G17" s="318">
        <v>371</v>
      </c>
      <c r="H17" s="319" t="s">
        <v>1306</v>
      </c>
      <c r="I17" s="319" t="s">
        <v>1316</v>
      </c>
      <c r="J17" s="319">
        <v>21890</v>
      </c>
      <c r="K17" s="319" t="s">
        <v>1568</v>
      </c>
      <c r="L17" s="291" t="b">
        <f t="shared" si="1"/>
        <v>0</v>
      </c>
      <c r="M17" s="320">
        <v>112</v>
      </c>
      <c r="N17" s="321" t="s">
        <v>990</v>
      </c>
      <c r="O17" s="321" t="s">
        <v>998</v>
      </c>
      <c r="P17" s="321">
        <v>22290</v>
      </c>
      <c r="Q17" s="321" t="s">
        <v>1569</v>
      </c>
      <c r="R17" s="291" t="b">
        <f t="shared" si="2"/>
        <v>0</v>
      </c>
    </row>
    <row r="18" spans="1:18" ht="15" x14ac:dyDescent="0.25">
      <c r="A18" s="314">
        <v>31</v>
      </c>
      <c r="B18" s="315" t="s">
        <v>933</v>
      </c>
      <c r="C18" s="315" t="s">
        <v>934</v>
      </c>
      <c r="D18" s="315">
        <v>22485</v>
      </c>
      <c r="E18" s="315" t="s">
        <v>61</v>
      </c>
      <c r="F18" s="291" t="b">
        <f t="shared" si="0"/>
        <v>0</v>
      </c>
      <c r="G18" s="318">
        <v>165</v>
      </c>
      <c r="H18" s="319" t="s">
        <v>1035</v>
      </c>
      <c r="I18" s="319" t="s">
        <v>1036</v>
      </c>
      <c r="J18" s="319">
        <v>26505</v>
      </c>
      <c r="K18" s="319" t="s">
        <v>1568</v>
      </c>
      <c r="L18" s="291" t="b">
        <f t="shared" si="1"/>
        <v>0</v>
      </c>
      <c r="M18" s="320">
        <v>723</v>
      </c>
      <c r="N18" s="321" t="s">
        <v>1539</v>
      </c>
      <c r="O18" s="321" t="s">
        <v>1539</v>
      </c>
      <c r="P18" s="321">
        <v>28575</v>
      </c>
      <c r="Q18" s="321" t="s">
        <v>1569</v>
      </c>
      <c r="R18" s="291" t="b">
        <f t="shared" si="2"/>
        <v>0</v>
      </c>
    </row>
    <row r="19" spans="1:18" ht="15" x14ac:dyDescent="0.25">
      <c r="A19" s="314">
        <v>33</v>
      </c>
      <c r="B19" s="315" t="s">
        <v>935</v>
      </c>
      <c r="C19" s="315" t="s">
        <v>937</v>
      </c>
      <c r="D19" s="315">
        <v>22045</v>
      </c>
      <c r="E19" s="315" t="s">
        <v>61</v>
      </c>
      <c r="F19" s="291" t="b">
        <f t="shared" si="0"/>
        <v>0</v>
      </c>
      <c r="G19" s="318">
        <v>371</v>
      </c>
      <c r="H19" s="319" t="s">
        <v>1306</v>
      </c>
      <c r="I19" s="319" t="s">
        <v>1314</v>
      </c>
      <c r="J19" s="319">
        <v>21875</v>
      </c>
      <c r="K19" s="319" t="s">
        <v>1568</v>
      </c>
      <c r="L19" s="291" t="b">
        <f t="shared" si="1"/>
        <v>0</v>
      </c>
      <c r="M19" s="320">
        <v>141</v>
      </c>
      <c r="N19" s="321" t="s">
        <v>1022</v>
      </c>
      <c r="O19" s="321" t="s">
        <v>1026</v>
      </c>
      <c r="P19" s="321">
        <v>20455</v>
      </c>
      <c r="Q19" s="321" t="s">
        <v>1569</v>
      </c>
      <c r="R19" s="291" t="b">
        <f t="shared" si="2"/>
        <v>0</v>
      </c>
    </row>
    <row r="20" spans="1:18" ht="15" x14ac:dyDescent="0.25">
      <c r="A20" s="314">
        <v>199</v>
      </c>
      <c r="B20" s="315" t="s">
        <v>1078</v>
      </c>
      <c r="C20" s="315" t="s">
        <v>1081</v>
      </c>
      <c r="D20" s="315">
        <v>20695</v>
      </c>
      <c r="E20" s="315" t="s">
        <v>61</v>
      </c>
      <c r="F20" s="291" t="b">
        <f t="shared" si="0"/>
        <v>0</v>
      </c>
      <c r="G20" s="318">
        <v>131</v>
      </c>
      <c r="H20" s="319" t="s">
        <v>1014</v>
      </c>
      <c r="I20" s="319" t="s">
        <v>1021</v>
      </c>
      <c r="J20" s="319">
        <v>20420</v>
      </c>
      <c r="K20" s="319" t="s">
        <v>1568</v>
      </c>
      <c r="L20" s="291" t="b">
        <f t="shared" si="1"/>
        <v>0</v>
      </c>
      <c r="M20" s="320">
        <v>165</v>
      </c>
      <c r="N20" s="321" t="s">
        <v>1035</v>
      </c>
      <c r="O20" s="321" t="s">
        <v>1571</v>
      </c>
      <c r="P20" s="321">
        <v>20515</v>
      </c>
      <c r="Q20" s="321" t="s">
        <v>1569</v>
      </c>
      <c r="R20" s="291" t="b">
        <f t="shared" si="2"/>
        <v>0</v>
      </c>
    </row>
    <row r="21" spans="1:18" ht="15" x14ac:dyDescent="0.25">
      <c r="A21" s="314">
        <v>39</v>
      </c>
      <c r="B21" s="315" t="s">
        <v>941</v>
      </c>
      <c r="C21" s="315" t="s">
        <v>942</v>
      </c>
      <c r="D21" s="315">
        <v>20860</v>
      </c>
      <c r="E21" s="315" t="s">
        <v>61</v>
      </c>
      <c r="F21" s="291" t="b">
        <f t="shared" si="0"/>
        <v>0</v>
      </c>
      <c r="G21" s="318">
        <v>191</v>
      </c>
      <c r="H21" s="319" t="s">
        <v>1072</v>
      </c>
      <c r="I21" s="319" t="s">
        <v>1075</v>
      </c>
      <c r="J21" s="319">
        <v>26995</v>
      </c>
      <c r="K21" s="319" t="s">
        <v>1568</v>
      </c>
      <c r="L21" s="291" t="b">
        <f t="shared" si="1"/>
        <v>0</v>
      </c>
      <c r="M21" s="320">
        <v>172</v>
      </c>
      <c r="N21" s="321" t="s">
        <v>1042</v>
      </c>
      <c r="O21" s="321" t="s">
        <v>1044</v>
      </c>
      <c r="P21" s="321">
        <v>20600</v>
      </c>
      <c r="Q21" s="321" t="s">
        <v>1569</v>
      </c>
      <c r="R21" s="291" t="b">
        <f t="shared" si="2"/>
        <v>0</v>
      </c>
    </row>
    <row r="22" spans="1:18" ht="15" x14ac:dyDescent="0.25">
      <c r="A22" s="314">
        <v>111</v>
      </c>
      <c r="B22" s="315" t="s">
        <v>982</v>
      </c>
      <c r="C22" s="315" t="s">
        <v>983</v>
      </c>
      <c r="D22" s="315">
        <v>26490</v>
      </c>
      <c r="E22" s="315" t="s">
        <v>61</v>
      </c>
      <c r="F22" s="291" t="b">
        <f t="shared" si="0"/>
        <v>0</v>
      </c>
      <c r="G22" s="318">
        <v>203</v>
      </c>
      <c r="H22" s="319" t="s">
        <v>1083</v>
      </c>
      <c r="I22" s="319" t="s">
        <v>1086</v>
      </c>
      <c r="J22" s="319">
        <v>27005</v>
      </c>
      <c r="K22" s="319" t="s">
        <v>1568</v>
      </c>
      <c r="L22" s="291" t="b">
        <f t="shared" si="1"/>
        <v>0</v>
      </c>
      <c r="M22" s="320">
        <v>174</v>
      </c>
      <c r="N22" s="321" t="s">
        <v>1048</v>
      </c>
      <c r="O22" s="321" t="s">
        <v>1055</v>
      </c>
      <c r="P22" s="321">
        <v>22990</v>
      </c>
      <c r="Q22" s="321" t="s">
        <v>1569</v>
      </c>
      <c r="R22" s="291" t="b">
        <f t="shared" si="2"/>
        <v>0</v>
      </c>
    </row>
    <row r="23" spans="1:18" ht="15" x14ac:dyDescent="0.25">
      <c r="A23" s="314">
        <v>335</v>
      </c>
      <c r="B23" s="315" t="s">
        <v>914</v>
      </c>
      <c r="C23" s="315" t="s">
        <v>1238</v>
      </c>
      <c r="D23" s="315">
        <v>21600</v>
      </c>
      <c r="E23" s="315" t="s">
        <v>61</v>
      </c>
      <c r="F23" s="291" t="b">
        <f t="shared" si="0"/>
        <v>0</v>
      </c>
      <c r="G23" s="318">
        <v>709</v>
      </c>
      <c r="H23" s="319" t="s">
        <v>1529</v>
      </c>
      <c r="I23" s="319" t="s">
        <v>1531</v>
      </c>
      <c r="J23" s="319">
        <v>28620</v>
      </c>
      <c r="K23" s="319" t="s">
        <v>1568</v>
      </c>
      <c r="L23" s="291" t="b">
        <f t="shared" si="1"/>
        <v>0</v>
      </c>
      <c r="M23" s="320">
        <v>175</v>
      </c>
      <c r="N23" s="321" t="s">
        <v>1060</v>
      </c>
      <c r="O23" s="321" t="s">
        <v>1062</v>
      </c>
      <c r="P23" s="321">
        <v>22050</v>
      </c>
      <c r="Q23" s="321" t="s">
        <v>1569</v>
      </c>
      <c r="R23" s="291" t="b">
        <f t="shared" si="2"/>
        <v>0</v>
      </c>
    </row>
    <row r="24" spans="1:18" ht="15" x14ac:dyDescent="0.25">
      <c r="A24" s="314">
        <v>486</v>
      </c>
      <c r="B24" s="315" t="s">
        <v>1437</v>
      </c>
      <c r="C24" s="315" t="s">
        <v>1439</v>
      </c>
      <c r="D24" s="315">
        <v>22135</v>
      </c>
      <c r="E24" s="315" t="s">
        <v>61</v>
      </c>
      <c r="F24" s="291" t="b">
        <f t="shared" si="0"/>
        <v>0</v>
      </c>
      <c r="G24" s="318">
        <v>112</v>
      </c>
      <c r="H24" s="319" t="s">
        <v>990</v>
      </c>
      <c r="I24" s="319" t="s">
        <v>991</v>
      </c>
      <c r="J24" s="319">
        <v>22210</v>
      </c>
      <c r="K24" s="319" t="s">
        <v>1568</v>
      </c>
      <c r="L24" s="291" t="b">
        <f t="shared" si="1"/>
        <v>0</v>
      </c>
      <c r="M24" s="320">
        <v>185</v>
      </c>
      <c r="N24" s="321" t="s">
        <v>1064</v>
      </c>
      <c r="O24" s="321" t="s">
        <v>1066</v>
      </c>
      <c r="P24" s="321">
        <v>20660</v>
      </c>
      <c r="Q24" s="321" t="s">
        <v>1569</v>
      </c>
      <c r="R24" s="291" t="b">
        <f t="shared" si="2"/>
        <v>0</v>
      </c>
    </row>
    <row r="25" spans="1:18" ht="15" x14ac:dyDescent="0.25">
      <c r="A25" s="314">
        <v>233</v>
      </c>
      <c r="B25" s="315" t="s">
        <v>1108</v>
      </c>
      <c r="C25" s="315" t="s">
        <v>1109</v>
      </c>
      <c r="D25" s="315">
        <v>20830</v>
      </c>
      <c r="E25" s="315" t="s">
        <v>61</v>
      </c>
      <c r="F25" s="291" t="b">
        <f t="shared" si="0"/>
        <v>0</v>
      </c>
      <c r="G25" s="318">
        <v>223</v>
      </c>
      <c r="H25" s="319" t="s">
        <v>1100</v>
      </c>
      <c r="I25" s="319" t="s">
        <v>1101</v>
      </c>
      <c r="J25" s="319">
        <v>22750</v>
      </c>
      <c r="K25" s="319" t="s">
        <v>1568</v>
      </c>
      <c r="L25" s="291" t="b">
        <f t="shared" si="1"/>
        <v>0</v>
      </c>
      <c r="M25" s="320">
        <v>191</v>
      </c>
      <c r="N25" s="321" t="s">
        <v>1072</v>
      </c>
      <c r="O25" s="321" t="s">
        <v>1073</v>
      </c>
      <c r="P25" s="321">
        <v>21240</v>
      </c>
      <c r="Q25" s="321" t="s">
        <v>1569</v>
      </c>
      <c r="R25" s="291" t="b">
        <f t="shared" si="2"/>
        <v>0</v>
      </c>
    </row>
    <row r="26" spans="1:18" ht="15" x14ac:dyDescent="0.25">
      <c r="A26" s="314">
        <v>53</v>
      </c>
      <c r="B26" s="315" t="s">
        <v>954</v>
      </c>
      <c r="C26" s="315" t="s">
        <v>955</v>
      </c>
      <c r="D26" s="315">
        <v>21400</v>
      </c>
      <c r="E26" s="315" t="s">
        <v>61</v>
      </c>
      <c r="F26" s="291" t="b">
        <f t="shared" si="0"/>
        <v>0</v>
      </c>
      <c r="G26" s="318">
        <v>238</v>
      </c>
      <c r="H26" s="319" t="s">
        <v>1112</v>
      </c>
      <c r="I26" s="319" t="s">
        <v>1115</v>
      </c>
      <c r="J26" s="319">
        <v>26875</v>
      </c>
      <c r="K26" s="319" t="s">
        <v>1568</v>
      </c>
      <c r="L26" s="291" t="b">
        <f t="shared" si="1"/>
        <v>0</v>
      </c>
      <c r="M26" s="320">
        <v>199</v>
      </c>
      <c r="N26" s="321" t="s">
        <v>1078</v>
      </c>
      <c r="O26" s="321" t="s">
        <v>1082</v>
      </c>
      <c r="P26" s="321">
        <v>20700</v>
      </c>
      <c r="Q26" s="321" t="s">
        <v>1569</v>
      </c>
      <c r="R26" s="291" t="b">
        <f t="shared" si="2"/>
        <v>0</v>
      </c>
    </row>
    <row r="27" spans="1:18" ht="15" x14ac:dyDescent="0.25">
      <c r="A27" s="314">
        <v>371</v>
      </c>
      <c r="B27" s="315" t="s">
        <v>1306</v>
      </c>
      <c r="C27" s="315" t="s">
        <v>1313</v>
      </c>
      <c r="D27" s="315">
        <v>21865</v>
      </c>
      <c r="E27" s="315" t="s">
        <v>61</v>
      </c>
      <c r="F27" s="291" t="b">
        <f t="shared" si="0"/>
        <v>0</v>
      </c>
      <c r="G27" s="318">
        <v>335</v>
      </c>
      <c r="H27" s="319" t="s">
        <v>914</v>
      </c>
      <c r="I27" s="319" t="s">
        <v>1244</v>
      </c>
      <c r="J27" s="319">
        <v>27595</v>
      </c>
      <c r="K27" s="319" t="s">
        <v>1568</v>
      </c>
      <c r="L27" s="291" t="b">
        <f t="shared" si="1"/>
        <v>0</v>
      </c>
      <c r="M27" s="320">
        <v>203</v>
      </c>
      <c r="N27" s="321" t="s">
        <v>1083</v>
      </c>
      <c r="O27" s="321" t="s">
        <v>1085</v>
      </c>
      <c r="P27" s="321">
        <v>20750</v>
      </c>
      <c r="Q27" s="321" t="s">
        <v>1569</v>
      </c>
      <c r="R27" s="291" t="b">
        <f t="shared" si="2"/>
        <v>0</v>
      </c>
    </row>
    <row r="28" spans="1:18" ht="15" x14ac:dyDescent="0.25">
      <c r="A28" s="314">
        <v>371</v>
      </c>
      <c r="B28" s="315" t="s">
        <v>1306</v>
      </c>
      <c r="C28" s="315" t="s">
        <v>1317</v>
      </c>
      <c r="D28" s="315">
        <v>21895</v>
      </c>
      <c r="E28" s="315" t="s">
        <v>61</v>
      </c>
      <c r="F28" s="291" t="b">
        <f t="shared" si="0"/>
        <v>0</v>
      </c>
      <c r="G28" s="318">
        <v>251</v>
      </c>
      <c r="H28" s="319" t="s">
        <v>1120</v>
      </c>
      <c r="I28" s="319" t="s">
        <v>1123</v>
      </c>
      <c r="J28" s="319">
        <v>20960</v>
      </c>
      <c r="K28" s="319" t="s">
        <v>1568</v>
      </c>
      <c r="L28" s="291" t="b">
        <f t="shared" si="1"/>
        <v>0</v>
      </c>
      <c r="M28" s="320">
        <v>702</v>
      </c>
      <c r="N28" s="321" t="s">
        <v>1518</v>
      </c>
      <c r="O28" s="321" t="s">
        <v>1518</v>
      </c>
      <c r="P28" s="321">
        <v>29153</v>
      </c>
      <c r="Q28" s="321" t="s">
        <v>1569</v>
      </c>
      <c r="R28" s="291" t="b">
        <f t="shared" si="2"/>
        <v>0</v>
      </c>
    </row>
    <row r="29" spans="1:18" ht="15" x14ac:dyDescent="0.25">
      <c r="A29" s="314">
        <v>101</v>
      </c>
      <c r="B29" s="315" t="s">
        <v>974</v>
      </c>
      <c r="C29" s="315" t="s">
        <v>977</v>
      </c>
      <c r="D29" s="315">
        <v>20145</v>
      </c>
      <c r="E29" s="315" t="s">
        <v>61</v>
      </c>
      <c r="F29" s="291" t="b">
        <f t="shared" si="0"/>
        <v>0</v>
      </c>
      <c r="G29" s="318">
        <v>335</v>
      </c>
      <c r="H29" s="319" t="s">
        <v>914</v>
      </c>
      <c r="I29" s="319" t="s">
        <v>1228</v>
      </c>
      <c r="J29" s="319">
        <v>21520</v>
      </c>
      <c r="K29" s="319" t="s">
        <v>1568</v>
      </c>
      <c r="L29" s="291" t="b">
        <f t="shared" si="1"/>
        <v>0</v>
      </c>
      <c r="M29" s="320">
        <v>709</v>
      </c>
      <c r="N29" s="321" t="s">
        <v>1529</v>
      </c>
      <c r="O29" s="321" t="s">
        <v>1530</v>
      </c>
      <c r="P29" s="321">
        <v>28445</v>
      </c>
      <c r="Q29" s="321" t="s">
        <v>1569</v>
      </c>
      <c r="R29" s="291" t="b">
        <f t="shared" si="2"/>
        <v>0</v>
      </c>
    </row>
    <row r="30" spans="1:18" ht="15" x14ac:dyDescent="0.25">
      <c r="A30" s="314">
        <v>352</v>
      </c>
      <c r="B30" s="315" t="s">
        <v>1269</v>
      </c>
      <c r="C30" s="315" t="s">
        <v>1271</v>
      </c>
      <c r="D30" s="315">
        <v>22155</v>
      </c>
      <c r="E30" s="315" t="s">
        <v>61</v>
      </c>
      <c r="F30" s="291" t="b">
        <f t="shared" si="0"/>
        <v>0</v>
      </c>
      <c r="G30" s="318">
        <v>255</v>
      </c>
      <c r="H30" s="319" t="s">
        <v>1124</v>
      </c>
      <c r="I30" s="319" t="s">
        <v>1127</v>
      </c>
      <c r="J30" s="319">
        <v>26985</v>
      </c>
      <c r="K30" s="319" t="s">
        <v>1568</v>
      </c>
      <c r="L30" s="291" t="b">
        <f t="shared" si="1"/>
        <v>0</v>
      </c>
      <c r="M30" s="320">
        <v>407</v>
      </c>
      <c r="N30" s="321" t="s">
        <v>1350</v>
      </c>
      <c r="O30" s="321" t="s">
        <v>1351</v>
      </c>
      <c r="P30" s="321">
        <v>22900</v>
      </c>
      <c r="Q30" s="321" t="s">
        <v>1569</v>
      </c>
      <c r="R30" s="291" t="b">
        <f t="shared" si="2"/>
        <v>0</v>
      </c>
    </row>
    <row r="31" spans="1:18" ht="15" x14ac:dyDescent="0.25">
      <c r="A31" s="314">
        <v>57</v>
      </c>
      <c r="B31" s="315" t="s">
        <v>956</v>
      </c>
      <c r="C31" s="315" t="s">
        <v>958</v>
      </c>
      <c r="D31" s="315">
        <v>20680</v>
      </c>
      <c r="E31" s="315" t="s">
        <v>61</v>
      </c>
      <c r="F31" s="291" t="b">
        <f t="shared" si="0"/>
        <v>0</v>
      </c>
      <c r="G31" s="318">
        <v>260</v>
      </c>
      <c r="H31" s="319" t="s">
        <v>1133</v>
      </c>
      <c r="I31" s="319" t="s">
        <v>1134</v>
      </c>
      <c r="J31" s="319">
        <v>21805</v>
      </c>
      <c r="K31" s="319" t="s">
        <v>1568</v>
      </c>
      <c r="L31" s="291" t="b">
        <f t="shared" si="1"/>
        <v>0</v>
      </c>
      <c r="M31" s="320">
        <v>142</v>
      </c>
      <c r="N31" s="321" t="s">
        <v>1028</v>
      </c>
      <c r="O31" s="321" t="s">
        <v>1029</v>
      </c>
      <c r="P31" s="321">
        <v>20820</v>
      </c>
      <c r="Q31" s="321" t="s">
        <v>1569</v>
      </c>
      <c r="R31" s="291" t="b">
        <f t="shared" si="2"/>
        <v>0</v>
      </c>
    </row>
    <row r="32" spans="1:18" ht="15" x14ac:dyDescent="0.25">
      <c r="A32" s="314">
        <v>388</v>
      </c>
      <c r="B32" s="315" t="s">
        <v>1573</v>
      </c>
      <c r="C32" s="315" t="s">
        <v>1332</v>
      </c>
      <c r="D32" s="315">
        <v>27685</v>
      </c>
      <c r="E32" s="315" t="s">
        <v>61</v>
      </c>
      <c r="F32" s="291" t="b">
        <f t="shared" si="0"/>
        <v>0</v>
      </c>
      <c r="G32" s="318">
        <v>263</v>
      </c>
      <c r="H32" s="319" t="s">
        <v>1140</v>
      </c>
      <c r="I32" s="319" t="s">
        <v>1141</v>
      </c>
      <c r="J32" s="319">
        <v>27000</v>
      </c>
      <c r="K32" s="319" t="s">
        <v>1568</v>
      </c>
      <c r="L32" s="291" t="b">
        <f t="shared" si="1"/>
        <v>0</v>
      </c>
      <c r="M32" s="320">
        <v>251</v>
      </c>
      <c r="N32" s="321" t="s">
        <v>1120</v>
      </c>
      <c r="O32" s="321" t="s">
        <v>1121</v>
      </c>
      <c r="P32" s="321">
        <v>20950</v>
      </c>
      <c r="Q32" s="321" t="s">
        <v>1569</v>
      </c>
      <c r="R32" s="291" t="b">
        <f t="shared" si="2"/>
        <v>0</v>
      </c>
    </row>
    <row r="33" spans="1:18" ht="15" x14ac:dyDescent="0.25">
      <c r="A33" s="314">
        <v>388</v>
      </c>
      <c r="B33" s="315" t="s">
        <v>1573</v>
      </c>
      <c r="C33" s="315" t="s">
        <v>1335</v>
      </c>
      <c r="D33" s="315">
        <v>20090</v>
      </c>
      <c r="E33" s="315" t="s">
        <v>61</v>
      </c>
      <c r="F33" s="291" t="b">
        <f t="shared" si="0"/>
        <v>0</v>
      </c>
      <c r="G33" s="318">
        <v>267</v>
      </c>
      <c r="H33" s="319" t="s">
        <v>1145</v>
      </c>
      <c r="I33" s="319" t="s">
        <v>1148</v>
      </c>
      <c r="J33" s="319">
        <v>21060</v>
      </c>
      <c r="K33" s="319" t="s">
        <v>1568</v>
      </c>
      <c r="L33" s="291" t="b">
        <f t="shared" si="1"/>
        <v>0</v>
      </c>
      <c r="M33" s="320">
        <v>255</v>
      </c>
      <c r="N33" s="321" t="s">
        <v>1124</v>
      </c>
      <c r="O33" s="321" t="s">
        <v>1125</v>
      </c>
      <c r="P33" s="321">
        <v>21675</v>
      </c>
      <c r="Q33" s="321" t="s">
        <v>1569</v>
      </c>
      <c r="R33" s="291" t="b">
        <f t="shared" si="2"/>
        <v>0</v>
      </c>
    </row>
    <row r="34" spans="1:18" ht="15" x14ac:dyDescent="0.25">
      <c r="A34" s="314">
        <v>371</v>
      </c>
      <c r="B34" s="315" t="s">
        <v>1306</v>
      </c>
      <c r="C34" s="315" t="s">
        <v>1319</v>
      </c>
      <c r="D34" s="315">
        <v>21925</v>
      </c>
      <c r="E34" s="315" t="s">
        <v>61</v>
      </c>
      <c r="F34" s="291" t="b">
        <f t="shared" si="0"/>
        <v>0</v>
      </c>
      <c r="G34" s="318">
        <v>453</v>
      </c>
      <c r="H34" s="319" t="s">
        <v>1396</v>
      </c>
      <c r="I34" s="319" t="s">
        <v>1399</v>
      </c>
      <c r="J34" s="319">
        <v>26525</v>
      </c>
      <c r="K34" s="319" t="s">
        <v>1568</v>
      </c>
      <c r="L34" s="291" t="b">
        <f t="shared" si="1"/>
        <v>0</v>
      </c>
      <c r="M34" s="320">
        <v>260</v>
      </c>
      <c r="N34" s="321" t="s">
        <v>1133</v>
      </c>
      <c r="O34" s="321" t="s">
        <v>1135</v>
      </c>
      <c r="P34" s="321">
        <v>21810</v>
      </c>
      <c r="Q34" s="321" t="s">
        <v>1569</v>
      </c>
      <c r="R34" s="291" t="b">
        <f t="shared" si="2"/>
        <v>0</v>
      </c>
    </row>
    <row r="35" spans="1:18" ht="15" x14ac:dyDescent="0.25">
      <c r="A35" s="314">
        <v>111</v>
      </c>
      <c r="B35" s="315" t="s">
        <v>982</v>
      </c>
      <c r="C35" s="315" t="s">
        <v>986</v>
      </c>
      <c r="D35" s="315">
        <v>20260</v>
      </c>
      <c r="E35" s="315" t="s">
        <v>61</v>
      </c>
      <c r="F35" s="291" t="b">
        <f t="shared" si="0"/>
        <v>0</v>
      </c>
      <c r="G35" s="318">
        <v>269</v>
      </c>
      <c r="H35" s="319" t="s">
        <v>1151</v>
      </c>
      <c r="I35" s="319" t="s">
        <v>1153</v>
      </c>
      <c r="J35" s="319">
        <v>29201</v>
      </c>
      <c r="K35" s="319" t="s">
        <v>1568</v>
      </c>
      <c r="L35" s="291" t="b">
        <f t="shared" si="1"/>
        <v>0</v>
      </c>
      <c r="M35" s="320">
        <v>263</v>
      </c>
      <c r="N35" s="321" t="s">
        <v>1140</v>
      </c>
      <c r="O35" s="321" t="s">
        <v>1143</v>
      </c>
      <c r="P35" s="321">
        <v>20970</v>
      </c>
      <c r="Q35" s="321" t="s">
        <v>1569</v>
      </c>
      <c r="R35" s="291" t="b">
        <f t="shared" si="2"/>
        <v>0</v>
      </c>
    </row>
    <row r="36" spans="1:18" ht="15" x14ac:dyDescent="0.25">
      <c r="A36" s="314">
        <v>51</v>
      </c>
      <c r="B36" s="315" t="s">
        <v>949</v>
      </c>
      <c r="C36" s="315" t="s">
        <v>952</v>
      </c>
      <c r="D36" s="315">
        <v>20055</v>
      </c>
      <c r="E36" s="315" t="s">
        <v>61</v>
      </c>
      <c r="F36" s="291" t="b">
        <f t="shared" si="0"/>
        <v>0</v>
      </c>
      <c r="G36" s="318">
        <v>274</v>
      </c>
      <c r="H36" s="319" t="s">
        <v>1158</v>
      </c>
      <c r="I36" s="319" t="s">
        <v>1162</v>
      </c>
      <c r="J36" s="319">
        <v>22280</v>
      </c>
      <c r="K36" s="319" t="s">
        <v>1568</v>
      </c>
      <c r="L36" s="291" t="b">
        <f t="shared" si="1"/>
        <v>0</v>
      </c>
      <c r="M36" s="320">
        <v>269</v>
      </c>
      <c r="N36" s="321" t="s">
        <v>1151</v>
      </c>
      <c r="O36" s="321" t="s">
        <v>1154</v>
      </c>
      <c r="P36" s="321">
        <v>20035</v>
      </c>
      <c r="Q36" s="321" t="s">
        <v>1569</v>
      </c>
      <c r="R36" s="291" t="b">
        <f t="shared" si="2"/>
        <v>0</v>
      </c>
    </row>
    <row r="37" spans="1:18" ht="15" x14ac:dyDescent="0.25">
      <c r="A37" s="314">
        <v>75</v>
      </c>
      <c r="B37" s="315" t="s">
        <v>964</v>
      </c>
      <c r="C37" s="315" t="s">
        <v>965</v>
      </c>
      <c r="D37" s="315">
        <v>22335</v>
      </c>
      <c r="E37" s="315" t="s">
        <v>61</v>
      </c>
      <c r="F37" s="291" t="b">
        <f t="shared" si="0"/>
        <v>0</v>
      </c>
      <c r="G37" s="318">
        <v>276</v>
      </c>
      <c r="H37" s="319" t="s">
        <v>1165</v>
      </c>
      <c r="I37" s="319" t="s">
        <v>1171</v>
      </c>
      <c r="J37" s="319">
        <v>26535</v>
      </c>
      <c r="K37" s="319" t="s">
        <v>1568</v>
      </c>
      <c r="L37" s="291" t="b">
        <f t="shared" si="1"/>
        <v>0</v>
      </c>
      <c r="M37" s="320">
        <v>275</v>
      </c>
      <c r="N37" s="321" t="s">
        <v>1163</v>
      </c>
      <c r="O37" s="321" t="s">
        <v>1164</v>
      </c>
      <c r="P37" s="321">
        <v>26380</v>
      </c>
      <c r="Q37" s="321" t="s">
        <v>1569</v>
      </c>
      <c r="R37" s="291" t="b">
        <f t="shared" si="2"/>
        <v>0</v>
      </c>
    </row>
    <row r="38" spans="1:18" ht="15" x14ac:dyDescent="0.25">
      <c r="A38" s="314">
        <v>343</v>
      </c>
      <c r="B38" s="315" t="s">
        <v>1255</v>
      </c>
      <c r="C38" s="315" t="s">
        <v>1257</v>
      </c>
      <c r="D38" s="315">
        <v>21315</v>
      </c>
      <c r="E38" s="315" t="s">
        <v>61</v>
      </c>
      <c r="F38" s="291" t="b">
        <f t="shared" si="0"/>
        <v>0</v>
      </c>
      <c r="G38" s="318">
        <v>279</v>
      </c>
      <c r="H38" s="319" t="s">
        <v>1172</v>
      </c>
      <c r="I38" s="319" t="s">
        <v>1175</v>
      </c>
      <c r="J38" s="319">
        <v>21185</v>
      </c>
      <c r="K38" s="319" t="s">
        <v>1568</v>
      </c>
      <c r="L38" s="291" t="b">
        <f t="shared" si="1"/>
        <v>0</v>
      </c>
      <c r="M38" s="320">
        <v>276</v>
      </c>
      <c r="N38" s="321" t="s">
        <v>1165</v>
      </c>
      <c r="O38" s="321" t="s">
        <v>1167</v>
      </c>
      <c r="P38" s="321">
        <v>22015</v>
      </c>
      <c r="Q38" s="321" t="s">
        <v>1569</v>
      </c>
      <c r="R38" s="291" t="b">
        <f t="shared" si="2"/>
        <v>0</v>
      </c>
    </row>
    <row r="39" spans="1:18" ht="15" x14ac:dyDescent="0.25">
      <c r="A39" s="314">
        <v>486</v>
      </c>
      <c r="B39" s="315" t="s">
        <v>1437</v>
      </c>
      <c r="C39" s="315" t="s">
        <v>1438</v>
      </c>
      <c r="D39" s="315">
        <v>22165</v>
      </c>
      <c r="E39" s="315" t="s">
        <v>61</v>
      </c>
      <c r="F39" s="291" t="b">
        <f t="shared" si="0"/>
        <v>0</v>
      </c>
      <c r="G39" s="318">
        <v>208</v>
      </c>
      <c r="H39" s="319" t="s">
        <v>1087</v>
      </c>
      <c r="I39" s="319" t="s">
        <v>1094</v>
      </c>
      <c r="J39" s="319">
        <v>22440</v>
      </c>
      <c r="K39" s="319" t="s">
        <v>1568</v>
      </c>
      <c r="L39" s="291" t="b">
        <f t="shared" si="1"/>
        <v>0</v>
      </c>
      <c r="M39" s="320">
        <v>279</v>
      </c>
      <c r="N39" s="321" t="s">
        <v>1172</v>
      </c>
      <c r="O39" s="321" t="s">
        <v>1177</v>
      </c>
      <c r="P39" s="321">
        <v>21195</v>
      </c>
      <c r="Q39" s="321" t="s">
        <v>1569</v>
      </c>
      <c r="R39" s="291" t="b">
        <f t="shared" si="2"/>
        <v>0</v>
      </c>
    </row>
    <row r="40" spans="1:18" ht="15" x14ac:dyDescent="0.25">
      <c r="A40" s="314">
        <v>710</v>
      </c>
      <c r="B40" s="315" t="s">
        <v>1532</v>
      </c>
      <c r="C40" s="315" t="s">
        <v>1533</v>
      </c>
      <c r="D40" s="315">
        <v>29194</v>
      </c>
      <c r="E40" s="315" t="s">
        <v>61</v>
      </c>
      <c r="F40" s="291" t="b">
        <f t="shared" si="0"/>
        <v>0</v>
      </c>
      <c r="G40" s="318">
        <v>708</v>
      </c>
      <c r="H40" s="319" t="s">
        <v>1526</v>
      </c>
      <c r="I40" s="319" t="s">
        <v>1527</v>
      </c>
      <c r="J40" s="319">
        <v>29191</v>
      </c>
      <c r="K40" s="319" t="s">
        <v>1568</v>
      </c>
      <c r="L40" s="291" t="b">
        <f t="shared" si="1"/>
        <v>0</v>
      </c>
      <c r="M40" s="320">
        <v>113</v>
      </c>
      <c r="N40" s="321" t="s">
        <v>1002</v>
      </c>
      <c r="O40" s="321" t="s">
        <v>1006</v>
      </c>
      <c r="P40" s="321">
        <v>20345</v>
      </c>
      <c r="Q40" s="321" t="s">
        <v>1569</v>
      </c>
      <c r="R40" s="291" t="b">
        <f t="shared" si="2"/>
        <v>0</v>
      </c>
    </row>
    <row r="41" spans="1:18" ht="15" x14ac:dyDescent="0.25">
      <c r="A41" s="314">
        <v>71</v>
      </c>
      <c r="B41" s="315" t="s">
        <v>961</v>
      </c>
      <c r="C41" s="315" t="s">
        <v>962</v>
      </c>
      <c r="D41" s="315">
        <v>27765</v>
      </c>
      <c r="E41" s="315" t="s">
        <v>61</v>
      </c>
      <c r="F41" s="291" t="b">
        <f t="shared" si="0"/>
        <v>0</v>
      </c>
      <c r="G41" s="318">
        <v>285</v>
      </c>
      <c r="H41" s="319" t="s">
        <v>1181</v>
      </c>
      <c r="I41" s="319" t="s">
        <v>1184</v>
      </c>
      <c r="J41" s="319">
        <v>21275</v>
      </c>
      <c r="K41" s="319" t="s">
        <v>1568</v>
      </c>
      <c r="L41" s="291" t="b">
        <f t="shared" si="1"/>
        <v>0</v>
      </c>
      <c r="M41" s="320">
        <v>208</v>
      </c>
      <c r="N41" s="321" t="s">
        <v>1087</v>
      </c>
      <c r="O41" s="321" t="s">
        <v>1092</v>
      </c>
      <c r="P41" s="321">
        <v>22425</v>
      </c>
      <c r="Q41" s="321" t="s">
        <v>1569</v>
      </c>
      <c r="R41" s="291" t="b">
        <f t="shared" si="2"/>
        <v>0</v>
      </c>
    </row>
    <row r="42" spans="1:18" ht="15" x14ac:dyDescent="0.25">
      <c r="A42" s="314">
        <v>208</v>
      </c>
      <c r="B42" s="315" t="s">
        <v>1087</v>
      </c>
      <c r="C42" s="315" t="s">
        <v>1093</v>
      </c>
      <c r="D42" s="315">
        <v>22430</v>
      </c>
      <c r="E42" s="315" t="s">
        <v>61</v>
      </c>
      <c r="F42" s="291" t="b">
        <f t="shared" si="0"/>
        <v>0</v>
      </c>
      <c r="G42" s="318">
        <v>295</v>
      </c>
      <c r="H42" s="319" t="s">
        <v>1191</v>
      </c>
      <c r="I42" s="319" t="s">
        <v>1195</v>
      </c>
      <c r="J42" s="319">
        <v>21370</v>
      </c>
      <c r="K42" s="319" t="s">
        <v>1568</v>
      </c>
      <c r="L42" s="291" t="b">
        <f t="shared" si="1"/>
        <v>0</v>
      </c>
      <c r="M42" s="320">
        <v>708</v>
      </c>
      <c r="N42" s="321" t="s">
        <v>1526</v>
      </c>
      <c r="O42" s="321" t="s">
        <v>1528</v>
      </c>
      <c r="P42" s="321">
        <v>29192</v>
      </c>
      <c r="Q42" s="321" t="s">
        <v>1569</v>
      </c>
      <c r="R42" s="291" t="b">
        <f t="shared" si="2"/>
        <v>0</v>
      </c>
    </row>
    <row r="43" spans="1:18" ht="15" x14ac:dyDescent="0.25">
      <c r="A43" s="314">
        <v>555</v>
      </c>
      <c r="B43" s="315" t="s">
        <v>1488</v>
      </c>
      <c r="C43" s="315" t="s">
        <v>1489</v>
      </c>
      <c r="D43" s="315">
        <v>26810</v>
      </c>
      <c r="E43" s="315" t="s">
        <v>61</v>
      </c>
      <c r="F43" s="291" t="b">
        <f t="shared" si="0"/>
        <v>0</v>
      </c>
      <c r="G43" s="318">
        <v>305</v>
      </c>
      <c r="H43" s="319" t="s">
        <v>1198</v>
      </c>
      <c r="I43" s="319" t="s">
        <v>1199</v>
      </c>
      <c r="J43" s="319">
        <v>23105</v>
      </c>
      <c r="K43" s="319" t="s">
        <v>1568</v>
      </c>
      <c r="L43" s="291" t="b">
        <f t="shared" si="1"/>
        <v>0</v>
      </c>
      <c r="M43" s="320">
        <v>285</v>
      </c>
      <c r="N43" s="321" t="s">
        <v>1181</v>
      </c>
      <c r="O43" s="321" t="s">
        <v>1182</v>
      </c>
      <c r="P43" s="321">
        <v>21255</v>
      </c>
      <c r="Q43" s="321" t="s">
        <v>1569</v>
      </c>
      <c r="R43" s="291" t="b">
        <f t="shared" si="2"/>
        <v>0</v>
      </c>
    </row>
    <row r="44" spans="1:18" ht="15" x14ac:dyDescent="0.25">
      <c r="A44" s="314">
        <v>461</v>
      </c>
      <c r="B44" s="315" t="s">
        <v>1403</v>
      </c>
      <c r="C44" s="315" t="s">
        <v>1409</v>
      </c>
      <c r="D44" s="315">
        <v>22695</v>
      </c>
      <c r="E44" s="315" t="s">
        <v>61</v>
      </c>
      <c r="F44" s="291" t="b">
        <f t="shared" si="0"/>
        <v>0</v>
      </c>
      <c r="G44" s="318">
        <v>306</v>
      </c>
      <c r="H44" s="319" t="s">
        <v>1202</v>
      </c>
      <c r="I44" s="319" t="s">
        <v>1204</v>
      </c>
      <c r="J44" s="319">
        <v>23095</v>
      </c>
      <c r="K44" s="319" t="s">
        <v>1568</v>
      </c>
      <c r="L44" s="291" t="b">
        <f t="shared" si="1"/>
        <v>0</v>
      </c>
      <c r="M44" s="320">
        <v>706</v>
      </c>
      <c r="N44" s="321" t="s">
        <v>1524</v>
      </c>
      <c r="O44" s="321" t="s">
        <v>1524</v>
      </c>
      <c r="P44" s="321">
        <v>29189</v>
      </c>
      <c r="Q44" s="321" t="s">
        <v>1569</v>
      </c>
      <c r="R44" s="291" t="b">
        <f t="shared" si="2"/>
        <v>0</v>
      </c>
    </row>
    <row r="45" spans="1:18" ht="15" x14ac:dyDescent="0.25">
      <c r="A45" s="314">
        <v>174</v>
      </c>
      <c r="B45" s="315" t="s">
        <v>1048</v>
      </c>
      <c r="C45" s="315" t="s">
        <v>1052</v>
      </c>
      <c r="D45" s="315">
        <v>22975</v>
      </c>
      <c r="E45" s="315" t="s">
        <v>61</v>
      </c>
      <c r="F45" s="291" t="b">
        <f t="shared" si="0"/>
        <v>0</v>
      </c>
      <c r="G45" s="318">
        <v>315</v>
      </c>
      <c r="H45" s="319" t="s">
        <v>1206</v>
      </c>
      <c r="I45" s="319" t="s">
        <v>1209</v>
      </c>
      <c r="J45" s="319">
        <v>26640</v>
      </c>
      <c r="K45" s="319" t="s">
        <v>1568</v>
      </c>
      <c r="L45" s="291" t="b">
        <f t="shared" si="1"/>
        <v>0</v>
      </c>
      <c r="M45" s="320">
        <v>295</v>
      </c>
      <c r="N45" s="321" t="s">
        <v>1191</v>
      </c>
      <c r="O45" s="321" t="s">
        <v>1194</v>
      </c>
      <c r="P45" s="321">
        <v>21360</v>
      </c>
      <c r="Q45" s="321" t="s">
        <v>1569</v>
      </c>
      <c r="R45" s="291" t="b">
        <f t="shared" si="2"/>
        <v>0</v>
      </c>
    </row>
    <row r="46" spans="1:18" ht="15" x14ac:dyDescent="0.25">
      <c r="A46" s="314">
        <v>174</v>
      </c>
      <c r="B46" s="315" t="s">
        <v>1048</v>
      </c>
      <c r="C46" s="315" t="s">
        <v>1054</v>
      </c>
      <c r="D46" s="315">
        <v>22985</v>
      </c>
      <c r="E46" s="315" t="s">
        <v>61</v>
      </c>
      <c r="F46" s="291" t="b">
        <f t="shared" si="0"/>
        <v>0</v>
      </c>
      <c r="G46" s="318">
        <v>319</v>
      </c>
      <c r="H46" s="319" t="s">
        <v>1214</v>
      </c>
      <c r="I46" s="319" t="s">
        <v>1218</v>
      </c>
      <c r="J46" s="319">
        <v>20480</v>
      </c>
      <c r="K46" s="319" t="s">
        <v>1568</v>
      </c>
      <c r="L46" s="291" t="b">
        <f t="shared" si="1"/>
        <v>0</v>
      </c>
      <c r="M46" s="320">
        <v>719</v>
      </c>
      <c r="N46" s="321" t="s">
        <v>1537</v>
      </c>
      <c r="O46" s="321" t="s">
        <v>1537</v>
      </c>
      <c r="P46" s="321">
        <v>28565</v>
      </c>
      <c r="Q46" s="321" t="s">
        <v>1569</v>
      </c>
      <c r="R46" s="291" t="b">
        <f t="shared" si="2"/>
        <v>0</v>
      </c>
    </row>
    <row r="47" spans="1:18" ht="15" x14ac:dyDescent="0.25">
      <c r="A47" s="314">
        <v>371</v>
      </c>
      <c r="B47" s="315" t="s">
        <v>1306</v>
      </c>
      <c r="C47" s="315" t="s">
        <v>1320</v>
      </c>
      <c r="D47" s="315">
        <v>21930</v>
      </c>
      <c r="E47" s="315" t="s">
        <v>61</v>
      </c>
      <c r="F47" s="291" t="b">
        <f t="shared" si="0"/>
        <v>0</v>
      </c>
      <c r="G47" s="318">
        <v>733</v>
      </c>
      <c r="H47" s="319" t="s">
        <v>1550</v>
      </c>
      <c r="I47" s="319" t="s">
        <v>1551</v>
      </c>
      <c r="J47" s="319">
        <v>29100</v>
      </c>
      <c r="K47" s="319" t="s">
        <v>1568</v>
      </c>
      <c r="L47" s="291" t="b">
        <f t="shared" si="1"/>
        <v>0</v>
      </c>
      <c r="M47" s="320">
        <v>305</v>
      </c>
      <c r="N47" s="321" t="s">
        <v>1198</v>
      </c>
      <c r="O47" s="321" t="s">
        <v>1200</v>
      </c>
      <c r="P47" s="321">
        <v>23110</v>
      </c>
      <c r="Q47" s="321" t="s">
        <v>1569</v>
      </c>
      <c r="R47" s="291" t="b">
        <f t="shared" si="2"/>
        <v>0</v>
      </c>
    </row>
    <row r="48" spans="1:18" ht="15" x14ac:dyDescent="0.25">
      <c r="A48" s="314">
        <v>93</v>
      </c>
      <c r="B48" s="315" t="s">
        <v>968</v>
      </c>
      <c r="C48" s="315" t="s">
        <v>969</v>
      </c>
      <c r="D48" s="315">
        <v>20500</v>
      </c>
      <c r="E48" s="315" t="s">
        <v>61</v>
      </c>
      <c r="F48" s="291" t="b">
        <f t="shared" si="0"/>
        <v>0</v>
      </c>
      <c r="G48" s="318">
        <v>351</v>
      </c>
      <c r="H48" s="319" t="s">
        <v>1262</v>
      </c>
      <c r="I48" s="319" t="s">
        <v>1263</v>
      </c>
      <c r="J48" s="319">
        <v>28375</v>
      </c>
      <c r="K48" s="319" t="s">
        <v>1568</v>
      </c>
      <c r="L48" s="291" t="b">
        <f t="shared" si="1"/>
        <v>0</v>
      </c>
      <c r="M48" s="320">
        <v>306</v>
      </c>
      <c r="N48" s="321" t="s">
        <v>1202</v>
      </c>
      <c r="O48" s="321" t="s">
        <v>1205</v>
      </c>
      <c r="P48" s="321">
        <v>23100</v>
      </c>
      <c r="Q48" s="321" t="s">
        <v>1569</v>
      </c>
      <c r="R48" s="291" t="b">
        <f t="shared" si="2"/>
        <v>0</v>
      </c>
    </row>
    <row r="49" spans="1:18" ht="15" x14ac:dyDescent="0.25">
      <c r="A49" s="314">
        <v>95</v>
      </c>
      <c r="B49" s="315" t="s">
        <v>970</v>
      </c>
      <c r="C49" s="315" t="s">
        <v>971</v>
      </c>
      <c r="D49" s="315">
        <v>21140</v>
      </c>
      <c r="E49" s="315" t="s">
        <v>61</v>
      </c>
      <c r="F49" s="291" t="b">
        <f t="shared" si="0"/>
        <v>0</v>
      </c>
      <c r="G49" s="318">
        <v>352</v>
      </c>
      <c r="H49" s="319" t="s">
        <v>1269</v>
      </c>
      <c r="I49" s="319" t="s">
        <v>1270</v>
      </c>
      <c r="J49" s="319">
        <v>26585</v>
      </c>
      <c r="K49" s="319" t="s">
        <v>1568</v>
      </c>
      <c r="L49" s="291" t="b">
        <f t="shared" si="1"/>
        <v>0</v>
      </c>
      <c r="M49" s="320">
        <v>317</v>
      </c>
      <c r="N49" s="321" t="s">
        <v>1210</v>
      </c>
      <c r="O49" s="321" t="s">
        <v>1212</v>
      </c>
      <c r="P49" s="321">
        <v>21445</v>
      </c>
      <c r="Q49" s="321" t="s">
        <v>1569</v>
      </c>
      <c r="R49" s="291" t="b">
        <f t="shared" si="2"/>
        <v>0</v>
      </c>
    </row>
    <row r="50" spans="1:18" ht="15" x14ac:dyDescent="0.25">
      <c r="A50" s="314">
        <v>99</v>
      </c>
      <c r="B50" s="315" t="s">
        <v>972</v>
      </c>
      <c r="C50" s="315" t="s">
        <v>973</v>
      </c>
      <c r="D50" s="315">
        <v>22590</v>
      </c>
      <c r="E50" s="315" t="s">
        <v>61</v>
      </c>
      <c r="F50" s="291" t="b">
        <f t="shared" si="0"/>
        <v>0</v>
      </c>
      <c r="G50" s="318">
        <v>335</v>
      </c>
      <c r="H50" s="319" t="s">
        <v>914</v>
      </c>
      <c r="I50" s="319" t="s">
        <v>1229</v>
      </c>
      <c r="J50" s="319">
        <v>21525</v>
      </c>
      <c r="K50" s="319" t="s">
        <v>1568</v>
      </c>
      <c r="L50" s="291" t="b">
        <f t="shared" si="1"/>
        <v>0</v>
      </c>
      <c r="M50" s="320">
        <v>319</v>
      </c>
      <c r="N50" s="321" t="s">
        <v>1214</v>
      </c>
      <c r="O50" s="321" t="s">
        <v>1220</v>
      </c>
      <c r="P50" s="321">
        <v>20490</v>
      </c>
      <c r="Q50" s="321" t="s">
        <v>1569</v>
      </c>
      <c r="R50" s="291" t="b">
        <f t="shared" si="2"/>
        <v>0</v>
      </c>
    </row>
    <row r="51" spans="1:18" ht="15" x14ac:dyDescent="0.25">
      <c r="A51" s="314">
        <v>111</v>
      </c>
      <c r="B51" s="315" t="s">
        <v>982</v>
      </c>
      <c r="C51" s="315" t="s">
        <v>989</v>
      </c>
      <c r="D51" s="315">
        <v>20305</v>
      </c>
      <c r="E51" s="315" t="s">
        <v>61</v>
      </c>
      <c r="F51" s="291" t="b">
        <f t="shared" si="0"/>
        <v>0</v>
      </c>
      <c r="G51" s="318">
        <v>357</v>
      </c>
      <c r="H51" s="319" t="s">
        <v>1281</v>
      </c>
      <c r="I51" s="319" t="s">
        <v>1282</v>
      </c>
      <c r="J51" s="319">
        <v>21760</v>
      </c>
      <c r="K51" s="319" t="s">
        <v>1568</v>
      </c>
      <c r="L51" s="291" t="b">
        <f t="shared" si="1"/>
        <v>0</v>
      </c>
      <c r="M51" s="320">
        <v>733</v>
      </c>
      <c r="N51" s="321" t="s">
        <v>1550</v>
      </c>
      <c r="O51" s="321" t="s">
        <v>1553</v>
      </c>
      <c r="P51" s="321">
        <v>29160</v>
      </c>
      <c r="Q51" s="321" t="s">
        <v>1569</v>
      </c>
      <c r="R51" s="291" t="b">
        <f t="shared" si="2"/>
        <v>0</v>
      </c>
    </row>
    <row r="52" spans="1:18" ht="15" x14ac:dyDescent="0.25">
      <c r="A52" s="314">
        <v>101</v>
      </c>
      <c r="B52" s="315" t="s">
        <v>974</v>
      </c>
      <c r="C52" s="315" t="s">
        <v>1589</v>
      </c>
      <c r="D52" s="315">
        <v>29184</v>
      </c>
      <c r="E52" s="315" t="s">
        <v>1590</v>
      </c>
      <c r="F52" s="291" t="b">
        <f t="shared" si="0"/>
        <v>0</v>
      </c>
      <c r="G52" s="318">
        <v>363</v>
      </c>
      <c r="H52" s="319" t="s">
        <v>1290</v>
      </c>
      <c r="I52" s="319" t="s">
        <v>1291</v>
      </c>
      <c r="J52" s="319">
        <v>26980</v>
      </c>
      <c r="K52" s="319" t="s">
        <v>1568</v>
      </c>
      <c r="L52" s="291" t="b">
        <f t="shared" si="1"/>
        <v>0</v>
      </c>
      <c r="M52" s="320">
        <v>733</v>
      </c>
      <c r="N52" s="321" t="s">
        <v>1550</v>
      </c>
      <c r="O52" s="321" t="s">
        <v>1552</v>
      </c>
      <c r="P52" s="321">
        <v>29060</v>
      </c>
      <c r="Q52" s="321" t="s">
        <v>1569</v>
      </c>
      <c r="R52" s="291" t="b">
        <f t="shared" si="2"/>
        <v>0</v>
      </c>
    </row>
    <row r="53" spans="1:18" ht="15" x14ac:dyDescent="0.25">
      <c r="A53" s="314">
        <v>17</v>
      </c>
      <c r="B53" s="315" t="s">
        <v>924</v>
      </c>
      <c r="C53" s="315" t="s">
        <v>926</v>
      </c>
      <c r="D53" s="315">
        <v>21750</v>
      </c>
      <c r="E53" s="315" t="s">
        <v>61</v>
      </c>
      <c r="F53" s="291" t="b">
        <f t="shared" si="0"/>
        <v>0</v>
      </c>
      <c r="G53" s="318">
        <v>369</v>
      </c>
      <c r="H53" s="319" t="s">
        <v>1302</v>
      </c>
      <c r="I53" s="319" t="s">
        <v>1305</v>
      </c>
      <c r="J53" s="319">
        <v>26960</v>
      </c>
      <c r="K53" s="319" t="s">
        <v>1568</v>
      </c>
      <c r="L53" s="291" t="b">
        <f t="shared" si="1"/>
        <v>0</v>
      </c>
      <c r="M53" s="320">
        <v>335</v>
      </c>
      <c r="N53" s="321" t="s">
        <v>914</v>
      </c>
      <c r="O53" s="321" t="s">
        <v>1226</v>
      </c>
      <c r="P53" s="321">
        <v>21510</v>
      </c>
      <c r="Q53" s="321" t="s">
        <v>1569</v>
      </c>
      <c r="R53" s="291" t="b">
        <f t="shared" si="2"/>
        <v>0</v>
      </c>
    </row>
    <row r="54" spans="1:18" ht="15" x14ac:dyDescent="0.25">
      <c r="A54" s="314">
        <v>105</v>
      </c>
      <c r="B54" s="315" t="s">
        <v>979</v>
      </c>
      <c r="C54" s="315" t="s">
        <v>981</v>
      </c>
      <c r="D54" s="315">
        <v>20195</v>
      </c>
      <c r="E54" s="315" t="s">
        <v>61</v>
      </c>
      <c r="F54" s="291" t="b">
        <f t="shared" si="0"/>
        <v>0</v>
      </c>
      <c r="G54" s="318">
        <v>199</v>
      </c>
      <c r="H54" s="319" t="s">
        <v>1078</v>
      </c>
      <c r="I54" s="319" t="s">
        <v>1079</v>
      </c>
      <c r="J54" s="319">
        <v>26820</v>
      </c>
      <c r="K54" s="319" t="s">
        <v>1568</v>
      </c>
      <c r="L54" s="291" t="b">
        <f t="shared" si="1"/>
        <v>0</v>
      </c>
      <c r="M54" s="320">
        <v>335</v>
      </c>
      <c r="N54" s="321" t="s">
        <v>914</v>
      </c>
      <c r="O54" s="321" t="s">
        <v>1225</v>
      </c>
      <c r="P54" s="321">
        <v>21505</v>
      </c>
      <c r="Q54" s="321" t="s">
        <v>1569</v>
      </c>
      <c r="R54" s="291" t="b">
        <f t="shared" si="2"/>
        <v>0</v>
      </c>
    </row>
    <row r="55" spans="1:18" ht="15" x14ac:dyDescent="0.25">
      <c r="A55" s="314">
        <v>743</v>
      </c>
      <c r="B55" s="315" t="s">
        <v>1562</v>
      </c>
      <c r="C55" s="315" t="s">
        <v>1562</v>
      </c>
      <c r="D55" s="315">
        <v>29166</v>
      </c>
      <c r="E55" s="315" t="s">
        <v>61</v>
      </c>
      <c r="F55" s="291" t="b">
        <f t="shared" si="0"/>
        <v>0</v>
      </c>
      <c r="G55" s="318">
        <v>388</v>
      </c>
      <c r="H55" s="319" t="s">
        <v>1573</v>
      </c>
      <c r="I55" s="319" t="s">
        <v>1333</v>
      </c>
      <c r="J55" s="319">
        <v>26680</v>
      </c>
      <c r="K55" s="319" t="s">
        <v>1568</v>
      </c>
      <c r="L55" s="291" t="b">
        <f t="shared" si="1"/>
        <v>0</v>
      </c>
      <c r="M55" s="320">
        <v>335</v>
      </c>
      <c r="N55" s="321" t="s">
        <v>914</v>
      </c>
      <c r="O55" s="321" t="s">
        <v>1246</v>
      </c>
      <c r="P55" s="321">
        <v>29085</v>
      </c>
      <c r="Q55" s="321" t="s">
        <v>1569</v>
      </c>
      <c r="R55" s="291" t="b">
        <f t="shared" si="2"/>
        <v>0</v>
      </c>
    </row>
    <row r="56" spans="1:18" ht="15" x14ac:dyDescent="0.25">
      <c r="A56" s="314">
        <v>113</v>
      </c>
      <c r="B56" s="315" t="s">
        <v>1002</v>
      </c>
      <c r="C56" s="315" t="s">
        <v>1005</v>
      </c>
      <c r="D56" s="315">
        <v>20340</v>
      </c>
      <c r="E56" s="315" t="s">
        <v>61</v>
      </c>
      <c r="F56" s="291" t="b">
        <f t="shared" si="0"/>
        <v>0</v>
      </c>
      <c r="G56" s="318">
        <v>401</v>
      </c>
      <c r="H56" s="319" t="s">
        <v>1344</v>
      </c>
      <c r="I56" s="319" t="s">
        <v>1345</v>
      </c>
      <c r="J56" s="319">
        <v>26970</v>
      </c>
      <c r="K56" s="319" t="s">
        <v>1568</v>
      </c>
      <c r="L56" s="291" t="b">
        <f t="shared" si="1"/>
        <v>0</v>
      </c>
      <c r="M56" s="320">
        <v>335</v>
      </c>
      <c r="N56" s="321" t="s">
        <v>914</v>
      </c>
      <c r="O56" s="321" t="s">
        <v>1233</v>
      </c>
      <c r="P56" s="321">
        <v>21555</v>
      </c>
      <c r="Q56" s="321" t="s">
        <v>1569</v>
      </c>
      <c r="R56" s="291" t="b">
        <f t="shared" si="2"/>
        <v>0</v>
      </c>
    </row>
    <row r="57" spans="1:18" ht="15" x14ac:dyDescent="0.25">
      <c r="A57" s="314">
        <v>115</v>
      </c>
      <c r="B57" s="315" t="s">
        <v>1008</v>
      </c>
      <c r="C57" s="315" t="s">
        <v>1009</v>
      </c>
      <c r="D57" s="315">
        <v>20175</v>
      </c>
      <c r="E57" s="315" t="s">
        <v>61</v>
      </c>
      <c r="F57" s="291" t="b">
        <f t="shared" si="0"/>
        <v>0</v>
      </c>
      <c r="G57" s="318">
        <v>703</v>
      </c>
      <c r="H57" s="319" t="s">
        <v>1519</v>
      </c>
      <c r="I57" s="319" t="s">
        <v>1520</v>
      </c>
      <c r="J57" s="319">
        <v>28505</v>
      </c>
      <c r="K57" s="319" t="s">
        <v>1568</v>
      </c>
      <c r="L57" s="291" t="b">
        <f t="shared" si="1"/>
        <v>0</v>
      </c>
      <c r="M57" s="320">
        <v>342</v>
      </c>
      <c r="N57" s="321" t="s">
        <v>1251</v>
      </c>
      <c r="O57" s="321" t="s">
        <v>1253</v>
      </c>
      <c r="P57" s="321">
        <v>23050</v>
      </c>
      <c r="Q57" s="321" t="s">
        <v>1569</v>
      </c>
      <c r="R57" s="291" t="b">
        <f t="shared" si="2"/>
        <v>0</v>
      </c>
    </row>
    <row r="58" spans="1:18" ht="15" x14ac:dyDescent="0.25">
      <c r="A58" s="314">
        <v>208</v>
      </c>
      <c r="B58" s="315" t="s">
        <v>1087</v>
      </c>
      <c r="C58" s="315" t="s">
        <v>1095</v>
      </c>
      <c r="D58" s="315">
        <v>27515</v>
      </c>
      <c r="E58" s="315" t="s">
        <v>61</v>
      </c>
      <c r="F58" s="291" t="b">
        <f t="shared" si="0"/>
        <v>0</v>
      </c>
      <c r="G58" s="318">
        <v>359</v>
      </c>
      <c r="H58" s="319" t="s">
        <v>1286</v>
      </c>
      <c r="I58" s="319" t="s">
        <v>1287</v>
      </c>
      <c r="J58" s="319">
        <v>26540</v>
      </c>
      <c r="K58" s="319" t="s">
        <v>1568</v>
      </c>
      <c r="L58" s="291" t="b">
        <f t="shared" si="1"/>
        <v>0</v>
      </c>
      <c r="M58" s="320">
        <v>343</v>
      </c>
      <c r="N58" s="321" t="s">
        <v>1255</v>
      </c>
      <c r="O58" s="321" t="s">
        <v>1256</v>
      </c>
      <c r="P58" s="321">
        <v>21305</v>
      </c>
      <c r="Q58" s="321" t="s">
        <v>1569</v>
      </c>
      <c r="R58" s="291" t="b">
        <f t="shared" si="2"/>
        <v>0</v>
      </c>
    </row>
    <row r="59" spans="1:18" ht="15" x14ac:dyDescent="0.25">
      <c r="A59" s="314">
        <v>117</v>
      </c>
      <c r="B59" s="315" t="s">
        <v>1010</v>
      </c>
      <c r="C59" s="315" t="s">
        <v>1011</v>
      </c>
      <c r="D59" s="315">
        <v>21960</v>
      </c>
      <c r="E59" s="315" t="s">
        <v>61</v>
      </c>
      <c r="F59" s="291" t="b">
        <f t="shared" si="0"/>
        <v>0</v>
      </c>
      <c r="G59" s="318">
        <v>423</v>
      </c>
      <c r="H59" s="319" t="s">
        <v>1358</v>
      </c>
      <c r="I59" s="319" t="s">
        <v>1360</v>
      </c>
      <c r="J59" s="319">
        <v>22790</v>
      </c>
      <c r="K59" s="319" t="s">
        <v>1568</v>
      </c>
      <c r="L59" s="291" t="b">
        <f t="shared" si="1"/>
        <v>0</v>
      </c>
      <c r="M59" s="320">
        <v>351</v>
      </c>
      <c r="N59" s="321" t="s">
        <v>1262</v>
      </c>
      <c r="O59" s="321" t="s">
        <v>1268</v>
      </c>
      <c r="P59" s="321">
        <v>21040</v>
      </c>
      <c r="Q59" s="321" t="s">
        <v>1569</v>
      </c>
      <c r="R59" s="291" t="b">
        <f t="shared" si="2"/>
        <v>0</v>
      </c>
    </row>
    <row r="60" spans="1:18" ht="15" x14ac:dyDescent="0.25">
      <c r="A60" s="314">
        <v>363</v>
      </c>
      <c r="B60" s="315" t="s">
        <v>1290</v>
      </c>
      <c r="C60" s="315" t="s">
        <v>1294</v>
      </c>
      <c r="D60" s="315">
        <v>21715</v>
      </c>
      <c r="E60" s="315" t="s">
        <v>61</v>
      </c>
      <c r="F60" s="291" t="b">
        <f t="shared" si="0"/>
        <v>0</v>
      </c>
      <c r="G60" s="318">
        <v>371</v>
      </c>
      <c r="H60" s="319" t="s">
        <v>1306</v>
      </c>
      <c r="I60" s="319" t="s">
        <v>1307</v>
      </c>
      <c r="J60" s="319">
        <v>21825</v>
      </c>
      <c r="K60" s="319" t="s">
        <v>1568</v>
      </c>
      <c r="L60" s="291" t="b">
        <f t="shared" si="1"/>
        <v>0</v>
      </c>
      <c r="M60" s="320">
        <v>352</v>
      </c>
      <c r="N60" s="321" t="s">
        <v>1269</v>
      </c>
      <c r="O60" s="321" t="s">
        <v>1274</v>
      </c>
      <c r="P60" s="321">
        <v>22195</v>
      </c>
      <c r="Q60" s="321" t="s">
        <v>1569</v>
      </c>
      <c r="R60" s="291" t="b">
        <f t="shared" si="2"/>
        <v>0</v>
      </c>
    </row>
    <row r="61" spans="1:18" ht="15" x14ac:dyDescent="0.25">
      <c r="A61" s="314">
        <v>388</v>
      </c>
      <c r="B61" s="315" t="s">
        <v>1573</v>
      </c>
      <c r="C61" s="315" t="s">
        <v>1336</v>
      </c>
      <c r="D61" s="315">
        <v>20095</v>
      </c>
      <c r="E61" s="315" t="s">
        <v>61</v>
      </c>
      <c r="F61" s="291" t="b">
        <f t="shared" si="0"/>
        <v>0</v>
      </c>
      <c r="G61" s="318">
        <v>439</v>
      </c>
      <c r="H61" s="319" t="s">
        <v>1379</v>
      </c>
      <c r="I61" s="319" t="s">
        <v>1381</v>
      </c>
      <c r="J61" s="319">
        <v>26550</v>
      </c>
      <c r="K61" s="319" t="s">
        <v>1568</v>
      </c>
      <c r="L61" s="291" t="b">
        <f t="shared" si="1"/>
        <v>0</v>
      </c>
      <c r="M61" s="320">
        <v>357</v>
      </c>
      <c r="N61" s="321" t="s">
        <v>1281</v>
      </c>
      <c r="O61" s="321" t="s">
        <v>1283</v>
      </c>
      <c r="P61" s="321">
        <v>21765</v>
      </c>
      <c r="Q61" s="321" t="s">
        <v>1569</v>
      </c>
      <c r="R61" s="291" t="b">
        <f t="shared" si="2"/>
        <v>0</v>
      </c>
    </row>
    <row r="62" spans="1:18" ht="15" x14ac:dyDescent="0.25">
      <c r="A62" s="314">
        <v>476</v>
      </c>
      <c r="B62" s="315" t="s">
        <v>1430</v>
      </c>
      <c r="C62" s="315" t="s">
        <v>1432</v>
      </c>
      <c r="D62" s="315">
        <v>20625</v>
      </c>
      <c r="E62" s="315" t="s">
        <v>61</v>
      </c>
      <c r="F62" s="291" t="b">
        <f t="shared" si="0"/>
        <v>0</v>
      </c>
      <c r="G62" s="318">
        <v>449</v>
      </c>
      <c r="H62" s="319" t="s">
        <v>1387</v>
      </c>
      <c r="I62" s="319" t="s">
        <v>1388</v>
      </c>
      <c r="J62" s="319">
        <v>22510</v>
      </c>
      <c r="K62" s="319" t="s">
        <v>1568</v>
      </c>
      <c r="L62" s="291" t="b">
        <f t="shared" si="1"/>
        <v>0</v>
      </c>
      <c r="M62" s="320">
        <v>363</v>
      </c>
      <c r="N62" s="321" t="s">
        <v>1290</v>
      </c>
      <c r="O62" s="321" t="s">
        <v>1293</v>
      </c>
      <c r="P62" s="321">
        <v>21700</v>
      </c>
      <c r="Q62" s="321" t="s">
        <v>1569</v>
      </c>
      <c r="R62" s="291" t="b">
        <f t="shared" si="2"/>
        <v>0</v>
      </c>
    </row>
    <row r="63" spans="1:18" ht="15" x14ac:dyDescent="0.25">
      <c r="A63" s="314">
        <v>534</v>
      </c>
      <c r="B63" s="315" t="s">
        <v>1470</v>
      </c>
      <c r="C63" s="315" t="s">
        <v>1473</v>
      </c>
      <c r="D63" s="315">
        <v>22745</v>
      </c>
      <c r="E63" s="315" t="s">
        <v>61</v>
      </c>
      <c r="F63" s="291" t="b">
        <f t="shared" si="0"/>
        <v>0</v>
      </c>
      <c r="G63" s="318">
        <v>450</v>
      </c>
      <c r="H63" s="319" t="s">
        <v>1393</v>
      </c>
      <c r="I63" s="319" t="s">
        <v>1395</v>
      </c>
      <c r="J63" s="319">
        <v>26990</v>
      </c>
      <c r="K63" s="319" t="s">
        <v>1568</v>
      </c>
      <c r="L63" s="291" t="b">
        <f t="shared" si="1"/>
        <v>0</v>
      </c>
      <c r="M63" s="320">
        <v>369</v>
      </c>
      <c r="N63" s="321" t="s">
        <v>1302</v>
      </c>
      <c r="O63" s="321" t="s">
        <v>1304</v>
      </c>
      <c r="P63" s="321">
        <v>22120</v>
      </c>
      <c r="Q63" s="321" t="s">
        <v>1569</v>
      </c>
      <c r="R63" s="291" t="b">
        <f t="shared" si="2"/>
        <v>0</v>
      </c>
    </row>
    <row r="64" spans="1:18" ht="15" x14ac:dyDescent="0.25">
      <c r="A64" s="314">
        <v>127</v>
      </c>
      <c r="B64" s="315" t="s">
        <v>1012</v>
      </c>
      <c r="C64" s="315" t="s">
        <v>1013</v>
      </c>
      <c r="D64" s="315">
        <v>22595</v>
      </c>
      <c r="E64" s="315" t="s">
        <v>61</v>
      </c>
      <c r="F64" s="291" t="b">
        <f t="shared" si="0"/>
        <v>0</v>
      </c>
      <c r="G64" s="318">
        <v>461</v>
      </c>
      <c r="H64" s="319" t="s">
        <v>1403</v>
      </c>
      <c r="I64" s="319" t="s">
        <v>1411</v>
      </c>
      <c r="J64" s="319">
        <v>22705</v>
      </c>
      <c r="K64" s="319" t="s">
        <v>1568</v>
      </c>
      <c r="L64" s="291" t="b">
        <f t="shared" si="1"/>
        <v>0</v>
      </c>
      <c r="M64" s="320">
        <v>371</v>
      </c>
      <c r="N64" s="321" t="s">
        <v>1306</v>
      </c>
      <c r="O64" s="321" t="s">
        <v>1323</v>
      </c>
      <c r="P64" s="321">
        <v>27960</v>
      </c>
      <c r="Q64" s="321" t="s">
        <v>1569</v>
      </c>
      <c r="R64" s="291" t="b">
        <f t="shared" si="2"/>
        <v>0</v>
      </c>
    </row>
    <row r="65" spans="1:18" ht="15" x14ac:dyDescent="0.25">
      <c r="A65" s="314">
        <v>131</v>
      </c>
      <c r="B65" s="315" t="s">
        <v>1014</v>
      </c>
      <c r="C65" s="315" t="s">
        <v>1591</v>
      </c>
      <c r="D65" s="315">
        <v>29156</v>
      </c>
      <c r="E65" s="315" t="s">
        <v>1590</v>
      </c>
      <c r="F65" s="291" t="b">
        <f t="shared" si="0"/>
        <v>0</v>
      </c>
      <c r="G65" s="318">
        <v>41</v>
      </c>
      <c r="H65" s="319" t="s">
        <v>943</v>
      </c>
      <c r="I65" s="319" t="s">
        <v>948</v>
      </c>
      <c r="J65" s="319">
        <v>28560</v>
      </c>
      <c r="K65" s="319" t="s">
        <v>1568</v>
      </c>
      <c r="L65" s="291" t="b">
        <f t="shared" si="1"/>
        <v>0</v>
      </c>
      <c r="M65" s="320">
        <v>371</v>
      </c>
      <c r="N65" s="321" t="s">
        <v>1306</v>
      </c>
      <c r="O65" s="321" t="s">
        <v>1312</v>
      </c>
      <c r="P65" s="321">
        <v>21860</v>
      </c>
      <c r="Q65" s="321" t="s">
        <v>1569</v>
      </c>
      <c r="R65" s="291" t="b">
        <f t="shared" si="2"/>
        <v>0</v>
      </c>
    </row>
    <row r="66" spans="1:18" ht="15" x14ac:dyDescent="0.25">
      <c r="A66" s="314">
        <v>131</v>
      </c>
      <c r="B66" s="315" t="s">
        <v>1014</v>
      </c>
      <c r="C66" s="315" t="s">
        <v>1018</v>
      </c>
      <c r="D66" s="315">
        <v>20380</v>
      </c>
      <c r="E66" s="315" t="s">
        <v>61</v>
      </c>
      <c r="F66" s="291" t="b">
        <f t="shared" si="0"/>
        <v>0</v>
      </c>
      <c r="G66" s="318">
        <v>111</v>
      </c>
      <c r="H66" s="319" t="s">
        <v>982</v>
      </c>
      <c r="I66" s="319" t="s">
        <v>987</v>
      </c>
      <c r="J66" s="319">
        <v>20270</v>
      </c>
      <c r="K66" s="319" t="s">
        <v>1568</v>
      </c>
      <c r="L66" s="291" t="b">
        <f t="shared" si="1"/>
        <v>0</v>
      </c>
      <c r="M66" s="320">
        <v>388</v>
      </c>
      <c r="N66" s="321" t="s">
        <v>1573</v>
      </c>
      <c r="O66" s="321" t="s">
        <v>1334</v>
      </c>
      <c r="P66" s="321">
        <v>20085</v>
      </c>
      <c r="Q66" s="321" t="s">
        <v>1569</v>
      </c>
      <c r="R66" s="291" t="b">
        <f t="shared" si="2"/>
        <v>0</v>
      </c>
    </row>
    <row r="67" spans="1:18" ht="15" x14ac:dyDescent="0.25">
      <c r="A67" s="314">
        <v>101</v>
      </c>
      <c r="B67" s="315" t="s">
        <v>974</v>
      </c>
      <c r="C67" s="315" t="s">
        <v>978</v>
      </c>
      <c r="D67" s="315">
        <v>20165</v>
      </c>
      <c r="E67" s="315" t="s">
        <v>61</v>
      </c>
      <c r="F67" s="291" t="b">
        <f t="shared" si="0"/>
        <v>0</v>
      </c>
      <c r="G67" s="318">
        <v>476</v>
      </c>
      <c r="H67" s="319" t="s">
        <v>1430</v>
      </c>
      <c r="I67" s="319" t="s">
        <v>1433</v>
      </c>
      <c r="J67" s="319">
        <v>20630</v>
      </c>
      <c r="K67" s="319" t="s">
        <v>1568</v>
      </c>
      <c r="L67" s="291" t="b">
        <f t="shared" si="1"/>
        <v>0</v>
      </c>
      <c r="M67" s="320">
        <v>399</v>
      </c>
      <c r="N67" s="321" t="s">
        <v>1340</v>
      </c>
      <c r="O67" s="321" t="s">
        <v>1342</v>
      </c>
      <c r="P67" s="321">
        <v>23115</v>
      </c>
      <c r="Q67" s="321" t="s">
        <v>1569</v>
      </c>
      <c r="R67" s="291" t="b">
        <f t="shared" si="2"/>
        <v>0</v>
      </c>
    </row>
    <row r="68" spans="1:18" ht="15" x14ac:dyDescent="0.25">
      <c r="A68" s="314">
        <v>363</v>
      </c>
      <c r="B68" s="315" t="s">
        <v>1290</v>
      </c>
      <c r="C68" s="315" t="s">
        <v>1296</v>
      </c>
      <c r="D68" s="315">
        <v>21665</v>
      </c>
      <c r="E68" s="315" t="s">
        <v>61</v>
      </c>
      <c r="F68" s="291" t="b">
        <f t="shared" ref="F68:F131" si="3">C68=C69</f>
        <v>0</v>
      </c>
      <c r="G68" s="318">
        <v>491</v>
      </c>
      <c r="H68" s="319" t="s">
        <v>1442</v>
      </c>
      <c r="I68" s="319" t="s">
        <v>1443</v>
      </c>
      <c r="J68" s="319">
        <v>22830</v>
      </c>
      <c r="K68" s="319" t="s">
        <v>1568</v>
      </c>
      <c r="L68" s="291" t="b">
        <f t="shared" ref="L68:L77" si="4">I68=I69</f>
        <v>0</v>
      </c>
      <c r="M68" s="320">
        <v>401</v>
      </c>
      <c r="N68" s="321" t="s">
        <v>1344</v>
      </c>
      <c r="O68" s="321" t="s">
        <v>1346</v>
      </c>
      <c r="P68" s="321">
        <v>21985</v>
      </c>
      <c r="Q68" s="321" t="s">
        <v>1569</v>
      </c>
      <c r="R68" s="291" t="b">
        <f t="shared" ref="R68:R98" si="5">O68=O69</f>
        <v>0</v>
      </c>
    </row>
    <row r="69" spans="1:18" ht="15" x14ac:dyDescent="0.25">
      <c r="A69" s="314">
        <v>267</v>
      </c>
      <c r="B69" s="315" t="s">
        <v>1145</v>
      </c>
      <c r="C69" s="315" t="s">
        <v>1146</v>
      </c>
      <c r="D69" s="315">
        <v>21045</v>
      </c>
      <c r="E69" s="315" t="s">
        <v>61</v>
      </c>
      <c r="F69" s="291" t="b">
        <f t="shared" si="3"/>
        <v>0</v>
      </c>
      <c r="G69" s="318">
        <v>112</v>
      </c>
      <c r="H69" s="319" t="s">
        <v>990</v>
      </c>
      <c r="I69" s="319" t="s">
        <v>999</v>
      </c>
      <c r="J69" s="319">
        <v>22295</v>
      </c>
      <c r="K69" s="319" t="s">
        <v>1568</v>
      </c>
      <c r="L69" s="291" t="b">
        <f t="shared" si="4"/>
        <v>0</v>
      </c>
      <c r="M69" s="320">
        <v>740</v>
      </c>
      <c r="N69" s="321" t="s">
        <v>1556</v>
      </c>
      <c r="O69" s="321" t="s">
        <v>1556</v>
      </c>
      <c r="P69" s="321">
        <v>29105</v>
      </c>
      <c r="Q69" s="321" t="s">
        <v>1569</v>
      </c>
      <c r="R69" s="291" t="b">
        <f t="shared" si="5"/>
        <v>0</v>
      </c>
    </row>
    <row r="70" spans="1:18" ht="15" x14ac:dyDescent="0.25">
      <c r="A70" s="314">
        <v>473</v>
      </c>
      <c r="B70" s="315" t="s">
        <v>1422</v>
      </c>
      <c r="C70" s="315" t="s">
        <v>1429</v>
      </c>
      <c r="D70" s="315">
        <v>22895</v>
      </c>
      <c r="E70" s="315" t="s">
        <v>61</v>
      </c>
      <c r="F70" s="291" t="b">
        <f t="shared" si="3"/>
        <v>0</v>
      </c>
      <c r="G70" s="318">
        <v>335</v>
      </c>
      <c r="H70" s="319" t="s">
        <v>914</v>
      </c>
      <c r="I70" s="319" t="s">
        <v>1236</v>
      </c>
      <c r="J70" s="319">
        <v>21575</v>
      </c>
      <c r="K70" s="319" t="s">
        <v>1568</v>
      </c>
      <c r="L70" s="291" t="b">
        <f t="shared" si="4"/>
        <v>0</v>
      </c>
      <c r="M70" s="320">
        <v>703</v>
      </c>
      <c r="N70" s="321" t="s">
        <v>1519</v>
      </c>
      <c r="O70" s="321" t="s">
        <v>1521</v>
      </c>
      <c r="P70" s="321">
        <v>28395</v>
      </c>
      <c r="Q70" s="321" t="s">
        <v>1569</v>
      </c>
      <c r="R70" s="291" t="b">
        <f t="shared" si="5"/>
        <v>0</v>
      </c>
    </row>
    <row r="71" spans="1:18" ht="15" x14ac:dyDescent="0.25">
      <c r="A71" s="314">
        <v>371</v>
      </c>
      <c r="B71" s="315" t="s">
        <v>1306</v>
      </c>
      <c r="C71" s="315" t="s">
        <v>1308</v>
      </c>
      <c r="D71" s="315">
        <v>21835</v>
      </c>
      <c r="E71" s="315" t="s">
        <v>61</v>
      </c>
      <c r="F71" s="291" t="b">
        <f t="shared" si="3"/>
        <v>0</v>
      </c>
      <c r="G71" s="318">
        <v>515</v>
      </c>
      <c r="H71" s="319" t="s">
        <v>1463</v>
      </c>
      <c r="I71" s="319" t="s">
        <v>1574</v>
      </c>
      <c r="J71" s="319">
        <v>26965</v>
      </c>
      <c r="K71" s="319" t="s">
        <v>1568</v>
      </c>
      <c r="L71" s="291" t="b">
        <f t="shared" si="4"/>
        <v>0</v>
      </c>
      <c r="M71" s="320">
        <v>359</v>
      </c>
      <c r="N71" s="321" t="s">
        <v>1286</v>
      </c>
      <c r="O71" s="321" t="s">
        <v>1288</v>
      </c>
      <c r="P71" s="321">
        <v>22070</v>
      </c>
      <c r="Q71" s="321" t="s">
        <v>1569</v>
      </c>
      <c r="R71" s="291" t="b">
        <f t="shared" si="5"/>
        <v>0</v>
      </c>
    </row>
    <row r="72" spans="1:18" ht="15" x14ac:dyDescent="0.25">
      <c r="A72" s="314">
        <v>112</v>
      </c>
      <c r="B72" s="315" t="s">
        <v>990</v>
      </c>
      <c r="C72" s="315" t="s">
        <v>994</v>
      </c>
      <c r="D72" s="315">
        <v>22230</v>
      </c>
      <c r="E72" s="315" t="s">
        <v>61</v>
      </c>
      <c r="F72" s="291" t="b">
        <f t="shared" si="3"/>
        <v>0</v>
      </c>
      <c r="G72" s="318">
        <v>534</v>
      </c>
      <c r="H72" s="319" t="s">
        <v>1470</v>
      </c>
      <c r="I72" s="319" t="s">
        <v>1474</v>
      </c>
      <c r="J72" s="319">
        <v>22760</v>
      </c>
      <c r="K72" s="319" t="s">
        <v>1568</v>
      </c>
      <c r="L72" s="291" t="b">
        <f t="shared" si="4"/>
        <v>0</v>
      </c>
      <c r="M72" s="320">
        <v>423</v>
      </c>
      <c r="N72" s="321" t="s">
        <v>1358</v>
      </c>
      <c r="O72" s="321" t="s">
        <v>1361</v>
      </c>
      <c r="P72" s="321">
        <v>22800</v>
      </c>
      <c r="Q72" s="321" t="s">
        <v>1569</v>
      </c>
      <c r="R72" s="291" t="b">
        <f t="shared" si="5"/>
        <v>0</v>
      </c>
    </row>
    <row r="73" spans="1:18" ht="15" x14ac:dyDescent="0.25">
      <c r="A73" s="314">
        <v>149</v>
      </c>
      <c r="B73" s="315" t="s">
        <v>1031</v>
      </c>
      <c r="C73" s="315" t="s">
        <v>1032</v>
      </c>
      <c r="D73" s="315">
        <v>20685</v>
      </c>
      <c r="E73" s="315" t="s">
        <v>61</v>
      </c>
      <c r="F73" s="291" t="b">
        <f t="shared" si="3"/>
        <v>0</v>
      </c>
      <c r="G73" s="318">
        <v>555</v>
      </c>
      <c r="H73" s="319" t="s">
        <v>1488</v>
      </c>
      <c r="I73" s="319" t="s">
        <v>1490</v>
      </c>
      <c r="J73" s="319">
        <v>20720</v>
      </c>
      <c r="K73" s="319" t="s">
        <v>1568</v>
      </c>
      <c r="L73" s="291" t="b">
        <f t="shared" si="4"/>
        <v>0</v>
      </c>
      <c r="M73" s="320">
        <v>728</v>
      </c>
      <c r="N73" s="321" t="s">
        <v>1546</v>
      </c>
      <c r="O73" s="321" t="s">
        <v>1546</v>
      </c>
      <c r="P73" s="321">
        <v>29035</v>
      </c>
      <c r="Q73" s="321" t="s">
        <v>1569</v>
      </c>
      <c r="R73" s="291" t="b">
        <f t="shared" si="5"/>
        <v>0</v>
      </c>
    </row>
    <row r="74" spans="1:18" ht="15" x14ac:dyDescent="0.25">
      <c r="A74" s="314">
        <v>33</v>
      </c>
      <c r="B74" s="315" t="s">
        <v>935</v>
      </c>
      <c r="C74" s="315" t="s">
        <v>938</v>
      </c>
      <c r="D74" s="315">
        <v>29010</v>
      </c>
      <c r="E74" s="315" t="s">
        <v>61</v>
      </c>
      <c r="F74" s="291" t="b">
        <f t="shared" si="3"/>
        <v>0</v>
      </c>
      <c r="G74" s="318">
        <v>131</v>
      </c>
      <c r="H74" s="319" t="s">
        <v>1014</v>
      </c>
      <c r="I74" s="319" t="s">
        <v>1015</v>
      </c>
      <c r="J74" s="319">
        <v>27065</v>
      </c>
      <c r="K74" s="319" t="s">
        <v>1568</v>
      </c>
      <c r="L74" s="291" t="b">
        <f t="shared" si="4"/>
        <v>0</v>
      </c>
      <c r="M74" s="320">
        <v>425</v>
      </c>
      <c r="N74" s="321" t="s">
        <v>1363</v>
      </c>
      <c r="O74" s="321" t="s">
        <v>1365</v>
      </c>
      <c r="P74" s="321">
        <v>21105</v>
      </c>
      <c r="Q74" s="321" t="s">
        <v>1569</v>
      </c>
      <c r="R74" s="291" t="b">
        <f t="shared" si="5"/>
        <v>0</v>
      </c>
    </row>
    <row r="75" spans="1:18" ht="15" x14ac:dyDescent="0.25">
      <c r="A75" s="314">
        <v>131</v>
      </c>
      <c r="B75" s="315" t="s">
        <v>1014</v>
      </c>
      <c r="C75" s="315" t="s">
        <v>1017</v>
      </c>
      <c r="D75" s="315">
        <v>20370</v>
      </c>
      <c r="E75" s="315" t="s">
        <v>61</v>
      </c>
      <c r="F75" s="291" t="b">
        <f t="shared" si="3"/>
        <v>0</v>
      </c>
      <c r="G75" s="318">
        <v>572</v>
      </c>
      <c r="H75" s="319" t="s">
        <v>1499</v>
      </c>
      <c r="I75" s="319" t="s">
        <v>1503</v>
      </c>
      <c r="J75" s="319">
        <v>26955</v>
      </c>
      <c r="K75" s="319" t="s">
        <v>1568</v>
      </c>
      <c r="L75" s="291" t="b">
        <f t="shared" si="4"/>
        <v>0</v>
      </c>
      <c r="M75" s="320">
        <v>427</v>
      </c>
      <c r="N75" s="321" t="s">
        <v>1367</v>
      </c>
      <c r="O75" s="321" t="s">
        <v>1369</v>
      </c>
      <c r="P75" s="321">
        <v>22620</v>
      </c>
      <c r="Q75" s="321" t="s">
        <v>1569</v>
      </c>
      <c r="R75" s="291" t="b">
        <f t="shared" si="5"/>
        <v>0</v>
      </c>
    </row>
    <row r="76" spans="1:18" ht="15" x14ac:dyDescent="0.25">
      <c r="A76" s="314">
        <v>153</v>
      </c>
      <c r="B76" s="315" t="s">
        <v>1033</v>
      </c>
      <c r="C76" s="315" t="s">
        <v>1034</v>
      </c>
      <c r="D76" s="315">
        <v>20565</v>
      </c>
      <c r="E76" s="315" t="s">
        <v>61</v>
      </c>
      <c r="F76" s="291" t="b">
        <f t="shared" si="3"/>
        <v>0</v>
      </c>
      <c r="G76" s="318">
        <v>582</v>
      </c>
      <c r="H76" s="319" t="s">
        <v>1512</v>
      </c>
      <c r="I76" s="319" t="s">
        <v>1516</v>
      </c>
      <c r="J76" s="319">
        <v>22955</v>
      </c>
      <c r="K76" s="319" t="s">
        <v>1568</v>
      </c>
      <c r="L76" s="291" t="b">
        <f t="shared" si="4"/>
        <v>0</v>
      </c>
      <c r="M76" s="320">
        <v>437</v>
      </c>
      <c r="N76" s="321" t="s">
        <v>1376</v>
      </c>
      <c r="O76" s="321" t="s">
        <v>1378</v>
      </c>
      <c r="P76" s="321">
        <v>26500</v>
      </c>
      <c r="Q76" s="321" t="s">
        <v>1569</v>
      </c>
      <c r="R76" s="291" t="b">
        <f t="shared" si="5"/>
        <v>0</v>
      </c>
    </row>
    <row r="77" spans="1:18" ht="15" x14ac:dyDescent="0.25">
      <c r="A77" s="314">
        <v>461</v>
      </c>
      <c r="B77" s="315" t="s">
        <v>1403</v>
      </c>
      <c r="C77" s="315" t="s">
        <v>1404</v>
      </c>
      <c r="D77" s="315">
        <v>22650</v>
      </c>
      <c r="E77" s="315" t="s">
        <v>61</v>
      </c>
      <c r="F77" s="291" t="b">
        <f t="shared" si="3"/>
        <v>0</v>
      </c>
      <c r="G77" s="318">
        <v>473</v>
      </c>
      <c r="H77" s="319" t="s">
        <v>1422</v>
      </c>
      <c r="I77" s="319" t="s">
        <v>1423</v>
      </c>
      <c r="J77" s="319">
        <v>22850</v>
      </c>
      <c r="K77" s="319" t="s">
        <v>1568</v>
      </c>
      <c r="L77" s="291" t="b">
        <f t="shared" si="4"/>
        <v>0</v>
      </c>
      <c r="M77" s="320">
        <v>439</v>
      </c>
      <c r="N77" s="321" t="s">
        <v>1379</v>
      </c>
      <c r="O77" s="321" t="s">
        <v>1382</v>
      </c>
      <c r="P77" s="321">
        <v>22500</v>
      </c>
      <c r="Q77" s="321" t="s">
        <v>1569</v>
      </c>
      <c r="R77" s="291" t="b">
        <f t="shared" si="5"/>
        <v>0</v>
      </c>
    </row>
    <row r="78" spans="1:18" ht="15" x14ac:dyDescent="0.25">
      <c r="A78" s="314">
        <v>203</v>
      </c>
      <c r="B78" s="315" t="s">
        <v>1083</v>
      </c>
      <c r="C78" s="315" t="s">
        <v>1084</v>
      </c>
      <c r="D78" s="315">
        <v>20745</v>
      </c>
      <c r="E78" s="315" t="s">
        <v>61</v>
      </c>
      <c r="F78" s="291" t="b">
        <f t="shared" si="3"/>
        <v>0</v>
      </c>
      <c r="M78" s="320">
        <v>428</v>
      </c>
      <c r="N78" s="321" t="s">
        <v>1372</v>
      </c>
      <c r="O78" s="321" t="s">
        <v>1373</v>
      </c>
      <c r="P78" s="321">
        <v>22350</v>
      </c>
      <c r="Q78" s="321" t="s">
        <v>1569</v>
      </c>
      <c r="R78" s="291" t="b">
        <f t="shared" si="5"/>
        <v>0</v>
      </c>
    </row>
    <row r="79" spans="1:18" ht="15" x14ac:dyDescent="0.25">
      <c r="A79" s="314">
        <v>208</v>
      </c>
      <c r="B79" s="315" t="s">
        <v>1087</v>
      </c>
      <c r="C79" s="315" t="s">
        <v>1088</v>
      </c>
      <c r="D79" s="315">
        <v>22395</v>
      </c>
      <c r="E79" s="315" t="s">
        <v>61</v>
      </c>
      <c r="F79" s="291" t="b">
        <f t="shared" si="3"/>
        <v>0</v>
      </c>
      <c r="M79" s="320">
        <v>449</v>
      </c>
      <c r="N79" s="321" t="s">
        <v>1387</v>
      </c>
      <c r="O79" s="321" t="s">
        <v>1392</v>
      </c>
      <c r="P79" s="321">
        <v>22565</v>
      </c>
      <c r="Q79" s="321" t="s">
        <v>1569</v>
      </c>
      <c r="R79" s="291" t="b">
        <f t="shared" si="5"/>
        <v>0</v>
      </c>
    </row>
    <row r="80" spans="1:18" ht="15" x14ac:dyDescent="0.25">
      <c r="A80" s="314">
        <v>189</v>
      </c>
      <c r="B80" s="315" t="s">
        <v>1070</v>
      </c>
      <c r="C80" s="315" t="s">
        <v>1071</v>
      </c>
      <c r="D80" s="315">
        <v>20525</v>
      </c>
      <c r="E80" s="315" t="s">
        <v>61</v>
      </c>
      <c r="F80" s="291" t="b">
        <f t="shared" si="3"/>
        <v>0</v>
      </c>
      <c r="M80" s="320">
        <v>450</v>
      </c>
      <c r="N80" s="321" t="s">
        <v>1393</v>
      </c>
      <c r="O80" s="321" t="s">
        <v>1394</v>
      </c>
      <c r="P80" s="321">
        <v>21395</v>
      </c>
      <c r="Q80" s="321" t="s">
        <v>1569</v>
      </c>
      <c r="R80" s="291" t="b">
        <f t="shared" si="5"/>
        <v>0</v>
      </c>
    </row>
    <row r="81" spans="1:18" ht="15" x14ac:dyDescent="0.25">
      <c r="A81" s="314">
        <v>285</v>
      </c>
      <c r="B81" s="315" t="s">
        <v>1181</v>
      </c>
      <c r="C81" s="315" t="s">
        <v>1186</v>
      </c>
      <c r="D81" s="315">
        <v>21290</v>
      </c>
      <c r="E81" s="315" t="s">
        <v>61</v>
      </c>
      <c r="F81" s="291" t="b">
        <f t="shared" si="3"/>
        <v>0</v>
      </c>
      <c r="M81" s="320">
        <v>453</v>
      </c>
      <c r="N81" s="321" t="s">
        <v>1396</v>
      </c>
      <c r="O81" s="321" t="s">
        <v>1398</v>
      </c>
      <c r="P81" s="321">
        <v>21390</v>
      </c>
      <c r="Q81" s="321" t="s">
        <v>1569</v>
      </c>
      <c r="R81" s="291" t="b">
        <f t="shared" si="5"/>
        <v>0</v>
      </c>
    </row>
    <row r="82" spans="1:18" ht="15" x14ac:dyDescent="0.25">
      <c r="A82" s="314">
        <v>343</v>
      </c>
      <c r="B82" s="315" t="s">
        <v>1255</v>
      </c>
      <c r="C82" s="315" t="s">
        <v>1258</v>
      </c>
      <c r="D82" s="315">
        <v>21325</v>
      </c>
      <c r="E82" s="315" t="s">
        <v>61</v>
      </c>
      <c r="F82" s="291" t="b">
        <f t="shared" si="3"/>
        <v>0</v>
      </c>
      <c r="M82" s="320">
        <v>457</v>
      </c>
      <c r="N82" s="321" t="s">
        <v>1400</v>
      </c>
      <c r="O82" s="321" t="s">
        <v>1402</v>
      </c>
      <c r="P82" s="321">
        <v>29197</v>
      </c>
      <c r="Q82" s="321" t="s">
        <v>1569</v>
      </c>
      <c r="R82" s="291" t="b">
        <f t="shared" si="5"/>
        <v>0</v>
      </c>
    </row>
    <row r="83" spans="1:18" ht="15" x14ac:dyDescent="0.25">
      <c r="A83" s="314">
        <v>165</v>
      </c>
      <c r="B83" s="315" t="s">
        <v>1035</v>
      </c>
      <c r="C83" s="315" t="s">
        <v>1037</v>
      </c>
      <c r="D83" s="315">
        <v>26510</v>
      </c>
      <c r="E83" s="315" t="s">
        <v>61</v>
      </c>
      <c r="F83" s="291" t="b">
        <f t="shared" si="3"/>
        <v>0</v>
      </c>
      <c r="M83" s="320">
        <v>473</v>
      </c>
      <c r="N83" s="321" t="s">
        <v>1422</v>
      </c>
      <c r="O83" s="321" t="s">
        <v>1427</v>
      </c>
      <c r="P83" s="321">
        <v>22880</v>
      </c>
      <c r="Q83" s="321" t="s">
        <v>1569</v>
      </c>
      <c r="R83" s="291" t="b">
        <f t="shared" si="5"/>
        <v>0</v>
      </c>
    </row>
    <row r="84" spans="1:18" ht="15" x14ac:dyDescent="0.25">
      <c r="A84" s="314">
        <v>167</v>
      </c>
      <c r="B84" s="315" t="s">
        <v>1038</v>
      </c>
      <c r="C84" s="315" t="s">
        <v>1039</v>
      </c>
      <c r="D84" s="315">
        <v>22600</v>
      </c>
      <c r="E84" s="315" t="s">
        <v>61</v>
      </c>
      <c r="F84" s="291" t="b">
        <f t="shared" si="3"/>
        <v>0</v>
      </c>
      <c r="M84" s="320">
        <v>476</v>
      </c>
      <c r="N84" s="321" t="s">
        <v>1430</v>
      </c>
      <c r="O84" s="321" t="s">
        <v>1431</v>
      </c>
      <c r="P84" s="321">
        <v>20620</v>
      </c>
      <c r="Q84" s="321" t="s">
        <v>1569</v>
      </c>
      <c r="R84" s="291" t="b">
        <f t="shared" si="5"/>
        <v>0</v>
      </c>
    </row>
    <row r="85" spans="1:18" ht="15" x14ac:dyDescent="0.25">
      <c r="A85" s="314">
        <v>131</v>
      </c>
      <c r="B85" s="315" t="s">
        <v>1014</v>
      </c>
      <c r="C85" s="315" t="s">
        <v>1016</v>
      </c>
      <c r="D85" s="315">
        <v>28465</v>
      </c>
      <c r="E85" s="315" t="s">
        <v>61</v>
      </c>
      <c r="F85" s="291" t="b">
        <f t="shared" si="3"/>
        <v>0</v>
      </c>
      <c r="M85" s="320">
        <v>491</v>
      </c>
      <c r="N85" s="321" t="s">
        <v>1442</v>
      </c>
      <c r="O85" s="321" t="s">
        <v>1444</v>
      </c>
      <c r="P85" s="321">
        <v>22845</v>
      </c>
      <c r="Q85" s="321" t="s">
        <v>1569</v>
      </c>
      <c r="R85" s="291" t="b">
        <f t="shared" si="5"/>
        <v>0</v>
      </c>
    </row>
    <row r="86" spans="1:18" ht="15" x14ac:dyDescent="0.25">
      <c r="A86" s="314">
        <v>171</v>
      </c>
      <c r="B86" s="315" t="s">
        <v>1040</v>
      </c>
      <c r="C86" s="315" t="s">
        <v>1041</v>
      </c>
      <c r="D86" s="315">
        <v>20735</v>
      </c>
      <c r="E86" s="315" t="s">
        <v>61</v>
      </c>
      <c r="F86" s="291" t="b">
        <f t="shared" si="3"/>
        <v>0</v>
      </c>
      <c r="M86" s="320">
        <v>493</v>
      </c>
      <c r="N86" s="321" t="s">
        <v>1447</v>
      </c>
      <c r="O86" s="321" t="s">
        <v>1448</v>
      </c>
      <c r="P86" s="321">
        <v>26860</v>
      </c>
      <c r="Q86" s="321" t="s">
        <v>1569</v>
      </c>
      <c r="R86" s="291" t="b">
        <f t="shared" si="5"/>
        <v>0</v>
      </c>
    </row>
    <row r="87" spans="1:18" ht="15" x14ac:dyDescent="0.25">
      <c r="A87" s="314">
        <v>371</v>
      </c>
      <c r="B87" s="315" t="s">
        <v>1306</v>
      </c>
      <c r="C87" s="315" t="s">
        <v>1309</v>
      </c>
      <c r="D87" s="315">
        <v>21840</v>
      </c>
      <c r="E87" s="315" t="s">
        <v>61</v>
      </c>
      <c r="F87" s="291" t="b">
        <f t="shared" si="3"/>
        <v>0</v>
      </c>
      <c r="M87" s="320">
        <v>461</v>
      </c>
      <c r="N87" s="321" t="s">
        <v>1403</v>
      </c>
      <c r="O87" s="321" t="s">
        <v>1410</v>
      </c>
      <c r="P87" s="321">
        <v>22700</v>
      </c>
      <c r="Q87" s="321" t="s">
        <v>1569</v>
      </c>
      <c r="R87" s="291" t="b">
        <f t="shared" si="5"/>
        <v>0</v>
      </c>
    </row>
    <row r="88" spans="1:18" ht="15" x14ac:dyDescent="0.25">
      <c r="A88" s="314">
        <v>174</v>
      </c>
      <c r="B88" s="315" t="s">
        <v>1048</v>
      </c>
      <c r="C88" s="315" t="s">
        <v>1592</v>
      </c>
      <c r="D88" s="315">
        <v>27395</v>
      </c>
      <c r="E88" s="315" t="s">
        <v>1590</v>
      </c>
      <c r="F88" s="291" t="b">
        <f t="shared" si="3"/>
        <v>0</v>
      </c>
      <c r="M88" s="320">
        <v>101</v>
      </c>
      <c r="N88" s="321" t="s">
        <v>974</v>
      </c>
      <c r="O88" s="321" t="s">
        <v>976</v>
      </c>
      <c r="P88" s="321">
        <v>20140</v>
      </c>
      <c r="Q88" s="321" t="s">
        <v>1569</v>
      </c>
      <c r="R88" s="291" t="b">
        <f t="shared" si="5"/>
        <v>0</v>
      </c>
    </row>
    <row r="89" spans="1:18" ht="15" x14ac:dyDescent="0.25">
      <c r="A89" s="314">
        <v>572</v>
      </c>
      <c r="B89" s="315" t="s">
        <v>1499</v>
      </c>
      <c r="C89" s="315" t="s">
        <v>1501</v>
      </c>
      <c r="D89" s="315">
        <v>23060</v>
      </c>
      <c r="E89" s="315" t="s">
        <v>61</v>
      </c>
      <c r="F89" s="291" t="b">
        <f t="shared" si="3"/>
        <v>0</v>
      </c>
      <c r="M89" s="320">
        <v>515</v>
      </c>
      <c r="N89" s="321" t="s">
        <v>1463</v>
      </c>
      <c r="O89" s="321" t="s">
        <v>1464</v>
      </c>
      <c r="P89" s="321">
        <v>22000</v>
      </c>
      <c r="Q89" s="321" t="s">
        <v>1569</v>
      </c>
      <c r="R89" s="291" t="b">
        <f t="shared" si="5"/>
        <v>0</v>
      </c>
    </row>
    <row r="90" spans="1:18" ht="15" x14ac:dyDescent="0.25">
      <c r="A90" s="314">
        <v>142</v>
      </c>
      <c r="B90" s="315" t="s">
        <v>1028</v>
      </c>
      <c r="C90" s="315" t="s">
        <v>1030</v>
      </c>
      <c r="D90" s="315">
        <v>20825</v>
      </c>
      <c r="E90" s="315" t="s">
        <v>61</v>
      </c>
      <c r="F90" s="291" t="b">
        <f t="shared" si="3"/>
        <v>0</v>
      </c>
      <c r="M90" s="320">
        <v>741</v>
      </c>
      <c r="N90" s="321" t="s">
        <v>1557</v>
      </c>
      <c r="O90" s="321" t="s">
        <v>1558</v>
      </c>
      <c r="P90" s="321">
        <v>29149</v>
      </c>
      <c r="Q90" s="321" t="s">
        <v>1569</v>
      </c>
      <c r="R90" s="291" t="b">
        <f t="shared" si="5"/>
        <v>0</v>
      </c>
    </row>
    <row r="91" spans="1:18" ht="15" x14ac:dyDescent="0.25">
      <c r="A91" s="314">
        <v>112</v>
      </c>
      <c r="B91" s="315" t="s">
        <v>990</v>
      </c>
      <c r="C91" s="315" t="s">
        <v>995</v>
      </c>
      <c r="D91" s="315">
        <v>22245</v>
      </c>
      <c r="E91" s="315" t="s">
        <v>61</v>
      </c>
      <c r="F91" s="291" t="b">
        <f t="shared" si="3"/>
        <v>0</v>
      </c>
      <c r="M91" s="320">
        <v>534</v>
      </c>
      <c r="N91" s="321" t="s">
        <v>1470</v>
      </c>
      <c r="O91" s="321" t="s">
        <v>1476</v>
      </c>
      <c r="P91" s="321">
        <v>22770</v>
      </c>
      <c r="Q91" s="321" t="s">
        <v>1569</v>
      </c>
      <c r="R91" s="291" t="b">
        <f t="shared" si="5"/>
        <v>0</v>
      </c>
    </row>
    <row r="92" spans="1:18" ht="15" x14ac:dyDescent="0.25">
      <c r="A92" s="314">
        <v>185</v>
      </c>
      <c r="B92" s="315" t="s">
        <v>1064</v>
      </c>
      <c r="C92" s="315" t="s">
        <v>1593</v>
      </c>
      <c r="D92" s="315">
        <v>26795</v>
      </c>
      <c r="E92" s="315" t="s">
        <v>1590</v>
      </c>
      <c r="F92" s="291" t="b">
        <f t="shared" si="3"/>
        <v>0</v>
      </c>
      <c r="M92" s="320">
        <v>727</v>
      </c>
      <c r="N92" s="321" t="s">
        <v>1543</v>
      </c>
      <c r="O92" s="321" t="s">
        <v>1545</v>
      </c>
      <c r="P92" s="321">
        <v>28605</v>
      </c>
      <c r="Q92" s="321" t="s">
        <v>1569</v>
      </c>
      <c r="R92" s="291" t="b">
        <f t="shared" si="5"/>
        <v>0</v>
      </c>
    </row>
    <row r="93" spans="1:18" ht="15" x14ac:dyDescent="0.25">
      <c r="A93" s="314">
        <v>279</v>
      </c>
      <c r="B93" s="315" t="s">
        <v>1172</v>
      </c>
      <c r="C93" s="315" t="s">
        <v>1176</v>
      </c>
      <c r="D93" s="315">
        <v>21190</v>
      </c>
      <c r="E93" s="315" t="s">
        <v>61</v>
      </c>
      <c r="F93" s="291" t="b">
        <f t="shared" si="3"/>
        <v>0</v>
      </c>
      <c r="M93" s="320">
        <v>568</v>
      </c>
      <c r="N93" s="321" t="s">
        <v>1495</v>
      </c>
      <c r="O93" s="321" t="s">
        <v>1498</v>
      </c>
      <c r="P93" s="321">
        <v>21480</v>
      </c>
      <c r="Q93" s="321" t="s">
        <v>1569</v>
      </c>
      <c r="R93" s="291" t="b">
        <f t="shared" si="5"/>
        <v>0</v>
      </c>
    </row>
    <row r="94" spans="1:18" ht="15" x14ac:dyDescent="0.25">
      <c r="A94" s="314">
        <v>185</v>
      </c>
      <c r="B94" s="315" t="s">
        <v>1064</v>
      </c>
      <c r="C94" s="315" t="s">
        <v>1067</v>
      </c>
      <c r="D94" s="315">
        <v>26755</v>
      </c>
      <c r="E94" s="315" t="s">
        <v>61</v>
      </c>
      <c r="F94" s="291" t="b">
        <f t="shared" si="3"/>
        <v>0</v>
      </c>
      <c r="M94" s="320">
        <v>572</v>
      </c>
      <c r="N94" s="321" t="s">
        <v>1499</v>
      </c>
      <c r="O94" s="321" t="s">
        <v>1502</v>
      </c>
      <c r="P94" s="321">
        <v>23070</v>
      </c>
      <c r="Q94" s="321" t="s">
        <v>1569</v>
      </c>
      <c r="R94" s="291" t="b">
        <f t="shared" si="5"/>
        <v>0</v>
      </c>
    </row>
    <row r="95" spans="1:18" ht="15" x14ac:dyDescent="0.25">
      <c r="A95" s="314">
        <v>261</v>
      </c>
      <c r="B95" s="315" t="s">
        <v>1136</v>
      </c>
      <c r="C95" s="315" t="s">
        <v>1138</v>
      </c>
      <c r="D95" s="315">
        <v>20550</v>
      </c>
      <c r="E95" s="315" t="s">
        <v>61</v>
      </c>
      <c r="F95" s="291" t="b">
        <f t="shared" si="3"/>
        <v>0</v>
      </c>
      <c r="M95" s="320">
        <v>575</v>
      </c>
      <c r="N95" s="321" t="s">
        <v>1505</v>
      </c>
      <c r="O95" s="321" t="s">
        <v>1509</v>
      </c>
      <c r="P95" s="321">
        <v>28640</v>
      </c>
      <c r="Q95" s="321" t="s">
        <v>1569</v>
      </c>
      <c r="R95" s="291" t="b">
        <f t="shared" si="5"/>
        <v>0</v>
      </c>
    </row>
    <row r="96" spans="1:18" ht="15" x14ac:dyDescent="0.25">
      <c r="A96" s="314">
        <v>187</v>
      </c>
      <c r="B96" s="315" t="s">
        <v>1068</v>
      </c>
      <c r="C96" s="315" t="s">
        <v>1069</v>
      </c>
      <c r="D96" s="315">
        <v>20350</v>
      </c>
      <c r="E96" s="315" t="s">
        <v>61</v>
      </c>
      <c r="F96" s="291" t="b">
        <f t="shared" si="3"/>
        <v>0</v>
      </c>
      <c r="M96" s="320">
        <v>581</v>
      </c>
      <c r="N96" s="321" t="s">
        <v>1510</v>
      </c>
      <c r="O96" s="321" t="s">
        <v>1511</v>
      </c>
      <c r="P96" s="321">
        <v>20780</v>
      </c>
      <c r="Q96" s="321" t="s">
        <v>1569</v>
      </c>
      <c r="R96" s="291" t="b">
        <f t="shared" si="5"/>
        <v>0</v>
      </c>
    </row>
    <row r="97" spans="1:18" ht="15" x14ac:dyDescent="0.25">
      <c r="A97" s="314">
        <v>279</v>
      </c>
      <c r="B97" s="315" t="s">
        <v>1172</v>
      </c>
      <c r="C97" s="315" t="s">
        <v>1173</v>
      </c>
      <c r="D97" s="315">
        <v>21165</v>
      </c>
      <c r="E97" s="315" t="s">
        <v>61</v>
      </c>
      <c r="F97" s="291" t="b">
        <f t="shared" si="3"/>
        <v>0</v>
      </c>
      <c r="M97" s="320">
        <v>582</v>
      </c>
      <c r="N97" s="321" t="s">
        <v>1512</v>
      </c>
      <c r="O97" s="321" t="s">
        <v>1515</v>
      </c>
      <c r="P97" s="321">
        <v>22950</v>
      </c>
      <c r="Q97" s="321" t="s">
        <v>1569</v>
      </c>
      <c r="R97" s="291" t="b">
        <f t="shared" si="5"/>
        <v>0</v>
      </c>
    </row>
    <row r="98" spans="1:18" ht="15" x14ac:dyDescent="0.25">
      <c r="A98" s="314">
        <v>141</v>
      </c>
      <c r="B98" s="315" t="s">
        <v>1022</v>
      </c>
      <c r="C98" s="315" t="s">
        <v>1023</v>
      </c>
      <c r="D98" s="315">
        <v>20430</v>
      </c>
      <c r="E98" s="315" t="s">
        <v>61</v>
      </c>
      <c r="F98" s="291" t="b">
        <f t="shared" si="3"/>
        <v>0</v>
      </c>
      <c r="M98" s="320">
        <v>238</v>
      </c>
      <c r="N98" s="321" t="s">
        <v>1112</v>
      </c>
      <c r="O98" s="321" t="s">
        <v>1114</v>
      </c>
      <c r="P98" s="321">
        <v>20910</v>
      </c>
      <c r="Q98" s="321" t="s">
        <v>1569</v>
      </c>
      <c r="R98" s="291" t="b">
        <f t="shared" si="5"/>
        <v>0</v>
      </c>
    </row>
    <row r="99" spans="1:18" ht="15" x14ac:dyDescent="0.25">
      <c r="A99" s="314">
        <v>742</v>
      </c>
      <c r="B99" s="315" t="s">
        <v>1560</v>
      </c>
      <c r="C99" s="315" t="s">
        <v>1561</v>
      </c>
      <c r="D99" s="315">
        <v>29151</v>
      </c>
      <c r="E99" s="315" t="s">
        <v>61</v>
      </c>
      <c r="F99" s="291" t="b">
        <f t="shared" si="3"/>
        <v>0</v>
      </c>
    </row>
    <row r="100" spans="1:18" ht="15" x14ac:dyDescent="0.25">
      <c r="A100" s="314">
        <v>191</v>
      </c>
      <c r="B100" s="315" t="s">
        <v>1072</v>
      </c>
      <c r="C100" s="315" t="s">
        <v>1074</v>
      </c>
      <c r="D100" s="315">
        <v>21245</v>
      </c>
      <c r="E100" s="315" t="s">
        <v>61</v>
      </c>
      <c r="F100" s="291" t="b">
        <f t="shared" si="3"/>
        <v>0</v>
      </c>
    </row>
    <row r="101" spans="1:18" ht="15" x14ac:dyDescent="0.25">
      <c r="A101" s="314">
        <v>195</v>
      </c>
      <c r="B101" s="315" t="s">
        <v>1076</v>
      </c>
      <c r="C101" s="315" t="s">
        <v>1077</v>
      </c>
      <c r="D101" s="315">
        <v>21250</v>
      </c>
      <c r="E101" s="315" t="s">
        <v>61</v>
      </c>
      <c r="F101" s="291" t="b">
        <f t="shared" si="3"/>
        <v>0</v>
      </c>
    </row>
    <row r="102" spans="1:18" ht="15" x14ac:dyDescent="0.25">
      <c r="A102" s="314">
        <v>363</v>
      </c>
      <c r="B102" s="315" t="s">
        <v>1290</v>
      </c>
      <c r="C102" s="315" t="s">
        <v>1297</v>
      </c>
      <c r="D102" s="315">
        <v>21670</v>
      </c>
      <c r="E102" s="315" t="s">
        <v>61</v>
      </c>
      <c r="F102" s="291" t="b">
        <f t="shared" si="3"/>
        <v>0</v>
      </c>
    </row>
    <row r="103" spans="1:18" ht="15" x14ac:dyDescent="0.25">
      <c r="A103" s="314">
        <v>199</v>
      </c>
      <c r="B103" s="315" t="s">
        <v>1078</v>
      </c>
      <c r="C103" s="315" t="s">
        <v>1080</v>
      </c>
      <c r="D103" s="315">
        <v>28525</v>
      </c>
      <c r="E103" s="315" t="s">
        <v>61</v>
      </c>
      <c r="F103" s="291" t="b">
        <f t="shared" si="3"/>
        <v>0</v>
      </c>
    </row>
    <row r="104" spans="1:18" ht="15" x14ac:dyDescent="0.25">
      <c r="A104" s="314">
        <v>575</v>
      </c>
      <c r="B104" s="315" t="s">
        <v>1505</v>
      </c>
      <c r="C104" s="315" t="s">
        <v>1507</v>
      </c>
      <c r="D104" s="315">
        <v>21130</v>
      </c>
      <c r="E104" s="315" t="s">
        <v>61</v>
      </c>
      <c r="F104" s="291" t="b">
        <f t="shared" si="3"/>
        <v>0</v>
      </c>
    </row>
    <row r="105" spans="1:18" ht="15" x14ac:dyDescent="0.25">
      <c r="A105" s="314">
        <v>461</v>
      </c>
      <c r="B105" s="315" t="s">
        <v>1403</v>
      </c>
      <c r="C105" s="315" t="s">
        <v>1413</v>
      </c>
      <c r="D105" s="315">
        <v>22725</v>
      </c>
      <c r="E105" s="315" t="s">
        <v>61</v>
      </c>
      <c r="F105" s="291" t="b">
        <f t="shared" si="3"/>
        <v>0</v>
      </c>
    </row>
    <row r="106" spans="1:18" ht="15" x14ac:dyDescent="0.25">
      <c r="A106" s="314">
        <v>335</v>
      </c>
      <c r="B106" s="315" t="s">
        <v>914</v>
      </c>
      <c r="C106" s="315" t="s">
        <v>1230</v>
      </c>
      <c r="D106" s="315">
        <v>21530</v>
      </c>
      <c r="E106" s="315" t="s">
        <v>61</v>
      </c>
      <c r="F106" s="291" t="b">
        <f t="shared" si="3"/>
        <v>0</v>
      </c>
    </row>
    <row r="107" spans="1:18" ht="15" x14ac:dyDescent="0.25">
      <c r="A107" s="314">
        <v>211</v>
      </c>
      <c r="B107" s="315" t="s">
        <v>1096</v>
      </c>
      <c r="C107" s="315" t="s">
        <v>1097</v>
      </c>
      <c r="D107" s="315">
        <v>21330</v>
      </c>
      <c r="E107" s="315" t="s">
        <v>61</v>
      </c>
      <c r="F107" s="291" t="b">
        <f t="shared" si="3"/>
        <v>0</v>
      </c>
    </row>
    <row r="108" spans="1:18" ht="15" x14ac:dyDescent="0.25">
      <c r="A108" s="314">
        <v>335</v>
      </c>
      <c r="B108" s="315" t="s">
        <v>914</v>
      </c>
      <c r="C108" s="315" t="s">
        <v>1240</v>
      </c>
      <c r="D108" s="315">
        <v>21610</v>
      </c>
      <c r="E108" s="315" t="s">
        <v>61</v>
      </c>
      <c r="F108" s="291" t="b">
        <f t="shared" si="3"/>
        <v>0</v>
      </c>
    </row>
    <row r="109" spans="1:18" ht="15" x14ac:dyDescent="0.25">
      <c r="A109" s="314">
        <v>112</v>
      </c>
      <c r="B109" s="315" t="s">
        <v>990</v>
      </c>
      <c r="C109" s="315" t="s">
        <v>996</v>
      </c>
      <c r="D109" s="315">
        <v>22250</v>
      </c>
      <c r="E109" s="315" t="s">
        <v>61</v>
      </c>
      <c r="F109" s="291" t="b">
        <f t="shared" si="3"/>
        <v>0</v>
      </c>
    </row>
    <row r="110" spans="1:18" ht="15" x14ac:dyDescent="0.25">
      <c r="A110" s="314">
        <v>215</v>
      </c>
      <c r="B110" s="315" t="s">
        <v>1098</v>
      </c>
      <c r="C110" s="315" t="s">
        <v>1099</v>
      </c>
      <c r="D110" s="315">
        <v>22450</v>
      </c>
      <c r="E110" s="315" t="s">
        <v>61</v>
      </c>
      <c r="F110" s="291" t="b">
        <f t="shared" si="3"/>
        <v>0</v>
      </c>
    </row>
    <row r="111" spans="1:18" ht="15" x14ac:dyDescent="0.25">
      <c r="A111" s="314">
        <v>315</v>
      </c>
      <c r="B111" s="315" t="s">
        <v>1206</v>
      </c>
      <c r="C111" s="315" t="s">
        <v>1207</v>
      </c>
      <c r="D111" s="315">
        <v>21095</v>
      </c>
      <c r="E111" s="315" t="s">
        <v>61</v>
      </c>
      <c r="F111" s="291" t="b">
        <f t="shared" si="3"/>
        <v>0</v>
      </c>
    </row>
    <row r="112" spans="1:18" ht="15" x14ac:dyDescent="0.25">
      <c r="A112" s="314">
        <v>131</v>
      </c>
      <c r="B112" s="315" t="s">
        <v>1014</v>
      </c>
      <c r="C112" s="315" t="s">
        <v>1019</v>
      </c>
      <c r="D112" s="315">
        <v>20390</v>
      </c>
      <c r="E112" s="315" t="s">
        <v>61</v>
      </c>
      <c r="F112" s="291" t="b">
        <f t="shared" si="3"/>
        <v>0</v>
      </c>
    </row>
    <row r="113" spans="1:6" ht="15" x14ac:dyDescent="0.25">
      <c r="A113" s="314">
        <v>407</v>
      </c>
      <c r="B113" s="315" t="s">
        <v>1350</v>
      </c>
      <c r="C113" s="315" t="s">
        <v>1352</v>
      </c>
      <c r="D113" s="315">
        <v>22905</v>
      </c>
      <c r="E113" s="315" t="s">
        <v>61</v>
      </c>
      <c r="F113" s="291" t="b">
        <f t="shared" si="3"/>
        <v>0</v>
      </c>
    </row>
    <row r="114" spans="1:6" ht="15" x14ac:dyDescent="0.25">
      <c r="A114" s="314">
        <v>407</v>
      </c>
      <c r="B114" s="315" t="s">
        <v>1350</v>
      </c>
      <c r="C114" s="315" t="s">
        <v>1353</v>
      </c>
      <c r="D114" s="315">
        <v>26600</v>
      </c>
      <c r="E114" s="315" t="s">
        <v>61</v>
      </c>
      <c r="F114" s="291" t="b">
        <f t="shared" si="3"/>
        <v>0</v>
      </c>
    </row>
    <row r="115" spans="1:6" ht="15" x14ac:dyDescent="0.25">
      <c r="A115" s="314">
        <v>335</v>
      </c>
      <c r="B115" s="315" t="s">
        <v>914</v>
      </c>
      <c r="C115" s="315" t="s">
        <v>1241</v>
      </c>
      <c r="D115" s="315">
        <v>21625</v>
      </c>
      <c r="E115" s="315" t="s">
        <v>61</v>
      </c>
      <c r="F115" s="291" t="b">
        <f t="shared" si="3"/>
        <v>0</v>
      </c>
    </row>
    <row r="116" spans="1:6" ht="15" x14ac:dyDescent="0.25">
      <c r="A116" s="314">
        <v>223</v>
      </c>
      <c r="B116" s="315" t="s">
        <v>1100</v>
      </c>
      <c r="C116" s="315" t="s">
        <v>1102</v>
      </c>
      <c r="D116" s="315">
        <v>22755</v>
      </c>
      <c r="E116" s="315" t="s">
        <v>61</v>
      </c>
      <c r="F116" s="291" t="b">
        <f t="shared" si="3"/>
        <v>0</v>
      </c>
    </row>
    <row r="117" spans="1:6" ht="15" x14ac:dyDescent="0.25">
      <c r="A117" s="314">
        <v>225</v>
      </c>
      <c r="B117" s="315" t="s">
        <v>1103</v>
      </c>
      <c r="C117" s="315" t="s">
        <v>1572</v>
      </c>
      <c r="D117" s="315">
        <v>20790</v>
      </c>
      <c r="E117" s="315" t="s">
        <v>61</v>
      </c>
      <c r="F117" s="291" t="b">
        <f t="shared" si="3"/>
        <v>0</v>
      </c>
    </row>
    <row r="118" spans="1:6" ht="15" x14ac:dyDescent="0.25">
      <c r="A118" s="314">
        <v>225</v>
      </c>
      <c r="B118" s="315" t="s">
        <v>1103</v>
      </c>
      <c r="C118" s="315" t="s">
        <v>1104</v>
      </c>
      <c r="D118" s="315">
        <v>20770</v>
      </c>
      <c r="E118" s="315" t="s">
        <v>61</v>
      </c>
      <c r="F118" s="291" t="b">
        <f t="shared" si="3"/>
        <v>0</v>
      </c>
    </row>
    <row r="119" spans="1:6" ht="15" x14ac:dyDescent="0.25">
      <c r="A119" s="314">
        <v>112</v>
      </c>
      <c r="B119" s="315" t="s">
        <v>990</v>
      </c>
      <c r="C119" s="315" t="s">
        <v>997</v>
      </c>
      <c r="D119" s="315">
        <v>22260</v>
      </c>
      <c r="E119" s="315" t="s">
        <v>61</v>
      </c>
      <c r="F119" s="291" t="b">
        <f t="shared" si="3"/>
        <v>0</v>
      </c>
    </row>
    <row r="120" spans="1:6" ht="15" x14ac:dyDescent="0.25">
      <c r="A120" s="314">
        <v>295</v>
      </c>
      <c r="B120" s="315" t="s">
        <v>1191</v>
      </c>
      <c r="C120" s="315" t="s">
        <v>1192</v>
      </c>
      <c r="D120" s="315">
        <v>21335</v>
      </c>
      <c r="E120" s="315" t="s">
        <v>61</v>
      </c>
      <c r="F120" s="291" t="b">
        <f t="shared" si="3"/>
        <v>0</v>
      </c>
    </row>
    <row r="121" spans="1:6" ht="15" x14ac:dyDescent="0.25">
      <c r="A121" s="314">
        <v>263</v>
      </c>
      <c r="B121" s="315" t="s">
        <v>1140</v>
      </c>
      <c r="C121" s="315" t="s">
        <v>1144</v>
      </c>
      <c r="D121" s="315">
        <v>20975</v>
      </c>
      <c r="E121" s="315" t="s">
        <v>61</v>
      </c>
      <c r="F121" s="291" t="b">
        <f t="shared" si="3"/>
        <v>0</v>
      </c>
    </row>
    <row r="122" spans="1:6" ht="15" x14ac:dyDescent="0.25">
      <c r="A122" s="314">
        <v>245</v>
      </c>
      <c r="B122" s="315" t="s">
        <v>1116</v>
      </c>
      <c r="C122" s="315" t="s">
        <v>1117</v>
      </c>
      <c r="D122" s="315">
        <v>20935</v>
      </c>
      <c r="E122" s="315" t="s">
        <v>61</v>
      </c>
      <c r="F122" s="291" t="b">
        <f t="shared" si="3"/>
        <v>0</v>
      </c>
    </row>
    <row r="123" spans="1:6" ht="15" x14ac:dyDescent="0.25">
      <c r="A123" s="314">
        <v>79</v>
      </c>
      <c r="B123" s="315" t="s">
        <v>966</v>
      </c>
      <c r="C123" s="315" t="s">
        <v>967</v>
      </c>
      <c r="D123" s="315">
        <v>20535</v>
      </c>
      <c r="E123" s="315" t="s">
        <v>61</v>
      </c>
      <c r="F123" s="291" t="b">
        <f t="shared" si="3"/>
        <v>0</v>
      </c>
    </row>
    <row r="124" spans="1:6" ht="15" x14ac:dyDescent="0.25">
      <c r="A124" s="314">
        <v>175</v>
      </c>
      <c r="B124" s="315" t="s">
        <v>1060</v>
      </c>
      <c r="C124" s="315" t="s">
        <v>1063</v>
      </c>
      <c r="D124" s="315">
        <v>22055</v>
      </c>
      <c r="E124" s="315" t="s">
        <v>61</v>
      </c>
      <c r="F124" s="291" t="b">
        <f t="shared" si="3"/>
        <v>0</v>
      </c>
    </row>
    <row r="125" spans="1:6" ht="15" x14ac:dyDescent="0.25">
      <c r="A125" s="314">
        <v>357</v>
      </c>
      <c r="B125" s="315" t="s">
        <v>1281</v>
      </c>
      <c r="C125" s="315" t="s">
        <v>1284</v>
      </c>
      <c r="D125" s="315">
        <v>27895</v>
      </c>
      <c r="E125" s="315" t="s">
        <v>61</v>
      </c>
      <c r="F125" s="291" t="b">
        <f t="shared" si="3"/>
        <v>0</v>
      </c>
    </row>
    <row r="126" spans="1:6" ht="15" x14ac:dyDescent="0.25">
      <c r="A126" s="314">
        <v>342</v>
      </c>
      <c r="B126" s="315" t="s">
        <v>1251</v>
      </c>
      <c r="C126" s="315" t="s">
        <v>1254</v>
      </c>
      <c r="D126" s="315">
        <v>28990</v>
      </c>
      <c r="E126" s="315" t="s">
        <v>61</v>
      </c>
      <c r="F126" s="291" t="b">
        <f t="shared" si="3"/>
        <v>0</v>
      </c>
    </row>
    <row r="127" spans="1:6" ht="15" x14ac:dyDescent="0.25">
      <c r="A127" s="314">
        <v>335</v>
      </c>
      <c r="B127" s="315" t="s">
        <v>914</v>
      </c>
      <c r="C127" s="315" t="s">
        <v>1234</v>
      </c>
      <c r="D127" s="315">
        <v>21560</v>
      </c>
      <c r="E127" s="315" t="s">
        <v>61</v>
      </c>
      <c r="F127" s="291" t="b">
        <f t="shared" si="3"/>
        <v>0</v>
      </c>
    </row>
    <row r="128" spans="1:6" ht="15" x14ac:dyDescent="0.25">
      <c r="A128" s="314">
        <v>267</v>
      </c>
      <c r="B128" s="315" t="s">
        <v>1145</v>
      </c>
      <c r="C128" s="315" t="s">
        <v>1149</v>
      </c>
      <c r="D128" s="315">
        <v>27900</v>
      </c>
      <c r="E128" s="315" t="s">
        <v>61</v>
      </c>
      <c r="F128" s="291" t="b">
        <f t="shared" si="3"/>
        <v>0</v>
      </c>
    </row>
    <row r="129" spans="1:6" ht="15" x14ac:dyDescent="0.25">
      <c r="A129" s="314">
        <v>251</v>
      </c>
      <c r="B129" s="315" t="s">
        <v>1120</v>
      </c>
      <c r="C129" s="315" t="s">
        <v>1122</v>
      </c>
      <c r="D129" s="315">
        <v>20955</v>
      </c>
      <c r="E129" s="315" t="s">
        <v>61</v>
      </c>
      <c r="F129" s="291" t="b">
        <f t="shared" si="3"/>
        <v>0</v>
      </c>
    </row>
    <row r="130" spans="1:6" ht="15" x14ac:dyDescent="0.25">
      <c r="A130" s="314">
        <v>51</v>
      </c>
      <c r="B130" s="315" t="s">
        <v>949</v>
      </c>
      <c r="C130" s="315" t="s">
        <v>953</v>
      </c>
      <c r="D130" s="315">
        <v>27035</v>
      </c>
      <c r="E130" s="315" t="s">
        <v>61</v>
      </c>
      <c r="F130" s="291" t="b">
        <f t="shared" si="3"/>
        <v>0</v>
      </c>
    </row>
    <row r="131" spans="1:6" ht="15" x14ac:dyDescent="0.25">
      <c r="A131" s="314">
        <v>255</v>
      </c>
      <c r="B131" s="315" t="s">
        <v>1124</v>
      </c>
      <c r="C131" s="315" t="s">
        <v>1126</v>
      </c>
      <c r="D131" s="315">
        <v>21680</v>
      </c>
      <c r="E131" s="315" t="s">
        <v>61</v>
      </c>
      <c r="F131" s="291" t="b">
        <f t="shared" si="3"/>
        <v>0</v>
      </c>
    </row>
    <row r="132" spans="1:6" ht="15" x14ac:dyDescent="0.25">
      <c r="A132" s="314">
        <v>257</v>
      </c>
      <c r="B132" s="315" t="s">
        <v>1128</v>
      </c>
      <c r="C132" s="315" t="s">
        <v>1129</v>
      </c>
      <c r="D132" s="315">
        <v>22345</v>
      </c>
      <c r="E132" s="315" t="s">
        <v>61</v>
      </c>
      <c r="F132" s="291" t="b">
        <f t="shared" ref="F132:F195" si="6">C132=C133</f>
        <v>0</v>
      </c>
    </row>
    <row r="133" spans="1:6" ht="15" x14ac:dyDescent="0.25">
      <c r="A133" s="314">
        <v>259</v>
      </c>
      <c r="B133" s="315" t="s">
        <v>1130</v>
      </c>
      <c r="C133" s="315" t="s">
        <v>1132</v>
      </c>
      <c r="D133" s="315">
        <v>21815</v>
      </c>
      <c r="E133" s="315" t="s">
        <v>61</v>
      </c>
      <c r="F133" s="291" t="b">
        <f t="shared" si="6"/>
        <v>0</v>
      </c>
    </row>
    <row r="134" spans="1:6" ht="15" x14ac:dyDescent="0.25">
      <c r="A134" s="314">
        <v>259</v>
      </c>
      <c r="B134" s="315" t="s">
        <v>1130</v>
      </c>
      <c r="C134" s="315" t="s">
        <v>1131</v>
      </c>
      <c r="D134" s="315">
        <v>27530</v>
      </c>
      <c r="E134" s="315" t="s">
        <v>61</v>
      </c>
      <c r="F134" s="291" t="b">
        <f t="shared" si="6"/>
        <v>0</v>
      </c>
    </row>
    <row r="135" spans="1:6" ht="15" x14ac:dyDescent="0.25">
      <c r="A135" s="314">
        <v>261</v>
      </c>
      <c r="B135" s="315" t="s">
        <v>1136</v>
      </c>
      <c r="C135" s="315" t="s">
        <v>1137</v>
      </c>
      <c r="D135" s="315">
        <v>20540</v>
      </c>
      <c r="E135" s="315" t="s">
        <v>61</v>
      </c>
      <c r="F135" s="291" t="b">
        <f t="shared" si="6"/>
        <v>0</v>
      </c>
    </row>
    <row r="136" spans="1:6" ht="15" x14ac:dyDescent="0.25">
      <c r="A136" s="314">
        <v>141</v>
      </c>
      <c r="B136" s="315" t="s">
        <v>1022</v>
      </c>
      <c r="C136" s="315" t="s">
        <v>1025</v>
      </c>
      <c r="D136" s="315">
        <v>20445</v>
      </c>
      <c r="E136" s="315" t="s">
        <v>61</v>
      </c>
      <c r="F136" s="291" t="b">
        <f t="shared" si="6"/>
        <v>0</v>
      </c>
    </row>
    <row r="137" spans="1:6" ht="15" x14ac:dyDescent="0.25">
      <c r="A137" s="314">
        <v>491</v>
      </c>
      <c r="B137" s="315" t="s">
        <v>1442</v>
      </c>
      <c r="C137" s="315" t="s">
        <v>1445</v>
      </c>
      <c r="D137" s="315">
        <v>29202</v>
      </c>
      <c r="E137" s="315" t="s">
        <v>61</v>
      </c>
      <c r="F137" s="291" t="b">
        <f t="shared" si="6"/>
        <v>0</v>
      </c>
    </row>
    <row r="138" spans="1:6" ht="15" x14ac:dyDescent="0.25">
      <c r="A138" s="314">
        <v>343</v>
      </c>
      <c r="B138" s="315" t="s">
        <v>1255</v>
      </c>
      <c r="C138" s="315" t="s">
        <v>1259</v>
      </c>
      <c r="D138" s="315">
        <v>26405</v>
      </c>
      <c r="E138" s="315" t="s">
        <v>61</v>
      </c>
      <c r="F138" s="291" t="b">
        <f t="shared" si="6"/>
        <v>0</v>
      </c>
    </row>
    <row r="139" spans="1:6" ht="15" x14ac:dyDescent="0.25">
      <c r="A139" s="314">
        <v>269</v>
      </c>
      <c r="B139" s="315" t="s">
        <v>1151</v>
      </c>
      <c r="C139" s="315" t="s">
        <v>1152</v>
      </c>
      <c r="D139" s="315">
        <v>29200</v>
      </c>
      <c r="E139" s="315" t="s">
        <v>61</v>
      </c>
      <c r="F139" s="291" t="b">
        <f t="shared" si="6"/>
        <v>0</v>
      </c>
    </row>
    <row r="140" spans="1:6" ht="15" x14ac:dyDescent="0.25">
      <c r="A140" s="314">
        <v>271</v>
      </c>
      <c r="B140" s="315" t="s">
        <v>1156</v>
      </c>
      <c r="C140" s="315" t="s">
        <v>1157</v>
      </c>
      <c r="D140" s="315">
        <v>20355</v>
      </c>
      <c r="E140" s="315" t="s">
        <v>61</v>
      </c>
      <c r="F140" s="291" t="b">
        <f t="shared" si="6"/>
        <v>0</v>
      </c>
    </row>
    <row r="141" spans="1:6" ht="15" x14ac:dyDescent="0.25">
      <c r="A141" s="314">
        <v>357</v>
      </c>
      <c r="B141" s="315" t="s">
        <v>1281</v>
      </c>
      <c r="C141" s="315" t="s">
        <v>1285</v>
      </c>
      <c r="D141" s="315">
        <v>26580</v>
      </c>
      <c r="E141" s="315" t="s">
        <v>61</v>
      </c>
      <c r="F141" s="291" t="b">
        <f t="shared" si="6"/>
        <v>0</v>
      </c>
    </row>
    <row r="142" spans="1:6" ht="15" x14ac:dyDescent="0.25">
      <c r="A142" s="314">
        <v>274</v>
      </c>
      <c r="B142" s="315" t="s">
        <v>1158</v>
      </c>
      <c r="C142" s="315" t="s">
        <v>1161</v>
      </c>
      <c r="D142" s="315">
        <v>22275</v>
      </c>
      <c r="E142" s="315" t="s">
        <v>61</v>
      </c>
      <c r="F142" s="291" t="b">
        <f t="shared" si="6"/>
        <v>0</v>
      </c>
    </row>
    <row r="143" spans="1:6" ht="15" x14ac:dyDescent="0.25">
      <c r="A143" s="314">
        <v>503</v>
      </c>
      <c r="B143" s="315" t="s">
        <v>1455</v>
      </c>
      <c r="C143" s="315" t="s">
        <v>1456</v>
      </c>
      <c r="D143" s="315">
        <v>20980</v>
      </c>
      <c r="E143" s="315" t="s">
        <v>61</v>
      </c>
      <c r="F143" s="291" t="b">
        <f t="shared" si="6"/>
        <v>0</v>
      </c>
    </row>
    <row r="144" spans="1:6" ht="15" x14ac:dyDescent="0.25">
      <c r="A144" s="314">
        <v>276</v>
      </c>
      <c r="B144" s="315" t="s">
        <v>1165</v>
      </c>
      <c r="C144" s="315" t="s">
        <v>1594</v>
      </c>
      <c r="D144" s="315">
        <v>26565</v>
      </c>
      <c r="E144" s="315" t="s">
        <v>1590</v>
      </c>
      <c r="F144" s="291" t="b">
        <f t="shared" si="6"/>
        <v>0</v>
      </c>
    </row>
    <row r="145" spans="1:6" ht="15" x14ac:dyDescent="0.25">
      <c r="A145" s="314">
        <v>351</v>
      </c>
      <c r="B145" s="315" t="s">
        <v>1262</v>
      </c>
      <c r="C145" s="315" t="s">
        <v>1265</v>
      </c>
      <c r="D145" s="315">
        <v>21020</v>
      </c>
      <c r="E145" s="315" t="s">
        <v>61</v>
      </c>
      <c r="F145" s="291" t="b">
        <f t="shared" si="6"/>
        <v>0</v>
      </c>
    </row>
    <row r="146" spans="1:6" ht="15" x14ac:dyDescent="0.25">
      <c r="A146" s="314">
        <v>351</v>
      </c>
      <c r="B146" s="315" t="s">
        <v>1262</v>
      </c>
      <c r="C146" s="315" t="s">
        <v>1266</v>
      </c>
      <c r="D146" s="315">
        <v>21025</v>
      </c>
      <c r="E146" s="315" t="s">
        <v>61</v>
      </c>
      <c r="F146" s="291" t="b">
        <f t="shared" si="6"/>
        <v>0</v>
      </c>
    </row>
    <row r="147" spans="1:6" ht="15" x14ac:dyDescent="0.25">
      <c r="A147" s="314">
        <v>247</v>
      </c>
      <c r="B147" s="315" t="s">
        <v>1118</v>
      </c>
      <c r="C147" s="315" t="s">
        <v>1119</v>
      </c>
      <c r="D147" s="315">
        <v>20670</v>
      </c>
      <c r="E147" s="315" t="s">
        <v>61</v>
      </c>
      <c r="F147" s="291" t="b">
        <f t="shared" si="6"/>
        <v>0</v>
      </c>
    </row>
    <row r="148" spans="1:6" ht="15" x14ac:dyDescent="0.25">
      <c r="A148" s="314">
        <v>335</v>
      </c>
      <c r="B148" s="315" t="s">
        <v>914</v>
      </c>
      <c r="C148" s="315" t="s">
        <v>1237</v>
      </c>
      <c r="D148" s="315">
        <v>21590</v>
      </c>
      <c r="E148" s="315" t="s">
        <v>61</v>
      </c>
      <c r="F148" s="291" t="b">
        <f t="shared" si="6"/>
        <v>0</v>
      </c>
    </row>
    <row r="149" spans="1:6" ht="15" x14ac:dyDescent="0.25">
      <c r="A149" s="314">
        <v>341</v>
      </c>
      <c r="B149" s="315" t="s">
        <v>1249</v>
      </c>
      <c r="C149" s="315" t="s">
        <v>1250</v>
      </c>
      <c r="D149" s="315">
        <v>23000</v>
      </c>
      <c r="E149" s="315" t="s">
        <v>61</v>
      </c>
      <c r="F149" s="291" t="b">
        <f t="shared" si="6"/>
        <v>0</v>
      </c>
    </row>
    <row r="150" spans="1:6" ht="15" x14ac:dyDescent="0.25">
      <c r="A150" s="314">
        <v>113</v>
      </c>
      <c r="B150" s="315" t="s">
        <v>1002</v>
      </c>
      <c r="C150" s="315" t="s">
        <v>1004</v>
      </c>
      <c r="D150" s="315">
        <v>20335</v>
      </c>
      <c r="E150" s="315" t="s">
        <v>61</v>
      </c>
      <c r="F150" s="291" t="b">
        <f t="shared" si="6"/>
        <v>0</v>
      </c>
    </row>
    <row r="151" spans="1:6" ht="15" x14ac:dyDescent="0.25">
      <c r="A151" s="314">
        <v>279</v>
      </c>
      <c r="B151" s="315" t="s">
        <v>1172</v>
      </c>
      <c r="C151" s="315" t="s">
        <v>1595</v>
      </c>
      <c r="D151" s="315">
        <v>29180</v>
      </c>
      <c r="E151" s="315" t="s">
        <v>1590</v>
      </c>
      <c r="F151" s="291" t="b">
        <f t="shared" si="6"/>
        <v>0</v>
      </c>
    </row>
    <row r="152" spans="1:6" ht="15" x14ac:dyDescent="0.25">
      <c r="A152" s="314">
        <v>35</v>
      </c>
      <c r="B152" s="315" t="s">
        <v>939</v>
      </c>
      <c r="C152" s="315" t="s">
        <v>940</v>
      </c>
      <c r="D152" s="315">
        <v>20325</v>
      </c>
      <c r="E152" s="315" t="s">
        <v>61</v>
      </c>
      <c r="F152" s="291" t="b">
        <f t="shared" si="6"/>
        <v>0</v>
      </c>
    </row>
    <row r="153" spans="1:6" ht="15" x14ac:dyDescent="0.25">
      <c r="A153" s="314">
        <v>276</v>
      </c>
      <c r="B153" s="315" t="s">
        <v>1165</v>
      </c>
      <c r="C153" s="315" t="s">
        <v>1169</v>
      </c>
      <c r="D153" s="315">
        <v>21980</v>
      </c>
      <c r="E153" s="315" t="s">
        <v>61</v>
      </c>
      <c r="F153" s="291" t="b">
        <f t="shared" si="6"/>
        <v>0</v>
      </c>
    </row>
    <row r="154" spans="1:6" ht="15" x14ac:dyDescent="0.25">
      <c r="A154" s="314">
        <v>276</v>
      </c>
      <c r="B154" s="315" t="s">
        <v>1165</v>
      </c>
      <c r="C154" s="315" t="s">
        <v>1170</v>
      </c>
      <c r="D154" s="315">
        <v>26530</v>
      </c>
      <c r="E154" s="315" t="s">
        <v>61</v>
      </c>
      <c r="F154" s="291" t="b">
        <f t="shared" si="6"/>
        <v>0</v>
      </c>
    </row>
    <row r="155" spans="1:6" ht="15" x14ac:dyDescent="0.25">
      <c r="A155" s="314">
        <v>525</v>
      </c>
      <c r="B155" s="315" t="s">
        <v>1466</v>
      </c>
      <c r="C155" s="315" t="s">
        <v>1467</v>
      </c>
      <c r="D155" s="315">
        <v>20365</v>
      </c>
      <c r="E155" s="315" t="s">
        <v>61</v>
      </c>
      <c r="F155" s="291" t="b">
        <f t="shared" si="6"/>
        <v>0</v>
      </c>
    </row>
    <row r="156" spans="1:6" ht="15" x14ac:dyDescent="0.25">
      <c r="A156" s="314">
        <v>281</v>
      </c>
      <c r="B156" s="315" t="s">
        <v>1179</v>
      </c>
      <c r="C156" s="315" t="s">
        <v>1180</v>
      </c>
      <c r="D156" s="315">
        <v>20605</v>
      </c>
      <c r="E156" s="315" t="s">
        <v>61</v>
      </c>
      <c r="F156" s="291" t="b">
        <f t="shared" si="6"/>
        <v>0</v>
      </c>
    </row>
    <row r="157" spans="1:6" ht="15" x14ac:dyDescent="0.25">
      <c r="A157" s="314">
        <v>288</v>
      </c>
      <c r="B157" s="315" t="s">
        <v>1187</v>
      </c>
      <c r="C157" s="315" t="s">
        <v>1188</v>
      </c>
      <c r="D157" s="315">
        <v>21405</v>
      </c>
      <c r="E157" s="315" t="s">
        <v>61</v>
      </c>
      <c r="F157" s="291" t="b">
        <f t="shared" si="6"/>
        <v>0</v>
      </c>
    </row>
    <row r="158" spans="1:6" ht="15" x14ac:dyDescent="0.25">
      <c r="A158" s="314">
        <v>453</v>
      </c>
      <c r="B158" s="315" t="s">
        <v>1396</v>
      </c>
      <c r="C158" s="315" t="s">
        <v>1397</v>
      </c>
      <c r="D158" s="315">
        <v>21385</v>
      </c>
      <c r="E158" s="315" t="s">
        <v>61</v>
      </c>
      <c r="F158" s="291" t="b">
        <f t="shared" si="6"/>
        <v>0</v>
      </c>
    </row>
    <row r="159" spans="1:6" ht="15" x14ac:dyDescent="0.25">
      <c r="A159" s="314">
        <v>568</v>
      </c>
      <c r="B159" s="315" t="s">
        <v>1495</v>
      </c>
      <c r="C159" s="315" t="s">
        <v>1497</v>
      </c>
      <c r="D159" s="315">
        <v>21475</v>
      </c>
      <c r="E159" s="315" t="s">
        <v>61</v>
      </c>
      <c r="F159" s="291" t="b">
        <f t="shared" si="6"/>
        <v>0</v>
      </c>
    </row>
    <row r="160" spans="1:6" ht="15" x14ac:dyDescent="0.25">
      <c r="A160" s="314">
        <v>291</v>
      </c>
      <c r="B160" s="315" t="s">
        <v>1189</v>
      </c>
      <c r="C160" s="315" t="s">
        <v>1190</v>
      </c>
      <c r="D160" s="315">
        <v>21410</v>
      </c>
      <c r="E160" s="315" t="s">
        <v>61</v>
      </c>
      <c r="F160" s="291" t="b">
        <f t="shared" si="6"/>
        <v>0</v>
      </c>
    </row>
    <row r="161" spans="1:6" ht="15" x14ac:dyDescent="0.25">
      <c r="A161" s="314">
        <v>371</v>
      </c>
      <c r="B161" s="315" t="s">
        <v>1306</v>
      </c>
      <c r="C161" s="315" t="s">
        <v>1318</v>
      </c>
      <c r="D161" s="315">
        <v>21915</v>
      </c>
      <c r="E161" s="315" t="s">
        <v>61</v>
      </c>
      <c r="F161" s="291" t="b">
        <f t="shared" si="6"/>
        <v>0</v>
      </c>
    </row>
    <row r="162" spans="1:6" ht="15" x14ac:dyDescent="0.25">
      <c r="A162" s="314">
        <v>299</v>
      </c>
      <c r="B162" s="315" t="s">
        <v>1196</v>
      </c>
      <c r="C162" s="315" t="s">
        <v>1197</v>
      </c>
      <c r="D162" s="315">
        <v>29169</v>
      </c>
      <c r="E162" s="315" t="s">
        <v>61</v>
      </c>
      <c r="F162" s="291" t="b">
        <f t="shared" si="6"/>
        <v>0</v>
      </c>
    </row>
    <row r="163" spans="1:6" ht="15" x14ac:dyDescent="0.25">
      <c r="A163" s="314">
        <v>227</v>
      </c>
      <c r="B163" s="315" t="s">
        <v>1106</v>
      </c>
      <c r="C163" s="315" t="s">
        <v>1107</v>
      </c>
      <c r="D163" s="315">
        <v>20800</v>
      </c>
      <c r="E163" s="315" t="s">
        <v>61</v>
      </c>
      <c r="F163" s="291" t="b">
        <f t="shared" si="6"/>
        <v>0</v>
      </c>
    </row>
    <row r="164" spans="1:6" ht="15" x14ac:dyDescent="0.25">
      <c r="A164" s="314">
        <v>173</v>
      </c>
      <c r="B164" s="315" t="s">
        <v>1045</v>
      </c>
      <c r="C164" s="315" t="s">
        <v>1047</v>
      </c>
      <c r="D164" s="315">
        <v>20595</v>
      </c>
      <c r="E164" s="315" t="s">
        <v>61</v>
      </c>
      <c r="F164" s="291" t="b">
        <f t="shared" si="6"/>
        <v>0</v>
      </c>
    </row>
    <row r="165" spans="1:6" ht="15" x14ac:dyDescent="0.25">
      <c r="A165" s="314">
        <v>305</v>
      </c>
      <c r="B165" s="315" t="s">
        <v>1198</v>
      </c>
      <c r="C165" s="315" t="s">
        <v>1201</v>
      </c>
      <c r="D165" s="315">
        <v>20880</v>
      </c>
      <c r="E165" s="315" t="s">
        <v>61</v>
      </c>
      <c r="F165" s="291" t="b">
        <f t="shared" si="6"/>
        <v>0</v>
      </c>
    </row>
    <row r="166" spans="1:6" ht="15" x14ac:dyDescent="0.25">
      <c r="A166" s="314">
        <v>306</v>
      </c>
      <c r="B166" s="315" t="s">
        <v>1202</v>
      </c>
      <c r="C166" s="315" t="s">
        <v>1203</v>
      </c>
      <c r="D166" s="315">
        <v>21420</v>
      </c>
      <c r="E166" s="315" t="s">
        <v>61</v>
      </c>
      <c r="F166" s="291" t="b">
        <f t="shared" si="6"/>
        <v>0</v>
      </c>
    </row>
    <row r="167" spans="1:6" ht="15" x14ac:dyDescent="0.25">
      <c r="A167" s="314">
        <v>449</v>
      </c>
      <c r="B167" s="315" t="s">
        <v>1387</v>
      </c>
      <c r="C167" s="315" t="s">
        <v>1389</v>
      </c>
      <c r="D167" s="315">
        <v>22515</v>
      </c>
      <c r="E167" s="315" t="s">
        <v>61</v>
      </c>
      <c r="F167" s="291" t="b">
        <f t="shared" si="6"/>
        <v>0</v>
      </c>
    </row>
    <row r="168" spans="1:6" ht="15" x14ac:dyDescent="0.25">
      <c r="A168" s="314">
        <v>352</v>
      </c>
      <c r="B168" s="315" t="s">
        <v>1269</v>
      </c>
      <c r="C168" s="315" t="s">
        <v>1272</v>
      </c>
      <c r="D168" s="315">
        <v>22180</v>
      </c>
      <c r="E168" s="315" t="s">
        <v>61</v>
      </c>
      <c r="F168" s="291" t="b">
        <f t="shared" si="6"/>
        <v>0</v>
      </c>
    </row>
    <row r="169" spans="1:6" ht="15" x14ac:dyDescent="0.25">
      <c r="A169" s="314">
        <v>327</v>
      </c>
      <c r="B169" s="315" t="s">
        <v>1221</v>
      </c>
      <c r="C169" s="315" t="s">
        <v>1222</v>
      </c>
      <c r="D169" s="315">
        <v>20835</v>
      </c>
      <c r="E169" s="315" t="s">
        <v>61</v>
      </c>
      <c r="F169" s="291" t="b">
        <f t="shared" si="6"/>
        <v>0</v>
      </c>
    </row>
    <row r="170" spans="1:6" ht="15" x14ac:dyDescent="0.25">
      <c r="A170" s="314">
        <v>572</v>
      </c>
      <c r="B170" s="315" t="s">
        <v>1499</v>
      </c>
      <c r="C170" s="315" t="s">
        <v>1500</v>
      </c>
      <c r="D170" s="315">
        <v>23035</v>
      </c>
      <c r="E170" s="315" t="s">
        <v>61</v>
      </c>
      <c r="F170" s="291" t="b">
        <f t="shared" si="6"/>
        <v>0</v>
      </c>
    </row>
    <row r="171" spans="1:6" ht="15" x14ac:dyDescent="0.25">
      <c r="A171" s="314">
        <v>333</v>
      </c>
      <c r="B171" s="315" t="s">
        <v>1223</v>
      </c>
      <c r="C171" s="315" t="s">
        <v>1224</v>
      </c>
      <c r="D171" s="315">
        <v>20360</v>
      </c>
      <c r="E171" s="315" t="s">
        <v>61</v>
      </c>
      <c r="F171" s="291" t="b">
        <f t="shared" si="6"/>
        <v>0</v>
      </c>
    </row>
    <row r="172" spans="1:6" ht="15" x14ac:dyDescent="0.25">
      <c r="A172" s="314">
        <v>371</v>
      </c>
      <c r="B172" s="315" t="s">
        <v>1306</v>
      </c>
      <c r="C172" s="315" t="s">
        <v>1321</v>
      </c>
      <c r="D172" s="315">
        <v>21935</v>
      </c>
      <c r="E172" s="315" t="s">
        <v>61</v>
      </c>
      <c r="F172" s="291" t="b">
        <f t="shared" si="6"/>
        <v>0</v>
      </c>
    </row>
    <row r="173" spans="1:6" ht="15" x14ac:dyDescent="0.25">
      <c r="A173" s="314">
        <v>173</v>
      </c>
      <c r="B173" s="315" t="s">
        <v>1045</v>
      </c>
      <c r="C173" s="315" t="s">
        <v>1046</v>
      </c>
      <c r="D173" s="315">
        <v>20575</v>
      </c>
      <c r="E173" s="315" t="s">
        <v>61</v>
      </c>
      <c r="F173" s="291" t="b">
        <f t="shared" si="6"/>
        <v>0</v>
      </c>
    </row>
    <row r="174" spans="1:6" ht="15" x14ac:dyDescent="0.25">
      <c r="A174" s="314">
        <v>101</v>
      </c>
      <c r="B174" s="315" t="s">
        <v>974</v>
      </c>
      <c r="C174" s="323" t="s">
        <v>1608</v>
      </c>
      <c r="D174" s="315">
        <v>20160</v>
      </c>
      <c r="E174" s="315" t="s">
        <v>61</v>
      </c>
      <c r="F174" s="291" t="b">
        <f t="shared" si="6"/>
        <v>0</v>
      </c>
    </row>
    <row r="175" spans="1:6" ht="15" x14ac:dyDescent="0.25">
      <c r="A175" s="314">
        <v>199</v>
      </c>
      <c r="B175" s="315" t="s">
        <v>1078</v>
      </c>
      <c r="C175" s="323" t="s">
        <v>1609</v>
      </c>
      <c r="D175" s="315">
        <v>20690</v>
      </c>
      <c r="E175" s="315" t="s">
        <v>61</v>
      </c>
      <c r="F175" s="291" t="b">
        <f t="shared" si="6"/>
        <v>0</v>
      </c>
    </row>
    <row r="176" spans="1:6" ht="15" x14ac:dyDescent="0.25">
      <c r="A176" s="314">
        <v>263</v>
      </c>
      <c r="B176" s="315" t="s">
        <v>1140</v>
      </c>
      <c r="C176" s="315" t="s">
        <v>1142</v>
      </c>
      <c r="D176" s="315">
        <v>20965</v>
      </c>
      <c r="E176" s="315" t="s">
        <v>61</v>
      </c>
      <c r="F176" s="291" t="b">
        <f t="shared" si="6"/>
        <v>0</v>
      </c>
    </row>
    <row r="177" spans="1:6" ht="15" x14ac:dyDescent="0.25">
      <c r="A177" s="314">
        <v>461</v>
      </c>
      <c r="B177" s="315" t="s">
        <v>1403</v>
      </c>
      <c r="C177" s="315" t="s">
        <v>1414</v>
      </c>
      <c r="D177" s="315">
        <v>29080</v>
      </c>
      <c r="E177" s="315" t="s">
        <v>61</v>
      </c>
      <c r="F177" s="291" t="b">
        <f t="shared" si="6"/>
        <v>0</v>
      </c>
    </row>
    <row r="178" spans="1:6" ht="15" x14ac:dyDescent="0.25">
      <c r="A178" s="314">
        <v>491</v>
      </c>
      <c r="B178" s="315" t="s">
        <v>1442</v>
      </c>
      <c r="C178" s="315" t="s">
        <v>1446</v>
      </c>
      <c r="D178" s="315">
        <v>29203</v>
      </c>
      <c r="E178" s="315" t="s">
        <v>61</v>
      </c>
      <c r="F178" s="291" t="b">
        <f t="shared" si="6"/>
        <v>0</v>
      </c>
    </row>
    <row r="179" spans="1:6" ht="15" x14ac:dyDescent="0.25">
      <c r="A179" s="314">
        <v>339</v>
      </c>
      <c r="B179" s="315" t="s">
        <v>1247</v>
      </c>
      <c r="C179" s="315" t="s">
        <v>1248</v>
      </c>
      <c r="D179" s="315">
        <v>21210</v>
      </c>
      <c r="E179" s="315" t="s">
        <v>61</v>
      </c>
      <c r="F179" s="291" t="b">
        <f t="shared" si="6"/>
        <v>0</v>
      </c>
    </row>
    <row r="180" spans="1:6" ht="15" x14ac:dyDescent="0.25">
      <c r="A180" s="314">
        <v>473</v>
      </c>
      <c r="B180" s="315" t="s">
        <v>1422</v>
      </c>
      <c r="C180" s="315" t="s">
        <v>1426</v>
      </c>
      <c r="D180" s="315">
        <v>22875</v>
      </c>
      <c r="E180" s="315" t="s">
        <v>61</v>
      </c>
      <c r="F180" s="291" t="b">
        <f t="shared" si="6"/>
        <v>0</v>
      </c>
    </row>
    <row r="181" spans="1:6" ht="15" x14ac:dyDescent="0.25">
      <c r="A181" s="314">
        <v>449</v>
      </c>
      <c r="B181" s="315" t="s">
        <v>1387</v>
      </c>
      <c r="C181" s="315" t="s">
        <v>1391</v>
      </c>
      <c r="D181" s="315">
        <v>22545</v>
      </c>
      <c r="E181" s="315" t="s">
        <v>61</v>
      </c>
      <c r="F181" s="291" t="b">
        <f t="shared" si="6"/>
        <v>0</v>
      </c>
    </row>
    <row r="182" spans="1:6" ht="15" x14ac:dyDescent="0.25">
      <c r="A182" s="314">
        <v>345</v>
      </c>
      <c r="B182" s="315" t="s">
        <v>1260</v>
      </c>
      <c r="C182" s="315" t="s">
        <v>1261</v>
      </c>
      <c r="D182" s="315">
        <v>23040</v>
      </c>
      <c r="E182" s="315" t="s">
        <v>61</v>
      </c>
      <c r="F182" s="291" t="b">
        <f t="shared" si="6"/>
        <v>0</v>
      </c>
    </row>
    <row r="183" spans="1:6" ht="15" x14ac:dyDescent="0.25">
      <c r="A183" s="314">
        <v>423</v>
      </c>
      <c r="B183" s="315" t="s">
        <v>1358</v>
      </c>
      <c r="C183" s="315" t="s">
        <v>1362</v>
      </c>
      <c r="D183" s="315">
        <v>22805</v>
      </c>
      <c r="E183" s="315" t="s">
        <v>61</v>
      </c>
      <c r="F183" s="291" t="b">
        <f t="shared" si="6"/>
        <v>0</v>
      </c>
    </row>
    <row r="184" spans="1:6" ht="15" x14ac:dyDescent="0.25">
      <c r="A184" s="314">
        <v>319</v>
      </c>
      <c r="B184" s="315" t="s">
        <v>1214</v>
      </c>
      <c r="C184" s="315" t="s">
        <v>1219</v>
      </c>
      <c r="D184" s="315">
        <v>20485</v>
      </c>
      <c r="E184" s="315" t="s">
        <v>61</v>
      </c>
      <c r="F184" s="291" t="b">
        <f t="shared" si="6"/>
        <v>0</v>
      </c>
    </row>
    <row r="185" spans="1:6" ht="15" x14ac:dyDescent="0.25">
      <c r="A185" s="314">
        <v>381</v>
      </c>
      <c r="B185" s="315" t="s">
        <v>1328</v>
      </c>
      <c r="C185" s="315" t="s">
        <v>1329</v>
      </c>
      <c r="D185" s="315">
        <v>22455</v>
      </c>
      <c r="E185" s="315" t="s">
        <v>61</v>
      </c>
      <c r="F185" s="291" t="b">
        <f t="shared" si="6"/>
        <v>0</v>
      </c>
    </row>
    <row r="186" spans="1:6" ht="15" x14ac:dyDescent="0.25">
      <c r="A186" s="314">
        <v>461</v>
      </c>
      <c r="B186" s="315" t="s">
        <v>1403</v>
      </c>
      <c r="C186" s="315" t="s">
        <v>1406</v>
      </c>
      <c r="D186" s="315">
        <v>22665</v>
      </c>
      <c r="E186" s="315" t="s">
        <v>61</v>
      </c>
      <c r="F186" s="291" t="b">
        <f t="shared" si="6"/>
        <v>0</v>
      </c>
    </row>
    <row r="187" spans="1:6" ht="15" x14ac:dyDescent="0.25">
      <c r="A187" s="314">
        <v>335</v>
      </c>
      <c r="B187" s="315" t="s">
        <v>914</v>
      </c>
      <c r="C187" s="315" t="s">
        <v>1235</v>
      </c>
      <c r="D187" s="315">
        <v>21565</v>
      </c>
      <c r="E187" s="315" t="s">
        <v>61</v>
      </c>
      <c r="F187" s="291" t="b">
        <f t="shared" si="6"/>
        <v>0</v>
      </c>
    </row>
    <row r="188" spans="1:6" ht="15" x14ac:dyDescent="0.25">
      <c r="A188" s="314">
        <v>41</v>
      </c>
      <c r="B188" s="315" t="s">
        <v>943</v>
      </c>
      <c r="C188" s="315" t="s">
        <v>945</v>
      </c>
      <c r="D188" s="315">
        <v>21005</v>
      </c>
      <c r="E188" s="315" t="s">
        <v>61</v>
      </c>
      <c r="F188" s="291" t="b">
        <f t="shared" si="6"/>
        <v>0</v>
      </c>
    </row>
    <row r="189" spans="1:6" ht="15" x14ac:dyDescent="0.25">
      <c r="A189" s="314">
        <v>41</v>
      </c>
      <c r="B189" s="315" t="s">
        <v>943</v>
      </c>
      <c r="C189" s="323" t="s">
        <v>1610</v>
      </c>
      <c r="D189" s="315">
        <v>20990</v>
      </c>
      <c r="E189" s="315" t="s">
        <v>61</v>
      </c>
      <c r="F189" s="291" t="b">
        <f t="shared" si="6"/>
        <v>0</v>
      </c>
    </row>
    <row r="190" spans="1:6" ht="15" x14ac:dyDescent="0.25">
      <c r="A190" s="314">
        <v>476</v>
      </c>
      <c r="B190" s="315" t="s">
        <v>1430</v>
      </c>
      <c r="C190" s="323" t="s">
        <v>1611</v>
      </c>
      <c r="D190" s="315">
        <v>20635</v>
      </c>
      <c r="E190" s="315" t="s">
        <v>61</v>
      </c>
      <c r="F190" s="291" t="b">
        <f t="shared" si="6"/>
        <v>0</v>
      </c>
    </row>
    <row r="191" spans="1:6" ht="15" x14ac:dyDescent="0.25">
      <c r="A191" s="314">
        <v>744</v>
      </c>
      <c r="B191" s="315" t="s">
        <v>1563</v>
      </c>
      <c r="C191" s="315" t="s">
        <v>1563</v>
      </c>
      <c r="D191" s="315">
        <v>29167</v>
      </c>
      <c r="E191" s="315" t="s">
        <v>61</v>
      </c>
      <c r="F191" s="291" t="b">
        <f t="shared" si="6"/>
        <v>0</v>
      </c>
    </row>
    <row r="192" spans="1:6" ht="15" x14ac:dyDescent="0.25">
      <c r="A192" s="314">
        <v>353</v>
      </c>
      <c r="B192" s="315" t="s">
        <v>1277</v>
      </c>
      <c r="C192" s="315" t="s">
        <v>1278</v>
      </c>
      <c r="D192" s="315">
        <v>29178</v>
      </c>
      <c r="E192" s="315" t="s">
        <v>61</v>
      </c>
      <c r="F192" s="291" t="b">
        <f t="shared" si="6"/>
        <v>0</v>
      </c>
    </row>
    <row r="193" spans="1:6" ht="15" x14ac:dyDescent="0.25">
      <c r="A193" s="314">
        <v>355</v>
      </c>
      <c r="B193" s="315" t="s">
        <v>1279</v>
      </c>
      <c r="C193" s="315" t="s">
        <v>1280</v>
      </c>
      <c r="D193" s="315">
        <v>20760</v>
      </c>
      <c r="E193" s="315" t="s">
        <v>61</v>
      </c>
      <c r="F193" s="291" t="b">
        <f t="shared" si="6"/>
        <v>0</v>
      </c>
    </row>
    <row r="194" spans="1:6" ht="15" x14ac:dyDescent="0.25">
      <c r="A194" s="314">
        <v>317</v>
      </c>
      <c r="B194" s="315" t="s">
        <v>1210</v>
      </c>
      <c r="C194" s="315" t="s">
        <v>1213</v>
      </c>
      <c r="D194" s="315">
        <v>21450</v>
      </c>
      <c r="E194" s="315" t="s">
        <v>61</v>
      </c>
      <c r="F194" s="291" t="b">
        <f t="shared" si="6"/>
        <v>0</v>
      </c>
    </row>
    <row r="195" spans="1:6" ht="15" x14ac:dyDescent="0.25">
      <c r="A195" s="314">
        <v>111</v>
      </c>
      <c r="B195" s="315" t="s">
        <v>982</v>
      </c>
      <c r="C195" s="315" t="s">
        <v>985</v>
      </c>
      <c r="D195" s="315">
        <v>20250</v>
      </c>
      <c r="E195" s="315" t="s">
        <v>61</v>
      </c>
      <c r="F195" s="291" t="b">
        <f t="shared" si="6"/>
        <v>0</v>
      </c>
    </row>
    <row r="196" spans="1:6" ht="15" x14ac:dyDescent="0.25">
      <c r="A196" s="314">
        <v>729</v>
      </c>
      <c r="B196" s="315" t="s">
        <v>1547</v>
      </c>
      <c r="C196" s="315" t="s">
        <v>1547</v>
      </c>
      <c r="D196" s="315">
        <v>29040</v>
      </c>
      <c r="E196" s="315" t="s">
        <v>61</v>
      </c>
      <c r="F196" s="291" t="b">
        <f t="shared" ref="F196:F259" si="7">C196=C197</f>
        <v>0</v>
      </c>
    </row>
    <row r="197" spans="1:6" ht="15" x14ac:dyDescent="0.25">
      <c r="A197" s="314">
        <v>359</v>
      </c>
      <c r="B197" s="315" t="s">
        <v>1286</v>
      </c>
      <c r="C197" s="315" t="s">
        <v>1289</v>
      </c>
      <c r="D197" s="315">
        <v>22075</v>
      </c>
      <c r="E197" s="315" t="s">
        <v>61</v>
      </c>
      <c r="F197" s="291" t="b">
        <f t="shared" si="7"/>
        <v>0</v>
      </c>
    </row>
    <row r="198" spans="1:6" ht="15" x14ac:dyDescent="0.25">
      <c r="A198" s="314">
        <v>423</v>
      </c>
      <c r="B198" s="315" t="s">
        <v>1358</v>
      </c>
      <c r="C198" s="315" t="s">
        <v>1359</v>
      </c>
      <c r="D198" s="315">
        <v>26660</v>
      </c>
      <c r="E198" s="315" t="s">
        <v>61</v>
      </c>
      <c r="F198" s="291" t="b">
        <f t="shared" si="7"/>
        <v>0</v>
      </c>
    </row>
    <row r="199" spans="1:6" ht="15" x14ac:dyDescent="0.25">
      <c r="A199" s="314">
        <v>365</v>
      </c>
      <c r="B199" s="315" t="s">
        <v>1298</v>
      </c>
      <c r="C199" s="315" t="s">
        <v>1299</v>
      </c>
      <c r="D199" s="315">
        <v>20885</v>
      </c>
      <c r="E199" s="315" t="s">
        <v>61</v>
      </c>
      <c r="F199" s="291" t="b">
        <f t="shared" si="7"/>
        <v>0</v>
      </c>
    </row>
    <row r="200" spans="1:6" ht="15" x14ac:dyDescent="0.25">
      <c r="A200" s="314">
        <v>367</v>
      </c>
      <c r="B200" s="315" t="s">
        <v>1300</v>
      </c>
      <c r="C200" s="315" t="s">
        <v>1301</v>
      </c>
      <c r="D200" s="315">
        <v>21790</v>
      </c>
      <c r="E200" s="315" t="s">
        <v>61</v>
      </c>
      <c r="F200" s="291" t="b">
        <f t="shared" si="7"/>
        <v>0</v>
      </c>
    </row>
    <row r="201" spans="1:6" ht="15" x14ac:dyDescent="0.25">
      <c r="A201" s="314">
        <v>319</v>
      </c>
      <c r="B201" s="315" t="s">
        <v>1214</v>
      </c>
      <c r="C201" s="315" t="s">
        <v>1215</v>
      </c>
      <c r="D201" s="315">
        <v>27905</v>
      </c>
      <c r="E201" s="315" t="s">
        <v>61</v>
      </c>
      <c r="F201" s="291" t="b">
        <f t="shared" si="7"/>
        <v>0</v>
      </c>
    </row>
    <row r="202" spans="1:6" ht="15" x14ac:dyDescent="0.25">
      <c r="A202" s="314">
        <v>369</v>
      </c>
      <c r="B202" s="315" t="s">
        <v>1302</v>
      </c>
      <c r="C202" s="315" t="s">
        <v>1303</v>
      </c>
      <c r="D202" s="315">
        <v>22115</v>
      </c>
      <c r="E202" s="315" t="s">
        <v>61</v>
      </c>
      <c r="F202" s="291" t="b">
        <f t="shared" si="7"/>
        <v>0</v>
      </c>
    </row>
    <row r="203" spans="1:6" ht="15" x14ac:dyDescent="0.25">
      <c r="A203" s="314">
        <v>363</v>
      </c>
      <c r="B203" s="315" t="s">
        <v>1290</v>
      </c>
      <c r="C203" s="315" t="s">
        <v>1292</v>
      </c>
      <c r="D203" s="315">
        <v>21695</v>
      </c>
      <c r="E203" s="315" t="s">
        <v>61</v>
      </c>
      <c r="F203" s="291" t="b">
        <f t="shared" si="7"/>
        <v>0</v>
      </c>
    </row>
    <row r="204" spans="1:6" ht="15" x14ac:dyDescent="0.25">
      <c r="A204" s="314">
        <v>704</v>
      </c>
      <c r="B204" s="315" t="s">
        <v>1522</v>
      </c>
      <c r="C204" s="315" t="s">
        <v>1522</v>
      </c>
      <c r="D204" s="315">
        <v>29154</v>
      </c>
      <c r="E204" s="315" t="s">
        <v>61</v>
      </c>
      <c r="F204" s="291" t="b">
        <f t="shared" si="7"/>
        <v>0</v>
      </c>
    </row>
    <row r="205" spans="1:6" ht="15" x14ac:dyDescent="0.25">
      <c r="A205" s="314">
        <v>295</v>
      </c>
      <c r="B205" s="315" t="s">
        <v>1191</v>
      </c>
      <c r="C205" s="315" t="s">
        <v>1193</v>
      </c>
      <c r="D205" s="315">
        <v>21355</v>
      </c>
      <c r="E205" s="315" t="s">
        <v>61</v>
      </c>
      <c r="F205" s="291" t="b">
        <f t="shared" si="7"/>
        <v>0</v>
      </c>
    </row>
    <row r="206" spans="1:6" ht="15" x14ac:dyDescent="0.25">
      <c r="A206" s="314">
        <v>371</v>
      </c>
      <c r="B206" s="315" t="s">
        <v>1306</v>
      </c>
      <c r="C206" s="315" t="s">
        <v>1315</v>
      </c>
      <c r="D206" s="315">
        <v>21885</v>
      </c>
      <c r="E206" s="315" t="s">
        <v>61</v>
      </c>
      <c r="F206" s="291" t="b">
        <f t="shared" si="7"/>
        <v>0</v>
      </c>
    </row>
    <row r="207" spans="1:6" ht="15" x14ac:dyDescent="0.25">
      <c r="A207" s="314">
        <v>174</v>
      </c>
      <c r="B207" s="315" t="s">
        <v>1048</v>
      </c>
      <c r="C207" s="315" t="s">
        <v>1053</v>
      </c>
      <c r="D207" s="315">
        <v>22980</v>
      </c>
      <c r="E207" s="315" t="s">
        <v>61</v>
      </c>
      <c r="F207" s="291" t="b">
        <f t="shared" si="7"/>
        <v>0</v>
      </c>
    </row>
    <row r="208" spans="1:6" ht="15" x14ac:dyDescent="0.25">
      <c r="A208" s="314">
        <v>461</v>
      </c>
      <c r="B208" s="315" t="s">
        <v>1403</v>
      </c>
      <c r="C208" s="315" t="s">
        <v>1405</v>
      </c>
      <c r="D208" s="315">
        <v>22660</v>
      </c>
      <c r="E208" s="315" t="s">
        <v>61</v>
      </c>
      <c r="F208" s="291" t="b">
        <f t="shared" si="7"/>
        <v>0</v>
      </c>
    </row>
    <row r="209" spans="1:6" ht="15" x14ac:dyDescent="0.25">
      <c r="A209" s="314">
        <v>371</v>
      </c>
      <c r="B209" s="315" t="s">
        <v>1306</v>
      </c>
      <c r="C209" s="315" t="s">
        <v>1596</v>
      </c>
      <c r="D209" s="315">
        <v>29152</v>
      </c>
      <c r="E209" s="315" t="s">
        <v>1590</v>
      </c>
      <c r="F209" s="291" t="b">
        <f t="shared" si="7"/>
        <v>0</v>
      </c>
    </row>
    <row r="210" spans="1:6" ht="15" x14ac:dyDescent="0.25">
      <c r="A210" s="314">
        <v>375</v>
      </c>
      <c r="B210" s="315" t="s">
        <v>1324</v>
      </c>
      <c r="C210" s="315" t="s">
        <v>1325</v>
      </c>
      <c r="D210" s="315">
        <v>21215</v>
      </c>
      <c r="E210" s="315" t="s">
        <v>61</v>
      </c>
      <c r="F210" s="291" t="b">
        <f t="shared" si="7"/>
        <v>0</v>
      </c>
    </row>
    <row r="211" spans="1:6" ht="15" x14ac:dyDescent="0.25">
      <c r="A211" s="314">
        <v>377</v>
      </c>
      <c r="B211" s="315" t="s">
        <v>1326</v>
      </c>
      <c r="C211" s="315" t="s">
        <v>1327</v>
      </c>
      <c r="D211" s="315">
        <v>20715</v>
      </c>
      <c r="E211" s="315" t="s">
        <v>61</v>
      </c>
      <c r="F211" s="291" t="b">
        <f t="shared" si="7"/>
        <v>0</v>
      </c>
    </row>
    <row r="212" spans="1:6" ht="15" x14ac:dyDescent="0.25">
      <c r="A212" s="314">
        <v>208</v>
      </c>
      <c r="B212" s="315" t="s">
        <v>1087</v>
      </c>
      <c r="C212" s="315" t="s">
        <v>1089</v>
      </c>
      <c r="D212" s="315">
        <v>22400</v>
      </c>
      <c r="E212" s="315" t="s">
        <v>61</v>
      </c>
      <c r="F212" s="291" t="b">
        <f t="shared" si="7"/>
        <v>0</v>
      </c>
    </row>
    <row r="213" spans="1:6" ht="15" x14ac:dyDescent="0.25">
      <c r="A213" s="314">
        <v>449</v>
      </c>
      <c r="B213" s="315" t="s">
        <v>1387</v>
      </c>
      <c r="C213" s="315" t="s">
        <v>1390</v>
      </c>
      <c r="D213" s="315">
        <v>22525</v>
      </c>
      <c r="E213" s="315" t="s">
        <v>61</v>
      </c>
      <c r="F213" s="291" t="b">
        <f t="shared" si="7"/>
        <v>0</v>
      </c>
    </row>
    <row r="214" spans="1:6" ht="15" x14ac:dyDescent="0.25">
      <c r="A214" s="314">
        <v>388</v>
      </c>
      <c r="B214" s="315" t="s">
        <v>1573</v>
      </c>
      <c r="C214" s="315" t="s">
        <v>1337</v>
      </c>
      <c r="D214" s="315">
        <v>20105</v>
      </c>
      <c r="E214" s="315" t="s">
        <v>61</v>
      </c>
      <c r="F214" s="291" t="b">
        <f t="shared" si="7"/>
        <v>0</v>
      </c>
    </row>
    <row r="215" spans="1:6" ht="15" x14ac:dyDescent="0.25">
      <c r="A215" s="314">
        <v>371</v>
      </c>
      <c r="B215" s="315" t="s">
        <v>1306</v>
      </c>
      <c r="C215" s="315" t="s">
        <v>1310</v>
      </c>
      <c r="D215" s="315">
        <v>21845</v>
      </c>
      <c r="E215" s="315" t="s">
        <v>61</v>
      </c>
      <c r="F215" s="291" t="b">
        <f t="shared" si="7"/>
        <v>0</v>
      </c>
    </row>
    <row r="216" spans="1:6" ht="15" x14ac:dyDescent="0.25">
      <c r="A216" s="314">
        <v>387</v>
      </c>
      <c r="B216" s="315" t="s">
        <v>1330</v>
      </c>
      <c r="C216" s="315" t="s">
        <v>1331</v>
      </c>
      <c r="D216" s="315">
        <v>20610</v>
      </c>
      <c r="E216" s="315" t="s">
        <v>61</v>
      </c>
      <c r="F216" s="291" t="b">
        <f t="shared" si="7"/>
        <v>0</v>
      </c>
    </row>
    <row r="217" spans="1:6" ht="15" x14ac:dyDescent="0.25">
      <c r="A217" s="314">
        <v>391</v>
      </c>
      <c r="B217" s="315" t="s">
        <v>1338</v>
      </c>
      <c r="C217" s="315" t="s">
        <v>1339</v>
      </c>
      <c r="D217" s="315">
        <v>22465</v>
      </c>
      <c r="E217" s="315" t="s">
        <v>61</v>
      </c>
      <c r="F217" s="291" t="b">
        <f t="shared" si="7"/>
        <v>0</v>
      </c>
    </row>
    <row r="218" spans="1:6" ht="15" x14ac:dyDescent="0.25">
      <c r="A218" s="314">
        <v>399</v>
      </c>
      <c r="B218" s="315" t="s">
        <v>1340</v>
      </c>
      <c r="C218" s="315" t="s">
        <v>1341</v>
      </c>
      <c r="D218" s="315">
        <v>21300</v>
      </c>
      <c r="E218" s="315" t="s">
        <v>61</v>
      </c>
      <c r="F218" s="291" t="b">
        <f t="shared" si="7"/>
        <v>0</v>
      </c>
    </row>
    <row r="219" spans="1:6" ht="15" x14ac:dyDescent="0.25">
      <c r="A219" s="314">
        <v>399</v>
      </c>
      <c r="B219" s="315" t="s">
        <v>1340</v>
      </c>
      <c r="C219" s="315" t="s">
        <v>1343</v>
      </c>
      <c r="D219" s="315">
        <v>26560</v>
      </c>
      <c r="E219" s="315" t="s">
        <v>61</v>
      </c>
      <c r="F219" s="291" t="b">
        <f t="shared" si="7"/>
        <v>0</v>
      </c>
    </row>
    <row r="220" spans="1:6" ht="15" x14ac:dyDescent="0.25">
      <c r="A220" s="314">
        <v>405</v>
      </c>
      <c r="B220" s="315" t="s">
        <v>1348</v>
      </c>
      <c r="C220" s="315" t="s">
        <v>1349</v>
      </c>
      <c r="D220" s="315">
        <v>20805</v>
      </c>
      <c r="E220" s="315" t="s">
        <v>61</v>
      </c>
      <c r="F220" s="291" t="b">
        <f t="shared" si="7"/>
        <v>0</v>
      </c>
    </row>
    <row r="221" spans="1:6" ht="15" x14ac:dyDescent="0.25">
      <c r="A221" s="314">
        <v>319</v>
      </c>
      <c r="B221" s="315" t="s">
        <v>1214</v>
      </c>
      <c r="C221" s="315" t="s">
        <v>1216</v>
      </c>
      <c r="D221" s="315">
        <v>20470</v>
      </c>
      <c r="E221" s="315" t="s">
        <v>61</v>
      </c>
      <c r="F221" s="291" t="b">
        <f t="shared" si="7"/>
        <v>0</v>
      </c>
    </row>
    <row r="222" spans="1:6" ht="15" x14ac:dyDescent="0.25">
      <c r="A222" s="314">
        <v>473</v>
      </c>
      <c r="B222" s="315" t="s">
        <v>1422</v>
      </c>
      <c r="C222" s="315" t="s">
        <v>1428</v>
      </c>
      <c r="D222" s="315">
        <v>22890</v>
      </c>
      <c r="E222" s="315" t="s">
        <v>61</v>
      </c>
      <c r="F222" s="291" t="b">
        <f t="shared" si="7"/>
        <v>0</v>
      </c>
    </row>
    <row r="223" spans="1:6" ht="15" x14ac:dyDescent="0.25">
      <c r="A223" s="314">
        <v>174</v>
      </c>
      <c r="B223" s="315" t="s">
        <v>1048</v>
      </c>
      <c r="C223" s="315" t="s">
        <v>1057</v>
      </c>
      <c r="D223" s="315">
        <v>23005</v>
      </c>
      <c r="E223" s="315" t="s">
        <v>61</v>
      </c>
      <c r="F223" s="291" t="b">
        <f t="shared" si="7"/>
        <v>0</v>
      </c>
    </row>
    <row r="224" spans="1:6" ht="15" x14ac:dyDescent="0.25">
      <c r="A224" s="314">
        <v>335</v>
      </c>
      <c r="B224" s="315" t="s">
        <v>914</v>
      </c>
      <c r="C224" s="315" t="s">
        <v>1245</v>
      </c>
      <c r="D224" s="315">
        <v>26435</v>
      </c>
      <c r="E224" s="315" t="s">
        <v>61</v>
      </c>
      <c r="F224" s="291" t="b">
        <f t="shared" si="7"/>
        <v>0</v>
      </c>
    </row>
    <row r="225" spans="1:6" ht="15" x14ac:dyDescent="0.25">
      <c r="A225" s="314">
        <v>411</v>
      </c>
      <c r="B225" s="315" t="s">
        <v>1354</v>
      </c>
      <c r="C225" s="315" t="s">
        <v>1355</v>
      </c>
      <c r="D225" s="315">
        <v>22085</v>
      </c>
      <c r="E225" s="315" t="s">
        <v>61</v>
      </c>
      <c r="F225" s="291" t="b">
        <f t="shared" si="7"/>
        <v>0</v>
      </c>
    </row>
    <row r="226" spans="1:6" ht="15" x14ac:dyDescent="0.25">
      <c r="A226" s="314">
        <v>413</v>
      </c>
      <c r="B226" s="315" t="s">
        <v>1356</v>
      </c>
      <c r="C226" s="315" t="s">
        <v>1357</v>
      </c>
      <c r="D226" s="315">
        <v>22095</v>
      </c>
      <c r="E226" s="315" t="s">
        <v>61</v>
      </c>
      <c r="F226" s="291" t="b">
        <f t="shared" si="7"/>
        <v>0</v>
      </c>
    </row>
    <row r="227" spans="1:6" ht="15" x14ac:dyDescent="0.25">
      <c r="A227" s="314">
        <v>267</v>
      </c>
      <c r="B227" s="315" t="s">
        <v>1145</v>
      </c>
      <c r="C227" s="315" t="s">
        <v>1150</v>
      </c>
      <c r="D227" s="315">
        <v>26765</v>
      </c>
      <c r="E227" s="315" t="s">
        <v>61</v>
      </c>
      <c r="F227" s="291" t="b">
        <f t="shared" si="7"/>
        <v>0</v>
      </c>
    </row>
    <row r="228" spans="1:6" ht="15" x14ac:dyDescent="0.25">
      <c r="A228" s="314">
        <v>208</v>
      </c>
      <c r="B228" s="315" t="s">
        <v>1087</v>
      </c>
      <c r="C228" s="315" t="s">
        <v>1090</v>
      </c>
      <c r="D228" s="315">
        <v>22405</v>
      </c>
      <c r="E228" s="315" t="s">
        <v>61</v>
      </c>
      <c r="F228" s="291" t="b">
        <f t="shared" si="7"/>
        <v>0</v>
      </c>
    </row>
    <row r="229" spans="1:6" ht="15" x14ac:dyDescent="0.25">
      <c r="A229" s="314">
        <v>423</v>
      </c>
      <c r="B229" s="315" t="s">
        <v>1358</v>
      </c>
      <c r="C229" s="315" t="s">
        <v>1598</v>
      </c>
      <c r="D229" s="315">
        <v>29210</v>
      </c>
      <c r="E229" s="315" t="s">
        <v>1590</v>
      </c>
      <c r="F229" s="291" t="b">
        <f t="shared" si="7"/>
        <v>0</v>
      </c>
    </row>
    <row r="230" spans="1:6" ht="15" x14ac:dyDescent="0.25">
      <c r="A230" s="314">
        <v>335</v>
      </c>
      <c r="B230" s="315" t="s">
        <v>914</v>
      </c>
      <c r="C230" s="315" t="s">
        <v>1231</v>
      </c>
      <c r="D230" s="315">
        <v>21540</v>
      </c>
      <c r="E230" s="315" t="s">
        <v>61</v>
      </c>
      <c r="F230" s="291" t="b">
        <f t="shared" si="7"/>
        <v>0</v>
      </c>
    </row>
    <row r="231" spans="1:6" ht="15" x14ac:dyDescent="0.25">
      <c r="A231" s="314">
        <v>185</v>
      </c>
      <c r="B231" s="315" t="s">
        <v>1064</v>
      </c>
      <c r="C231" s="315" t="s">
        <v>1065</v>
      </c>
      <c r="D231" s="315">
        <v>20650</v>
      </c>
      <c r="E231" s="315" t="s">
        <v>61</v>
      </c>
      <c r="F231" s="291" t="b">
        <f t="shared" si="7"/>
        <v>0</v>
      </c>
    </row>
    <row r="232" spans="1:6" ht="15" x14ac:dyDescent="0.25">
      <c r="A232" s="314">
        <v>543</v>
      </c>
      <c r="B232" s="315" t="s">
        <v>1480</v>
      </c>
      <c r="C232" s="315" t="s">
        <v>1481</v>
      </c>
      <c r="D232" s="315">
        <v>22110</v>
      </c>
      <c r="E232" s="315" t="s">
        <v>61</v>
      </c>
      <c r="F232" s="291" t="b">
        <f t="shared" si="7"/>
        <v>0</v>
      </c>
    </row>
    <row r="233" spans="1:6" ht="15" x14ac:dyDescent="0.25">
      <c r="A233" s="314">
        <v>449</v>
      </c>
      <c r="B233" s="315" t="s">
        <v>1387</v>
      </c>
      <c r="C233" s="315" t="s">
        <v>1599</v>
      </c>
      <c r="D233" s="315">
        <v>22560</v>
      </c>
      <c r="E233" s="315" t="s">
        <v>1590</v>
      </c>
      <c r="F233" s="291" t="b">
        <f t="shared" si="7"/>
        <v>0</v>
      </c>
    </row>
    <row r="234" spans="1:6" ht="15" x14ac:dyDescent="0.25">
      <c r="A234" s="314">
        <v>425</v>
      </c>
      <c r="B234" s="315" t="s">
        <v>1363</v>
      </c>
      <c r="C234" s="315" t="s">
        <v>1364</v>
      </c>
      <c r="D234" s="315">
        <v>27970</v>
      </c>
      <c r="E234" s="315" t="s">
        <v>61</v>
      </c>
      <c r="F234" s="291" t="b">
        <f t="shared" si="7"/>
        <v>0</v>
      </c>
    </row>
    <row r="235" spans="1:6" ht="15" x14ac:dyDescent="0.25">
      <c r="A235" s="314">
        <v>425</v>
      </c>
      <c r="B235" s="315" t="s">
        <v>1363</v>
      </c>
      <c r="C235" s="315" t="s">
        <v>1366</v>
      </c>
      <c r="D235" s="315">
        <v>21110</v>
      </c>
      <c r="E235" s="315" t="s">
        <v>61</v>
      </c>
      <c r="F235" s="291" t="b">
        <f t="shared" si="7"/>
        <v>0</v>
      </c>
    </row>
    <row r="236" spans="1:6" ht="15" x14ac:dyDescent="0.25">
      <c r="A236" s="314">
        <v>427</v>
      </c>
      <c r="B236" s="315" t="s">
        <v>1367</v>
      </c>
      <c r="C236" s="315" t="s">
        <v>1368</v>
      </c>
      <c r="D236" s="315">
        <v>22615</v>
      </c>
      <c r="E236" s="315" t="s">
        <v>61</v>
      </c>
      <c r="F236" s="291" t="b">
        <f t="shared" si="7"/>
        <v>0</v>
      </c>
    </row>
    <row r="237" spans="1:6" ht="15" x14ac:dyDescent="0.25">
      <c r="A237" s="314">
        <v>427</v>
      </c>
      <c r="B237" s="315" t="s">
        <v>1367</v>
      </c>
      <c r="C237" s="315" t="s">
        <v>1370</v>
      </c>
      <c r="D237" s="315">
        <v>22625</v>
      </c>
      <c r="E237" s="315" t="s">
        <v>61</v>
      </c>
      <c r="F237" s="291" t="b">
        <f t="shared" si="7"/>
        <v>0</v>
      </c>
    </row>
    <row r="238" spans="1:6" ht="15" x14ac:dyDescent="0.25">
      <c r="A238" s="314">
        <v>352</v>
      </c>
      <c r="B238" s="315" t="s">
        <v>1269</v>
      </c>
      <c r="C238" s="315" t="s">
        <v>1273</v>
      </c>
      <c r="D238" s="315">
        <v>22185</v>
      </c>
      <c r="E238" s="315" t="s">
        <v>61</v>
      </c>
      <c r="F238" s="291" t="b">
        <f t="shared" si="7"/>
        <v>0</v>
      </c>
    </row>
    <row r="239" spans="1:6" ht="15" x14ac:dyDescent="0.25">
      <c r="A239" s="314">
        <v>41</v>
      </c>
      <c r="B239" s="315" t="s">
        <v>943</v>
      </c>
      <c r="C239" s="315" t="s">
        <v>944</v>
      </c>
      <c r="D239" s="315">
        <v>21000</v>
      </c>
      <c r="E239" s="315" t="s">
        <v>61</v>
      </c>
      <c r="F239" s="291" t="b">
        <f t="shared" si="7"/>
        <v>0</v>
      </c>
    </row>
    <row r="240" spans="1:6" ht="15" x14ac:dyDescent="0.25">
      <c r="A240" s="314">
        <v>112</v>
      </c>
      <c r="B240" s="315" t="s">
        <v>990</v>
      </c>
      <c r="C240" s="315" t="s">
        <v>1000</v>
      </c>
      <c r="D240" s="315">
        <v>22310</v>
      </c>
      <c r="E240" s="315" t="s">
        <v>61</v>
      </c>
      <c r="F240" s="291" t="b">
        <f t="shared" si="7"/>
        <v>0</v>
      </c>
    </row>
    <row r="241" spans="1:6" ht="15" x14ac:dyDescent="0.25">
      <c r="A241" s="314">
        <v>112</v>
      </c>
      <c r="B241" s="315" t="s">
        <v>990</v>
      </c>
      <c r="C241" s="315" t="s">
        <v>993</v>
      </c>
      <c r="D241" s="315">
        <v>22225</v>
      </c>
      <c r="E241" s="315" t="s">
        <v>61</v>
      </c>
      <c r="F241" s="291" t="b">
        <f t="shared" si="7"/>
        <v>0</v>
      </c>
    </row>
    <row r="242" spans="1:6" ht="15" x14ac:dyDescent="0.25">
      <c r="A242" s="314">
        <v>435</v>
      </c>
      <c r="B242" s="315" t="s">
        <v>1374</v>
      </c>
      <c r="C242" s="315" t="s">
        <v>1375</v>
      </c>
      <c r="D242" s="315">
        <v>20895</v>
      </c>
      <c r="E242" s="315" t="s">
        <v>61</v>
      </c>
      <c r="F242" s="291" t="b">
        <f t="shared" si="7"/>
        <v>0</v>
      </c>
    </row>
    <row r="243" spans="1:6" ht="15" x14ac:dyDescent="0.25">
      <c r="A243" s="314">
        <v>113</v>
      </c>
      <c r="B243" s="315" t="s">
        <v>1002</v>
      </c>
      <c r="C243" s="315" t="s">
        <v>1003</v>
      </c>
      <c r="D243" s="315">
        <v>20330</v>
      </c>
      <c r="E243" s="315" t="s">
        <v>61</v>
      </c>
      <c r="F243" s="291" t="b">
        <f t="shared" si="7"/>
        <v>0</v>
      </c>
    </row>
    <row r="244" spans="1:6" ht="15" x14ac:dyDescent="0.25">
      <c r="A244" s="314">
        <v>437</v>
      </c>
      <c r="B244" s="315" t="s">
        <v>1376</v>
      </c>
      <c r="C244" s="315" t="s">
        <v>1377</v>
      </c>
      <c r="D244" s="315">
        <v>20205</v>
      </c>
      <c r="E244" s="315" t="s">
        <v>61</v>
      </c>
      <c r="F244" s="291" t="b">
        <f t="shared" si="7"/>
        <v>0</v>
      </c>
    </row>
    <row r="245" spans="1:6" ht="15" x14ac:dyDescent="0.25">
      <c r="A245" s="314">
        <v>439</v>
      </c>
      <c r="B245" s="315" t="s">
        <v>1379</v>
      </c>
      <c r="C245" s="315" t="s">
        <v>1380</v>
      </c>
      <c r="D245" s="315">
        <v>26595</v>
      </c>
      <c r="E245" s="315" t="s">
        <v>61</v>
      </c>
      <c r="F245" s="291" t="b">
        <f t="shared" si="7"/>
        <v>0</v>
      </c>
    </row>
    <row r="246" spans="1:6" ht="15" x14ac:dyDescent="0.25">
      <c r="A246" s="314">
        <v>441</v>
      </c>
      <c r="B246" s="315" t="s">
        <v>1383</v>
      </c>
      <c r="C246" s="315" t="s">
        <v>1384</v>
      </c>
      <c r="D246" s="315">
        <v>21375</v>
      </c>
      <c r="E246" s="315" t="s">
        <v>61</v>
      </c>
      <c r="F246" s="291" t="b">
        <f t="shared" si="7"/>
        <v>0</v>
      </c>
    </row>
    <row r="247" spans="1:6" ht="15" x14ac:dyDescent="0.25">
      <c r="A247" s="314">
        <v>285</v>
      </c>
      <c r="B247" s="315" t="s">
        <v>1181</v>
      </c>
      <c r="C247" s="315" t="s">
        <v>1183</v>
      </c>
      <c r="D247" s="315">
        <v>21260</v>
      </c>
      <c r="E247" s="315" t="s">
        <v>61</v>
      </c>
      <c r="F247" s="291" t="b">
        <f t="shared" si="7"/>
        <v>0</v>
      </c>
    </row>
    <row r="248" spans="1:6" ht="15" x14ac:dyDescent="0.25">
      <c r="A248" s="314">
        <v>447</v>
      </c>
      <c r="B248" s="315" t="s">
        <v>1385</v>
      </c>
      <c r="C248" s="315" t="s">
        <v>1386</v>
      </c>
      <c r="D248" s="315">
        <v>22355</v>
      </c>
      <c r="E248" s="315" t="s">
        <v>61</v>
      </c>
      <c r="F248" s="291" t="b">
        <f t="shared" si="7"/>
        <v>0</v>
      </c>
    </row>
    <row r="249" spans="1:6" ht="15" x14ac:dyDescent="0.25">
      <c r="A249" s="314">
        <v>735</v>
      </c>
      <c r="B249" s="315" t="s">
        <v>1554</v>
      </c>
      <c r="C249" s="315" t="s">
        <v>1554</v>
      </c>
      <c r="D249" s="315">
        <v>29065</v>
      </c>
      <c r="E249" s="315" t="s">
        <v>61</v>
      </c>
      <c r="F249" s="291" t="b">
        <f t="shared" si="7"/>
        <v>0</v>
      </c>
    </row>
    <row r="250" spans="1:6" ht="15" x14ac:dyDescent="0.25">
      <c r="A250" s="314">
        <v>534</v>
      </c>
      <c r="B250" s="315" t="s">
        <v>1470</v>
      </c>
      <c r="C250" s="315" t="s">
        <v>1475</v>
      </c>
      <c r="D250" s="315">
        <v>22765</v>
      </c>
      <c r="E250" s="315" t="s">
        <v>61</v>
      </c>
      <c r="F250" s="291" t="b">
        <f t="shared" si="7"/>
        <v>0</v>
      </c>
    </row>
    <row r="251" spans="1:6" ht="15" x14ac:dyDescent="0.25">
      <c r="A251" s="314">
        <v>371</v>
      </c>
      <c r="B251" s="315" t="s">
        <v>1306</v>
      </c>
      <c r="C251" s="315" t="s">
        <v>1597</v>
      </c>
      <c r="D251" s="315">
        <v>28610</v>
      </c>
      <c r="E251" s="315" t="s">
        <v>1590</v>
      </c>
      <c r="F251" s="291" t="b">
        <f t="shared" si="7"/>
        <v>0</v>
      </c>
    </row>
    <row r="252" spans="1:6" ht="15" x14ac:dyDescent="0.25">
      <c r="A252" s="314">
        <v>351</v>
      </c>
      <c r="B252" s="315" t="s">
        <v>1262</v>
      </c>
      <c r="C252" s="315" t="s">
        <v>1264</v>
      </c>
      <c r="D252" s="315">
        <v>21015</v>
      </c>
      <c r="E252" s="315" t="s">
        <v>61</v>
      </c>
      <c r="F252" s="291" t="b">
        <f t="shared" si="7"/>
        <v>0</v>
      </c>
    </row>
    <row r="253" spans="1:6" ht="15" x14ac:dyDescent="0.25">
      <c r="A253" s="314">
        <v>71</v>
      </c>
      <c r="B253" s="315" t="s">
        <v>961</v>
      </c>
      <c r="C253" s="315" t="s">
        <v>963</v>
      </c>
      <c r="D253" s="315">
        <v>21800</v>
      </c>
      <c r="E253" s="315" t="s">
        <v>61</v>
      </c>
      <c r="F253" s="291" t="b">
        <f t="shared" si="7"/>
        <v>0</v>
      </c>
    </row>
    <row r="254" spans="1:6" ht="15" x14ac:dyDescent="0.25">
      <c r="A254" s="314">
        <v>401</v>
      </c>
      <c r="B254" s="315" t="s">
        <v>1344</v>
      </c>
      <c r="C254" s="315" t="s">
        <v>1347</v>
      </c>
      <c r="D254" s="315">
        <v>21995</v>
      </c>
      <c r="E254" s="315" t="s">
        <v>61</v>
      </c>
      <c r="F254" s="291" t="b">
        <f t="shared" si="7"/>
        <v>0</v>
      </c>
    </row>
    <row r="255" spans="1:6" ht="15" x14ac:dyDescent="0.25">
      <c r="A255" s="314">
        <v>41</v>
      </c>
      <c r="B255" s="315" t="s">
        <v>943</v>
      </c>
      <c r="C255" s="315" t="s">
        <v>946</v>
      </c>
      <c r="D255" s="315">
        <v>27680</v>
      </c>
      <c r="E255" s="315" t="s">
        <v>61</v>
      </c>
      <c r="F255" s="291" t="b">
        <f t="shared" si="7"/>
        <v>0</v>
      </c>
    </row>
    <row r="256" spans="1:6" ht="15" x14ac:dyDescent="0.25">
      <c r="A256" s="314">
        <v>274</v>
      </c>
      <c r="B256" s="315" t="s">
        <v>1158</v>
      </c>
      <c r="C256" s="315" t="s">
        <v>1159</v>
      </c>
      <c r="D256" s="315">
        <v>22320</v>
      </c>
      <c r="E256" s="315" t="s">
        <v>61</v>
      </c>
      <c r="F256" s="291" t="b">
        <f t="shared" si="7"/>
        <v>0</v>
      </c>
    </row>
    <row r="257" spans="1:6" ht="15" x14ac:dyDescent="0.25">
      <c r="A257" s="314">
        <v>457</v>
      </c>
      <c r="B257" s="315" t="s">
        <v>1400</v>
      </c>
      <c r="C257" s="315" t="s">
        <v>1401</v>
      </c>
      <c r="D257" s="315">
        <v>29196</v>
      </c>
      <c r="E257" s="315" t="s">
        <v>61</v>
      </c>
      <c r="F257" s="291" t="b">
        <f t="shared" si="7"/>
        <v>0</v>
      </c>
    </row>
    <row r="258" spans="1:6" ht="15" x14ac:dyDescent="0.25">
      <c r="A258" s="314">
        <v>737</v>
      </c>
      <c r="B258" s="315" t="s">
        <v>1555</v>
      </c>
      <c r="C258" s="315" t="s">
        <v>1555</v>
      </c>
      <c r="D258" s="315">
        <v>29070</v>
      </c>
      <c r="E258" s="315" t="s">
        <v>61</v>
      </c>
      <c r="F258" s="291" t="b">
        <f t="shared" si="7"/>
        <v>0</v>
      </c>
    </row>
    <row r="259" spans="1:6" ht="15" x14ac:dyDescent="0.25">
      <c r="A259" s="314">
        <v>463</v>
      </c>
      <c r="B259" s="315" t="s">
        <v>1415</v>
      </c>
      <c r="C259" s="315" t="s">
        <v>1416</v>
      </c>
      <c r="D259" s="315">
        <v>22810</v>
      </c>
      <c r="E259" s="315" t="s">
        <v>61</v>
      </c>
      <c r="F259" s="291" t="b">
        <f t="shared" si="7"/>
        <v>0</v>
      </c>
    </row>
    <row r="260" spans="1:6" ht="15" x14ac:dyDescent="0.25">
      <c r="A260" s="314">
        <v>467</v>
      </c>
      <c r="B260" s="315" t="s">
        <v>1417</v>
      </c>
      <c r="C260" s="315" t="s">
        <v>1418</v>
      </c>
      <c r="D260" s="315">
        <v>22375</v>
      </c>
      <c r="E260" s="315" t="s">
        <v>61</v>
      </c>
      <c r="F260" s="291" t="b">
        <f t="shared" ref="F260:F323" si="8">C260=C261</f>
        <v>0</v>
      </c>
    </row>
    <row r="261" spans="1:6" ht="15" x14ac:dyDescent="0.25">
      <c r="A261" s="314">
        <v>471</v>
      </c>
      <c r="B261" s="315" t="s">
        <v>1419</v>
      </c>
      <c r="C261" s="315" t="s">
        <v>1421</v>
      </c>
      <c r="D261" s="315">
        <v>22475</v>
      </c>
      <c r="E261" s="315" t="s">
        <v>61</v>
      </c>
      <c r="F261" s="291" t="b">
        <f t="shared" si="8"/>
        <v>0</v>
      </c>
    </row>
    <row r="262" spans="1:6" ht="15" x14ac:dyDescent="0.25">
      <c r="A262" s="314">
        <v>471</v>
      </c>
      <c r="B262" s="315" t="s">
        <v>1419</v>
      </c>
      <c r="C262" s="315" t="s">
        <v>1420</v>
      </c>
      <c r="D262" s="315">
        <v>22470</v>
      </c>
      <c r="E262" s="315" t="s">
        <v>61</v>
      </c>
      <c r="F262" s="291" t="b">
        <f t="shared" si="8"/>
        <v>0</v>
      </c>
    </row>
    <row r="263" spans="1:6" ht="15" x14ac:dyDescent="0.25">
      <c r="A263" s="314">
        <v>352</v>
      </c>
      <c r="B263" s="315" t="s">
        <v>1269</v>
      </c>
      <c r="C263" s="315" t="s">
        <v>1275</v>
      </c>
      <c r="D263" s="315">
        <v>22200</v>
      </c>
      <c r="E263" s="315" t="s">
        <v>61</v>
      </c>
      <c r="F263" s="291" t="b">
        <f t="shared" si="8"/>
        <v>0</v>
      </c>
    </row>
    <row r="264" spans="1:6" ht="15" x14ac:dyDescent="0.25">
      <c r="A264" s="314">
        <v>582</v>
      </c>
      <c r="B264" s="315" t="s">
        <v>1512</v>
      </c>
      <c r="C264" s="315" t="s">
        <v>1513</v>
      </c>
      <c r="D264" s="315">
        <v>22925</v>
      </c>
      <c r="E264" s="315" t="s">
        <v>61</v>
      </c>
      <c r="F264" s="291" t="b">
        <f t="shared" si="8"/>
        <v>0</v>
      </c>
    </row>
    <row r="265" spans="1:6" ht="15" x14ac:dyDescent="0.25">
      <c r="A265" s="314">
        <v>534</v>
      </c>
      <c r="B265" s="315" t="s">
        <v>1470</v>
      </c>
      <c r="C265" s="315" t="s">
        <v>1477</v>
      </c>
      <c r="D265" s="315">
        <v>22775</v>
      </c>
      <c r="E265" s="315" t="s">
        <v>61</v>
      </c>
      <c r="F265" s="291" t="b">
        <f t="shared" si="8"/>
        <v>0</v>
      </c>
    </row>
    <row r="266" spans="1:6" ht="15" x14ac:dyDescent="0.25">
      <c r="A266" s="314">
        <v>534</v>
      </c>
      <c r="B266" s="315" t="s">
        <v>1470</v>
      </c>
      <c r="C266" s="315" t="s">
        <v>1471</v>
      </c>
      <c r="D266" s="315">
        <v>27910</v>
      </c>
      <c r="E266" s="315" t="s">
        <v>61</v>
      </c>
      <c r="F266" s="291" t="b">
        <f t="shared" si="8"/>
        <v>0</v>
      </c>
    </row>
    <row r="267" spans="1:6" ht="15" x14ac:dyDescent="0.25">
      <c r="A267" s="314">
        <v>269</v>
      </c>
      <c r="B267" s="315" t="s">
        <v>1151</v>
      </c>
      <c r="C267" s="315" t="s">
        <v>1155</v>
      </c>
      <c r="D267" s="315">
        <v>20040</v>
      </c>
      <c r="E267" s="315" t="s">
        <v>61</v>
      </c>
      <c r="F267" s="291" t="b">
        <f t="shared" si="8"/>
        <v>0</v>
      </c>
    </row>
    <row r="268" spans="1:6" ht="15" x14ac:dyDescent="0.25">
      <c r="A268" s="314">
        <v>174</v>
      </c>
      <c r="B268" s="315" t="s">
        <v>1048</v>
      </c>
      <c r="C268" s="315" t="s">
        <v>1056</v>
      </c>
      <c r="D268" s="315">
        <v>22995</v>
      </c>
      <c r="E268" s="315" t="s">
        <v>61</v>
      </c>
      <c r="F268" s="291" t="b">
        <f t="shared" si="8"/>
        <v>0</v>
      </c>
    </row>
    <row r="269" spans="1:6" ht="15" x14ac:dyDescent="0.25">
      <c r="A269" s="314">
        <v>461</v>
      </c>
      <c r="B269" s="315" t="s">
        <v>1403</v>
      </c>
      <c r="C269" s="315" t="s">
        <v>1412</v>
      </c>
      <c r="D269" s="315">
        <v>22720</v>
      </c>
      <c r="E269" s="315" t="s">
        <v>61</v>
      </c>
      <c r="F269" s="291" t="b">
        <f t="shared" si="8"/>
        <v>0</v>
      </c>
    </row>
    <row r="270" spans="1:6" ht="15" x14ac:dyDescent="0.25">
      <c r="A270" s="314">
        <v>485</v>
      </c>
      <c r="B270" s="315" t="s">
        <v>1434</v>
      </c>
      <c r="C270" s="315" t="s">
        <v>1436</v>
      </c>
      <c r="D270" s="315">
        <v>20810</v>
      </c>
      <c r="E270" s="315" t="s">
        <v>61</v>
      </c>
      <c r="F270" s="291" t="b">
        <f t="shared" si="8"/>
        <v>0</v>
      </c>
    </row>
    <row r="271" spans="1:6" ht="15" x14ac:dyDescent="0.25">
      <c r="A271" s="314">
        <v>485</v>
      </c>
      <c r="B271" s="315" t="s">
        <v>1434</v>
      </c>
      <c r="C271" s="315" t="s">
        <v>1435</v>
      </c>
      <c r="D271" s="315">
        <v>27995</v>
      </c>
      <c r="E271" s="315" t="s">
        <v>61</v>
      </c>
      <c r="F271" s="291" t="b">
        <f t="shared" si="8"/>
        <v>0</v>
      </c>
    </row>
    <row r="272" spans="1:6" ht="15" x14ac:dyDescent="0.25">
      <c r="A272" s="314">
        <v>705</v>
      </c>
      <c r="B272" s="315" t="s">
        <v>1523</v>
      </c>
      <c r="C272" s="315" t="s">
        <v>1523</v>
      </c>
      <c r="D272" s="315">
        <v>28400</v>
      </c>
      <c r="E272" s="315" t="s">
        <v>61</v>
      </c>
      <c r="F272" s="291" t="b">
        <f t="shared" si="8"/>
        <v>0</v>
      </c>
    </row>
    <row r="273" spans="1:6" ht="15" x14ac:dyDescent="0.25">
      <c r="A273" s="314">
        <v>276</v>
      </c>
      <c r="B273" s="315" t="s">
        <v>1165</v>
      </c>
      <c r="C273" s="315" t="s">
        <v>1168</v>
      </c>
      <c r="D273" s="315">
        <v>22020</v>
      </c>
      <c r="E273" s="315" t="s">
        <v>61</v>
      </c>
      <c r="F273" s="291" t="b">
        <f t="shared" si="8"/>
        <v>0</v>
      </c>
    </row>
    <row r="274" spans="1:6" ht="15" x14ac:dyDescent="0.25">
      <c r="A274" s="314">
        <v>335</v>
      </c>
      <c r="B274" s="315" t="s">
        <v>914</v>
      </c>
      <c r="C274" s="315" t="s">
        <v>1239</v>
      </c>
      <c r="D274" s="315">
        <v>21605</v>
      </c>
      <c r="E274" s="315" t="s">
        <v>61</v>
      </c>
      <c r="F274" s="291" t="b">
        <f t="shared" si="8"/>
        <v>0</v>
      </c>
    </row>
    <row r="275" spans="1:6" ht="15" x14ac:dyDescent="0.25">
      <c r="A275" s="314">
        <v>495</v>
      </c>
      <c r="B275" s="315" t="s">
        <v>1449</v>
      </c>
      <c r="C275" s="315" t="s">
        <v>1450</v>
      </c>
      <c r="D275" s="315">
        <v>20815</v>
      </c>
      <c r="E275" s="315" t="s">
        <v>61</v>
      </c>
      <c r="F275" s="291" t="b">
        <f t="shared" si="8"/>
        <v>0</v>
      </c>
    </row>
    <row r="276" spans="1:6" ht="15" x14ac:dyDescent="0.25">
      <c r="A276" s="314">
        <v>319</v>
      </c>
      <c r="B276" s="315" t="s">
        <v>1214</v>
      </c>
      <c r="C276" s="315" t="s">
        <v>1217</v>
      </c>
      <c r="D276" s="315">
        <v>20475</v>
      </c>
      <c r="E276" s="315" t="s">
        <v>61</v>
      </c>
      <c r="F276" s="291" t="b">
        <f t="shared" si="8"/>
        <v>0</v>
      </c>
    </row>
    <row r="277" spans="1:6" ht="15" x14ac:dyDescent="0.25">
      <c r="A277" s="314">
        <v>131</v>
      </c>
      <c r="B277" s="315" t="s">
        <v>1014</v>
      </c>
      <c r="C277" s="315" t="s">
        <v>1020</v>
      </c>
      <c r="D277" s="315">
        <v>20405</v>
      </c>
      <c r="E277" s="315" t="s">
        <v>61</v>
      </c>
      <c r="F277" s="291" t="b">
        <f t="shared" si="8"/>
        <v>0</v>
      </c>
    </row>
    <row r="278" spans="1:6" ht="15" x14ac:dyDescent="0.25">
      <c r="A278" s="314">
        <v>582</v>
      </c>
      <c r="B278" s="315" t="s">
        <v>1512</v>
      </c>
      <c r="C278" s="315" t="s">
        <v>1517</v>
      </c>
      <c r="D278" s="315">
        <v>27070</v>
      </c>
      <c r="E278" s="315" t="s">
        <v>61</v>
      </c>
      <c r="F278" s="291" t="b">
        <f t="shared" si="8"/>
        <v>0</v>
      </c>
    </row>
    <row r="279" spans="1:6" ht="15" x14ac:dyDescent="0.25">
      <c r="A279" s="314">
        <v>499</v>
      </c>
      <c r="B279" s="315" t="s">
        <v>1451</v>
      </c>
      <c r="C279" s="315" t="s">
        <v>1452</v>
      </c>
      <c r="D279" s="315">
        <v>22910</v>
      </c>
      <c r="E279" s="315" t="s">
        <v>61</v>
      </c>
      <c r="F279" s="291" t="b">
        <f t="shared" si="8"/>
        <v>0</v>
      </c>
    </row>
    <row r="280" spans="1:6" ht="15" x14ac:dyDescent="0.25">
      <c r="A280" s="314">
        <v>501</v>
      </c>
      <c r="B280" s="315" t="s">
        <v>1453</v>
      </c>
      <c r="C280" s="315" t="s">
        <v>1454</v>
      </c>
      <c r="D280" s="315">
        <v>27560</v>
      </c>
      <c r="E280" s="315" t="s">
        <v>61</v>
      </c>
      <c r="F280" s="291" t="b">
        <f t="shared" si="8"/>
        <v>0</v>
      </c>
    </row>
    <row r="281" spans="1:6" ht="15" x14ac:dyDescent="0.25">
      <c r="A281" s="314">
        <v>507</v>
      </c>
      <c r="B281" s="315" t="s">
        <v>1457</v>
      </c>
      <c r="C281" s="315" t="s">
        <v>1458</v>
      </c>
      <c r="D281" s="315">
        <v>22100</v>
      </c>
      <c r="E281" s="315" t="s">
        <v>61</v>
      </c>
      <c r="F281" s="291" t="b">
        <f t="shared" si="8"/>
        <v>0</v>
      </c>
    </row>
    <row r="282" spans="1:6" ht="15" x14ac:dyDescent="0.25">
      <c r="A282" s="314">
        <v>509</v>
      </c>
      <c r="B282" s="315" t="s">
        <v>1459</v>
      </c>
      <c r="C282" s="315" t="s">
        <v>1460</v>
      </c>
      <c r="D282" s="315">
        <v>22915</v>
      </c>
      <c r="E282" s="315" t="s">
        <v>61</v>
      </c>
      <c r="F282" s="291" t="b">
        <f t="shared" si="8"/>
        <v>0</v>
      </c>
    </row>
    <row r="283" spans="1:6" ht="15" x14ac:dyDescent="0.25">
      <c r="A283" s="314">
        <v>511</v>
      </c>
      <c r="B283" s="315" t="s">
        <v>1461</v>
      </c>
      <c r="C283" s="315" t="s">
        <v>1462</v>
      </c>
      <c r="D283" s="315">
        <v>20615</v>
      </c>
      <c r="E283" s="315" t="s">
        <v>61</v>
      </c>
      <c r="F283" s="291" t="b">
        <f t="shared" si="8"/>
        <v>0</v>
      </c>
    </row>
    <row r="284" spans="1:6" ht="15" x14ac:dyDescent="0.25">
      <c r="A284" s="314">
        <v>721</v>
      </c>
      <c r="B284" s="315" t="s">
        <v>1538</v>
      </c>
      <c r="C284" s="315" t="s">
        <v>1538</v>
      </c>
      <c r="D284" s="315">
        <v>28570</v>
      </c>
      <c r="E284" s="315" t="s">
        <v>61</v>
      </c>
      <c r="F284" s="291" t="b">
        <f t="shared" si="8"/>
        <v>0</v>
      </c>
    </row>
    <row r="285" spans="1:6" ht="15" x14ac:dyDescent="0.25">
      <c r="A285" s="314">
        <v>515</v>
      </c>
      <c r="B285" s="315" t="s">
        <v>1463</v>
      </c>
      <c r="C285" s="315" t="s">
        <v>1465</v>
      </c>
      <c r="D285" s="315">
        <v>22005</v>
      </c>
      <c r="E285" s="315" t="s">
        <v>61</v>
      </c>
      <c r="F285" s="291" t="b">
        <f t="shared" si="8"/>
        <v>0</v>
      </c>
    </row>
    <row r="286" spans="1:6" ht="15" x14ac:dyDescent="0.25">
      <c r="A286" s="314">
        <v>371</v>
      </c>
      <c r="B286" s="315" t="s">
        <v>1306</v>
      </c>
      <c r="C286" s="315" t="s">
        <v>1311</v>
      </c>
      <c r="D286" s="315">
        <v>21850</v>
      </c>
      <c r="E286" s="315" t="s">
        <v>61</v>
      </c>
      <c r="F286" s="291" t="b">
        <f t="shared" si="8"/>
        <v>0</v>
      </c>
    </row>
    <row r="287" spans="1:6" ht="15" x14ac:dyDescent="0.25">
      <c r="A287" s="314">
        <v>717</v>
      </c>
      <c r="B287" s="315" t="s">
        <v>1536</v>
      </c>
      <c r="C287" s="315" t="s">
        <v>1536</v>
      </c>
      <c r="D287" s="315">
        <v>28515</v>
      </c>
      <c r="E287" s="315" t="s">
        <v>61</v>
      </c>
      <c r="F287" s="291" t="b">
        <f t="shared" si="8"/>
        <v>0</v>
      </c>
    </row>
    <row r="288" spans="1:6" ht="15" x14ac:dyDescent="0.25">
      <c r="A288" s="314">
        <v>276</v>
      </c>
      <c r="B288" s="315" t="s">
        <v>1165</v>
      </c>
      <c r="C288" s="315" t="s">
        <v>1166</v>
      </c>
      <c r="D288" s="315">
        <v>22010</v>
      </c>
      <c r="E288" s="315" t="s">
        <v>61</v>
      </c>
      <c r="F288" s="291" t="b">
        <f t="shared" si="8"/>
        <v>0</v>
      </c>
    </row>
    <row r="289" spans="1:6" ht="15" x14ac:dyDescent="0.25">
      <c r="A289" s="314">
        <v>63</v>
      </c>
      <c r="B289" s="315" t="s">
        <v>960</v>
      </c>
      <c r="C289" s="315" t="s">
        <v>1570</v>
      </c>
      <c r="D289" s="315">
        <v>20555</v>
      </c>
      <c r="E289" s="315" t="s">
        <v>61</v>
      </c>
      <c r="F289" s="291" t="b">
        <f t="shared" si="8"/>
        <v>0</v>
      </c>
    </row>
    <row r="290" spans="1:6" ht="15" x14ac:dyDescent="0.25">
      <c r="A290" s="314">
        <v>279</v>
      </c>
      <c r="B290" s="315" t="s">
        <v>1172</v>
      </c>
      <c r="C290" s="315" t="s">
        <v>1174</v>
      </c>
      <c r="D290" s="315">
        <v>21170</v>
      </c>
      <c r="E290" s="315" t="s">
        <v>61</v>
      </c>
      <c r="F290" s="291" t="b">
        <f t="shared" si="8"/>
        <v>0</v>
      </c>
    </row>
    <row r="291" spans="1:6" ht="15" x14ac:dyDescent="0.25">
      <c r="A291" s="314">
        <v>112</v>
      </c>
      <c r="B291" s="315" t="s">
        <v>990</v>
      </c>
      <c r="C291" s="315" t="s">
        <v>1001</v>
      </c>
      <c r="D291" s="315">
        <v>22330</v>
      </c>
      <c r="E291" s="315" t="s">
        <v>61</v>
      </c>
      <c r="F291" s="291" t="b">
        <f t="shared" si="8"/>
        <v>0</v>
      </c>
    </row>
    <row r="292" spans="1:6" ht="15" x14ac:dyDescent="0.25">
      <c r="A292" s="314">
        <v>731</v>
      </c>
      <c r="B292" s="315" t="s">
        <v>1548</v>
      </c>
      <c r="C292" s="315" t="s">
        <v>1549</v>
      </c>
      <c r="D292" s="315">
        <v>29055</v>
      </c>
      <c r="E292" s="315" t="s">
        <v>61</v>
      </c>
      <c r="F292" s="291" t="b">
        <f t="shared" si="8"/>
        <v>0</v>
      </c>
    </row>
    <row r="293" spans="1:6" ht="15" x14ac:dyDescent="0.25">
      <c r="A293" s="314">
        <v>741</v>
      </c>
      <c r="B293" s="315" t="s">
        <v>1557</v>
      </c>
      <c r="C293" s="315" t="s">
        <v>1559</v>
      </c>
      <c r="D293" s="315">
        <v>29150</v>
      </c>
      <c r="E293" s="315" t="s">
        <v>61</v>
      </c>
      <c r="F293" s="291" t="b">
        <f t="shared" si="8"/>
        <v>0</v>
      </c>
    </row>
    <row r="294" spans="1:6" ht="15" x14ac:dyDescent="0.25">
      <c r="A294" s="314">
        <v>531</v>
      </c>
      <c r="B294" s="315" t="s">
        <v>1468</v>
      </c>
      <c r="C294" s="315" t="s">
        <v>1469</v>
      </c>
      <c r="D294" s="315">
        <v>22380</v>
      </c>
      <c r="E294" s="315" t="s">
        <v>61</v>
      </c>
      <c r="F294" s="291" t="b">
        <f t="shared" si="8"/>
        <v>0</v>
      </c>
    </row>
    <row r="295" spans="1:6" ht="15" x14ac:dyDescent="0.25">
      <c r="A295" s="314">
        <v>351</v>
      </c>
      <c r="B295" s="315" t="s">
        <v>1262</v>
      </c>
      <c r="C295" s="315" t="s">
        <v>1267</v>
      </c>
      <c r="D295" s="315">
        <v>21035</v>
      </c>
      <c r="E295" s="315" t="s">
        <v>61</v>
      </c>
      <c r="F295" s="291" t="b">
        <f t="shared" si="8"/>
        <v>0</v>
      </c>
    </row>
    <row r="296" spans="1:6" ht="15" x14ac:dyDescent="0.25">
      <c r="A296" s="314">
        <v>427</v>
      </c>
      <c r="B296" s="315" t="s">
        <v>1367</v>
      </c>
      <c r="C296" s="315" t="s">
        <v>1371</v>
      </c>
      <c r="D296" s="315">
        <v>26925</v>
      </c>
      <c r="E296" s="315" t="s">
        <v>61</v>
      </c>
      <c r="F296" s="291" t="b">
        <f t="shared" si="8"/>
        <v>0</v>
      </c>
    </row>
    <row r="297" spans="1:6" ht="15" x14ac:dyDescent="0.25">
      <c r="A297" s="314">
        <v>363</v>
      </c>
      <c r="B297" s="315" t="s">
        <v>1290</v>
      </c>
      <c r="C297" s="315" t="s">
        <v>1295</v>
      </c>
      <c r="D297" s="315">
        <v>21725</v>
      </c>
      <c r="E297" s="315" t="s">
        <v>61</v>
      </c>
      <c r="F297" s="291" t="b">
        <f t="shared" si="8"/>
        <v>0</v>
      </c>
    </row>
    <row r="298" spans="1:6" ht="15" x14ac:dyDescent="0.25">
      <c r="A298" s="314">
        <v>208</v>
      </c>
      <c r="B298" s="315" t="s">
        <v>1087</v>
      </c>
      <c r="C298" s="315" t="s">
        <v>1091</v>
      </c>
      <c r="D298" s="315">
        <v>22410</v>
      </c>
      <c r="E298" s="315" t="s">
        <v>61</v>
      </c>
      <c r="F298" s="291" t="b">
        <f t="shared" si="8"/>
        <v>0</v>
      </c>
    </row>
    <row r="299" spans="1:6" ht="15" x14ac:dyDescent="0.25">
      <c r="A299" s="314">
        <v>582</v>
      </c>
      <c r="B299" s="315" t="s">
        <v>1512</v>
      </c>
      <c r="C299" s="315" t="s">
        <v>1514</v>
      </c>
      <c r="D299" s="315">
        <v>22945</v>
      </c>
      <c r="E299" s="315" t="s">
        <v>61</v>
      </c>
      <c r="F299" s="291" t="b">
        <f t="shared" si="8"/>
        <v>0</v>
      </c>
    </row>
    <row r="300" spans="1:6" ht="15" x14ac:dyDescent="0.25">
      <c r="A300" s="314">
        <v>539</v>
      </c>
      <c r="B300" s="315" t="s">
        <v>1478</v>
      </c>
      <c r="C300" s="315" t="s">
        <v>1479</v>
      </c>
      <c r="D300" s="315">
        <v>20180</v>
      </c>
      <c r="E300" s="315" t="s">
        <v>61</v>
      </c>
      <c r="F300" s="291" t="b">
        <f t="shared" si="8"/>
        <v>0</v>
      </c>
    </row>
    <row r="301" spans="1:6" ht="15" x14ac:dyDescent="0.25">
      <c r="A301" s="314">
        <v>175</v>
      </c>
      <c r="B301" s="315" t="s">
        <v>1060</v>
      </c>
      <c r="C301" s="315" t="s">
        <v>1061</v>
      </c>
      <c r="D301" s="315">
        <v>27980</v>
      </c>
      <c r="E301" s="315" t="s">
        <v>61</v>
      </c>
      <c r="F301" s="291" t="b">
        <f t="shared" si="8"/>
        <v>0</v>
      </c>
    </row>
    <row r="302" spans="1:6" ht="15" x14ac:dyDescent="0.25">
      <c r="A302" s="314">
        <v>174</v>
      </c>
      <c r="B302" s="315" t="s">
        <v>1048</v>
      </c>
      <c r="C302" s="315" t="s">
        <v>1051</v>
      </c>
      <c r="D302" s="315">
        <v>22970</v>
      </c>
      <c r="E302" s="315" t="s">
        <v>61</v>
      </c>
      <c r="F302" s="291" t="b">
        <f t="shared" si="8"/>
        <v>0</v>
      </c>
    </row>
    <row r="303" spans="1:6" ht="15" x14ac:dyDescent="0.25">
      <c r="A303" s="314">
        <v>727</v>
      </c>
      <c r="B303" s="315" t="s">
        <v>1543</v>
      </c>
      <c r="C303" s="315" t="s">
        <v>1544</v>
      </c>
      <c r="D303" s="315">
        <v>28650</v>
      </c>
      <c r="E303" s="315" t="s">
        <v>61</v>
      </c>
      <c r="F303" s="291" t="b">
        <f t="shared" si="8"/>
        <v>0</v>
      </c>
    </row>
    <row r="304" spans="1:6" ht="15" x14ac:dyDescent="0.25">
      <c r="A304" s="314">
        <v>174</v>
      </c>
      <c r="B304" s="315" t="s">
        <v>1048</v>
      </c>
      <c r="C304" s="315" t="s">
        <v>1059</v>
      </c>
      <c r="D304" s="315">
        <v>23015</v>
      </c>
      <c r="E304" s="315" t="s">
        <v>61</v>
      </c>
      <c r="F304" s="291" t="b">
        <f t="shared" si="8"/>
        <v>0</v>
      </c>
    </row>
    <row r="305" spans="1:6" ht="15" x14ac:dyDescent="0.25">
      <c r="A305" s="314">
        <v>174</v>
      </c>
      <c r="B305" s="315" t="s">
        <v>1048</v>
      </c>
      <c r="C305" s="315" t="s">
        <v>1058</v>
      </c>
      <c r="D305" s="315">
        <v>23010</v>
      </c>
      <c r="E305" s="315" t="s">
        <v>61</v>
      </c>
      <c r="F305" s="291" t="b">
        <f t="shared" si="8"/>
        <v>0</v>
      </c>
    </row>
    <row r="306" spans="1:6" ht="15" x14ac:dyDescent="0.25">
      <c r="A306" s="314">
        <v>549</v>
      </c>
      <c r="B306" s="315" t="s">
        <v>1482</v>
      </c>
      <c r="C306" s="315" t="s">
        <v>1483</v>
      </c>
      <c r="D306" s="315">
        <v>20900</v>
      </c>
      <c r="E306" s="315" t="s">
        <v>61</v>
      </c>
      <c r="F306" s="291" t="b">
        <f t="shared" si="8"/>
        <v>0</v>
      </c>
    </row>
    <row r="307" spans="1:6" ht="15" x14ac:dyDescent="0.25">
      <c r="A307" s="314">
        <v>551</v>
      </c>
      <c r="B307" s="315" t="s">
        <v>1484</v>
      </c>
      <c r="C307" s="315" t="s">
        <v>1485</v>
      </c>
      <c r="D307" s="315">
        <v>20985</v>
      </c>
      <c r="E307" s="315" t="s">
        <v>61</v>
      </c>
      <c r="F307" s="291" t="b">
        <f t="shared" si="8"/>
        <v>0</v>
      </c>
    </row>
    <row r="308" spans="1:6" ht="15" x14ac:dyDescent="0.25">
      <c r="A308" s="314">
        <v>553</v>
      </c>
      <c r="B308" s="315" t="s">
        <v>1486</v>
      </c>
      <c r="C308" s="315" t="s">
        <v>1487</v>
      </c>
      <c r="D308" s="315">
        <v>22385</v>
      </c>
      <c r="E308" s="315" t="s">
        <v>61</v>
      </c>
      <c r="F308" s="291" t="b">
        <f t="shared" si="8"/>
        <v>0</v>
      </c>
    </row>
    <row r="309" spans="1:6" ht="15" x14ac:dyDescent="0.25">
      <c r="A309" s="314">
        <v>352</v>
      </c>
      <c r="B309" s="315" t="s">
        <v>1269</v>
      </c>
      <c r="C309" s="315" t="s">
        <v>1276</v>
      </c>
      <c r="D309" s="315">
        <v>22205</v>
      </c>
      <c r="E309" s="315" t="s">
        <v>61</v>
      </c>
      <c r="F309" s="291" t="b">
        <f t="shared" si="8"/>
        <v>0</v>
      </c>
    </row>
    <row r="310" spans="1:6" ht="15" x14ac:dyDescent="0.25">
      <c r="A310" s="314">
        <v>335</v>
      </c>
      <c r="B310" s="315" t="s">
        <v>914</v>
      </c>
      <c r="C310" s="315" t="s">
        <v>1242</v>
      </c>
      <c r="D310" s="315">
        <v>21635</v>
      </c>
      <c r="E310" s="315" t="s">
        <v>61</v>
      </c>
      <c r="F310" s="291" t="b">
        <f t="shared" si="8"/>
        <v>0</v>
      </c>
    </row>
    <row r="311" spans="1:6" ht="15" x14ac:dyDescent="0.25">
      <c r="A311" s="314">
        <v>235</v>
      </c>
      <c r="B311" s="315" t="s">
        <v>1110</v>
      </c>
      <c r="C311" s="315" t="s">
        <v>1111</v>
      </c>
      <c r="D311" s="315">
        <v>21155</v>
      </c>
      <c r="E311" s="315" t="s">
        <v>61</v>
      </c>
      <c r="F311" s="291" t="b">
        <f t="shared" si="8"/>
        <v>0</v>
      </c>
    </row>
    <row r="312" spans="1:6" ht="15" x14ac:dyDescent="0.25">
      <c r="A312" s="314">
        <v>559</v>
      </c>
      <c r="B312" s="315" t="s">
        <v>1491</v>
      </c>
      <c r="C312" s="315" t="s">
        <v>1492</v>
      </c>
      <c r="D312" s="315">
        <v>22390</v>
      </c>
      <c r="E312" s="315" t="s">
        <v>61</v>
      </c>
      <c r="F312" s="291" t="b">
        <f t="shared" si="8"/>
        <v>0</v>
      </c>
    </row>
    <row r="313" spans="1:6" ht="15" x14ac:dyDescent="0.25">
      <c r="A313" s="314">
        <v>563</v>
      </c>
      <c r="B313" s="315" t="s">
        <v>1493</v>
      </c>
      <c r="C313" s="315" t="s">
        <v>1494</v>
      </c>
      <c r="D313" s="315">
        <v>21230</v>
      </c>
      <c r="E313" s="315" t="s">
        <v>61</v>
      </c>
      <c r="F313" s="291" t="b">
        <f t="shared" si="8"/>
        <v>0</v>
      </c>
    </row>
    <row r="314" spans="1:6" ht="15" x14ac:dyDescent="0.25">
      <c r="A314" s="314">
        <v>335</v>
      </c>
      <c r="B314" s="315" t="s">
        <v>914</v>
      </c>
      <c r="C314" s="315" t="s">
        <v>1227</v>
      </c>
      <c r="D314" s="315">
        <v>21515</v>
      </c>
      <c r="E314" s="315" t="s">
        <v>61</v>
      </c>
      <c r="F314" s="291" t="b">
        <f t="shared" si="8"/>
        <v>0</v>
      </c>
    </row>
    <row r="315" spans="1:6" ht="15" x14ac:dyDescent="0.25">
      <c r="A315" s="314">
        <v>279</v>
      </c>
      <c r="B315" s="315" t="s">
        <v>1172</v>
      </c>
      <c r="C315" s="315" t="s">
        <v>1178</v>
      </c>
      <c r="D315" s="315">
        <v>21200</v>
      </c>
      <c r="E315" s="315" t="s">
        <v>61</v>
      </c>
      <c r="F315" s="291" t="b">
        <f t="shared" si="8"/>
        <v>0</v>
      </c>
    </row>
    <row r="316" spans="1:6" ht="15" x14ac:dyDescent="0.25">
      <c r="A316" s="314">
        <v>568</v>
      </c>
      <c r="B316" s="315" t="s">
        <v>1495</v>
      </c>
      <c r="C316" s="315" t="s">
        <v>1496</v>
      </c>
      <c r="D316" s="315">
        <v>26930</v>
      </c>
      <c r="E316" s="315" t="s">
        <v>61</v>
      </c>
      <c r="F316" s="291" t="b">
        <f t="shared" si="8"/>
        <v>0</v>
      </c>
    </row>
    <row r="317" spans="1:6" ht="15" x14ac:dyDescent="0.25">
      <c r="A317" s="314">
        <v>461</v>
      </c>
      <c r="B317" s="315" t="s">
        <v>1403</v>
      </c>
      <c r="C317" s="315" t="s">
        <v>1408</v>
      </c>
      <c r="D317" s="315">
        <v>22690</v>
      </c>
      <c r="E317" s="315" t="s">
        <v>61</v>
      </c>
      <c r="F317" s="291" t="b">
        <f t="shared" si="8"/>
        <v>0</v>
      </c>
    </row>
    <row r="318" spans="1:6" ht="15" x14ac:dyDescent="0.25">
      <c r="A318" s="316">
        <v>473</v>
      </c>
      <c r="B318" s="317" t="s">
        <v>1422</v>
      </c>
      <c r="C318" s="317" t="s">
        <v>1424</v>
      </c>
      <c r="D318" s="317">
        <v>22860</v>
      </c>
      <c r="E318" s="317" t="s">
        <v>61</v>
      </c>
      <c r="F318" s="291" t="b">
        <f t="shared" si="8"/>
        <v>0</v>
      </c>
    </row>
    <row r="319" spans="1:6" ht="15" x14ac:dyDescent="0.25">
      <c r="A319" s="316">
        <v>473</v>
      </c>
      <c r="B319" s="317" t="s">
        <v>1422</v>
      </c>
      <c r="C319" s="317" t="s">
        <v>1425</v>
      </c>
      <c r="D319" s="317">
        <v>22865</v>
      </c>
      <c r="E319" s="317" t="s">
        <v>61</v>
      </c>
      <c r="F319" s="291" t="b">
        <f t="shared" si="8"/>
        <v>0</v>
      </c>
    </row>
    <row r="320" spans="1:6" ht="15" x14ac:dyDescent="0.25">
      <c r="A320" s="316">
        <v>335</v>
      </c>
      <c r="B320" s="317" t="s">
        <v>914</v>
      </c>
      <c r="C320" s="317" t="s">
        <v>1243</v>
      </c>
      <c r="D320" s="317">
        <v>21640</v>
      </c>
      <c r="E320" s="317" t="s">
        <v>61</v>
      </c>
      <c r="F320" s="291" t="b">
        <f t="shared" si="8"/>
        <v>0</v>
      </c>
    </row>
    <row r="321" spans="1:6" ht="15" x14ac:dyDescent="0.25">
      <c r="A321" s="316">
        <v>573</v>
      </c>
      <c r="B321" s="317" t="s">
        <v>1504</v>
      </c>
      <c r="C321" s="317" t="s">
        <v>1575</v>
      </c>
      <c r="D321" s="317">
        <v>21735</v>
      </c>
      <c r="E321" s="317" t="s">
        <v>61</v>
      </c>
      <c r="F321" s="291" t="b">
        <f t="shared" si="8"/>
        <v>0</v>
      </c>
    </row>
    <row r="322" spans="1:6" ht="15" x14ac:dyDescent="0.25">
      <c r="A322" s="316">
        <v>712</v>
      </c>
      <c r="B322" s="317" t="s">
        <v>1535</v>
      </c>
      <c r="C322" s="317" t="s">
        <v>1535</v>
      </c>
      <c r="D322" s="317">
        <v>29193</v>
      </c>
      <c r="E322" s="317" t="s">
        <v>61</v>
      </c>
      <c r="F322" s="291" t="b">
        <f t="shared" si="8"/>
        <v>0</v>
      </c>
    </row>
    <row r="323" spans="1:6" ht="15" x14ac:dyDescent="0.25">
      <c r="A323" s="316">
        <v>575</v>
      </c>
      <c r="B323" s="317" t="s">
        <v>1505</v>
      </c>
      <c r="C323" s="317" t="s">
        <v>1508</v>
      </c>
      <c r="D323" s="317">
        <v>21135</v>
      </c>
      <c r="E323" s="317" t="s">
        <v>61</v>
      </c>
      <c r="F323" s="291" t="b">
        <f t="shared" si="8"/>
        <v>0</v>
      </c>
    </row>
    <row r="324" spans="1:6" ht="15" x14ac:dyDescent="0.25">
      <c r="A324" s="316">
        <v>575</v>
      </c>
      <c r="B324" s="317" t="s">
        <v>1505</v>
      </c>
      <c r="C324" s="317" t="s">
        <v>1506</v>
      </c>
      <c r="D324" s="317">
        <v>21125</v>
      </c>
      <c r="E324" s="317" t="s">
        <v>61</v>
      </c>
      <c r="F324" s="291" t="b">
        <f t="shared" ref="F324:F327" si="9">C324=C325</f>
        <v>0</v>
      </c>
    </row>
    <row r="325" spans="1:6" ht="15" x14ac:dyDescent="0.25">
      <c r="A325" s="316">
        <v>285</v>
      </c>
      <c r="B325" s="317" t="s">
        <v>1181</v>
      </c>
      <c r="C325" s="317" t="s">
        <v>1185</v>
      </c>
      <c r="D325" s="317">
        <v>21285</v>
      </c>
      <c r="E325" s="317" t="s">
        <v>61</v>
      </c>
      <c r="F325" s="291" t="b">
        <f t="shared" si="9"/>
        <v>0</v>
      </c>
    </row>
    <row r="326" spans="1:6" ht="15" x14ac:dyDescent="0.25">
      <c r="A326" s="316">
        <v>141</v>
      </c>
      <c r="B326" s="317" t="s">
        <v>1022</v>
      </c>
      <c r="C326" s="317" t="s">
        <v>1027</v>
      </c>
      <c r="D326" s="317">
        <v>20460</v>
      </c>
      <c r="E326" s="317" t="s">
        <v>61</v>
      </c>
      <c r="F326" s="291" t="b">
        <f t="shared" si="9"/>
        <v>0</v>
      </c>
    </row>
    <row r="327" spans="1:6" ht="15" x14ac:dyDescent="0.25">
      <c r="A327" s="316">
        <v>238</v>
      </c>
      <c r="B327" s="317" t="s">
        <v>1112</v>
      </c>
      <c r="C327" s="317" t="s">
        <v>1113</v>
      </c>
      <c r="D327" s="317">
        <v>20905</v>
      </c>
      <c r="E327" s="317" t="s">
        <v>61</v>
      </c>
      <c r="F327" s="291" t="b">
        <f t="shared" si="9"/>
        <v>0</v>
      </c>
    </row>
  </sheetData>
  <sheetProtection password="930A" sheet="1" objects="1" scenarios="1"/>
  <sortState ref="M4:Q100">
    <sortCondition ref="O4:O100"/>
  </sortState>
  <conditionalFormatting sqref="F3:F327">
    <cfRule type="containsText" dxfId="2" priority="3" operator="containsText" text="TRUE">
      <formula>NOT(ISERROR(SEARCH("TRUE",F3)))</formula>
    </cfRule>
  </conditionalFormatting>
  <conditionalFormatting sqref="L3:L77">
    <cfRule type="containsText" dxfId="1" priority="2" operator="containsText" text="TRUE">
      <formula>NOT(ISERROR(SEARCH("TRUE",L3)))</formula>
    </cfRule>
  </conditionalFormatting>
  <conditionalFormatting sqref="R3:R98">
    <cfRule type="containsText" dxfId="0" priority="1" operator="containsText" text="TRUE">
      <formula>NOT(ISERROR(SEARCH("TRUE",R3)))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2019-09-20T17:36:59Z</cp:lastPrinted>
  <dcterms:created xsi:type="dcterms:W3CDTF">1997-12-04T19:04:30Z</dcterms:created>
  <dcterms:modified xsi:type="dcterms:W3CDTF">2020-02-18T16:26:49Z</dcterms:modified>
</cp:coreProperties>
</file>