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3" i="1" l="1"/>
  <c r="H522" i="1"/>
  <c r="H521" i="1"/>
  <c r="F465" i="1" l="1"/>
  <c r="J468" i="1"/>
  <c r="H240" i="1" l="1"/>
  <c r="H234" i="1"/>
  <c r="H222" i="1"/>
  <c r="H216" i="1"/>
  <c r="H204" i="1"/>
  <c r="H19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3" i="10"/>
  <c r="L250" i="1"/>
  <c r="C113" i="2" s="1"/>
  <c r="L332" i="1"/>
  <c r="L254" i="1"/>
  <c r="L268" i="1"/>
  <c r="L269" i="1"/>
  <c r="L349" i="1"/>
  <c r="L350" i="1"/>
  <c r="I665" i="1"/>
  <c r="I670"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F552"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L270" i="1" s="1"/>
  <c r="C131" i="2"/>
  <c r="A1" i="2"/>
  <c r="A2" i="2"/>
  <c r="C8" i="2"/>
  <c r="D8" i="2"/>
  <c r="E8" i="2"/>
  <c r="F8" i="2"/>
  <c r="I439" i="1"/>
  <c r="J9" i="1" s="1"/>
  <c r="G8" i="2" s="1"/>
  <c r="C9" i="2"/>
  <c r="D9" i="2"/>
  <c r="E9" i="2"/>
  <c r="F9" i="2"/>
  <c r="F18" i="2" s="1"/>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D91" i="2" s="1"/>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F257" i="1" s="1"/>
  <c r="G229" i="1"/>
  <c r="H229" i="1"/>
  <c r="I229" i="1"/>
  <c r="J229" i="1"/>
  <c r="K229" i="1"/>
  <c r="F247" i="1"/>
  <c r="G247" i="1"/>
  <c r="H247" i="1"/>
  <c r="I247" i="1"/>
  <c r="J247" i="1"/>
  <c r="K247" i="1"/>
  <c r="F256" i="1"/>
  <c r="G256" i="1"/>
  <c r="L256" i="1" s="1"/>
  <c r="H256" i="1"/>
  <c r="I256" i="1"/>
  <c r="J256" i="1"/>
  <c r="K256"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G408" i="1" s="1"/>
  <c r="H645" i="1" s="1"/>
  <c r="H407" i="1"/>
  <c r="I407" i="1"/>
  <c r="F408" i="1"/>
  <c r="H408" i="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J641" i="1" s="1"/>
  <c r="F452" i="1"/>
  <c r="G452" i="1"/>
  <c r="H452" i="1"/>
  <c r="F460" i="1"/>
  <c r="F461" i="1" s="1"/>
  <c r="H639" i="1" s="1"/>
  <c r="G460" i="1"/>
  <c r="G461" i="1" s="1"/>
  <c r="H640" i="1" s="1"/>
  <c r="H460" i="1"/>
  <c r="H461" i="1"/>
  <c r="F470" i="1"/>
  <c r="G470" i="1"/>
  <c r="H470" i="1"/>
  <c r="I470" i="1"/>
  <c r="J470" i="1"/>
  <c r="J476" i="1" s="1"/>
  <c r="H626" i="1" s="1"/>
  <c r="F474" i="1"/>
  <c r="G474" i="1"/>
  <c r="H474" i="1"/>
  <c r="H476" i="1" s="1"/>
  <c r="H624" i="1" s="1"/>
  <c r="J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57" i="1"/>
  <c r="L560" i="1" s="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9" i="1"/>
  <c r="G620" i="1"/>
  <c r="G622" i="1"/>
  <c r="G623" i="1"/>
  <c r="G624" i="1"/>
  <c r="G625" i="1"/>
  <c r="H627" i="1"/>
  <c r="H628" i="1"/>
  <c r="H629" i="1"/>
  <c r="H630" i="1"/>
  <c r="H631" i="1"/>
  <c r="H632" i="1"/>
  <c r="H633" i="1"/>
  <c r="H634" i="1"/>
  <c r="H635" i="1"/>
  <c r="H636" i="1"/>
  <c r="H637" i="1"/>
  <c r="H638" i="1"/>
  <c r="H641" i="1"/>
  <c r="G643" i="1"/>
  <c r="H643" i="1"/>
  <c r="G644" i="1"/>
  <c r="H644" i="1"/>
  <c r="G650" i="1"/>
  <c r="G651" i="1"/>
  <c r="J651" i="1" s="1"/>
  <c r="G652" i="1"/>
  <c r="H652" i="1"/>
  <c r="G653" i="1"/>
  <c r="H653" i="1"/>
  <c r="G654" i="1"/>
  <c r="H654" i="1"/>
  <c r="H655" i="1"/>
  <c r="J655" i="1" s="1"/>
  <c r="A40" i="12"/>
  <c r="C91" i="2"/>
  <c r="D50" i="2"/>
  <c r="G62" i="2"/>
  <c r="E78" i="2"/>
  <c r="J257" i="1"/>
  <c r="D81" i="2"/>
  <c r="I169" i="1"/>
  <c r="J643" i="1"/>
  <c r="G476" i="1"/>
  <c r="H623" i="1" s="1"/>
  <c r="J623" i="1" s="1"/>
  <c r="J140" i="1"/>
  <c r="G22" i="2"/>
  <c r="H140" i="1"/>
  <c r="F338" i="1"/>
  <c r="F352" i="1" s="1"/>
  <c r="H192" i="1"/>
  <c r="I545" i="1"/>
  <c r="G545" i="1"/>
  <c r="E118" i="2" l="1"/>
  <c r="K545" i="1"/>
  <c r="G164" i="2"/>
  <c r="G161" i="2"/>
  <c r="G157" i="2"/>
  <c r="G156" i="2"/>
  <c r="E31" i="2"/>
  <c r="F661" i="1"/>
  <c r="H112" i="1"/>
  <c r="J644" i="1"/>
  <c r="L614" i="1"/>
  <c r="K571" i="1"/>
  <c r="L570" i="1"/>
  <c r="H571" i="1"/>
  <c r="L565" i="1"/>
  <c r="I571" i="1"/>
  <c r="L433" i="1"/>
  <c r="G192" i="1"/>
  <c r="F192" i="1"/>
  <c r="H647" i="1"/>
  <c r="E122" i="2"/>
  <c r="L290" i="1"/>
  <c r="G645" i="1"/>
  <c r="I476" i="1"/>
  <c r="H625" i="1" s="1"/>
  <c r="J625" i="1" s="1"/>
  <c r="H257" i="1"/>
  <c r="H271" i="1" s="1"/>
  <c r="G81" i="2"/>
  <c r="F78" i="2"/>
  <c r="F81" i="2" s="1"/>
  <c r="D62" i="2"/>
  <c r="D63" i="2" s="1"/>
  <c r="C18" i="2"/>
  <c r="C26" i="10"/>
  <c r="C18" i="10"/>
  <c r="C11" i="10"/>
  <c r="E110" i="2"/>
  <c r="K598" i="1"/>
  <c r="G647" i="1" s="1"/>
  <c r="J552" i="1"/>
  <c r="H552" i="1"/>
  <c r="H545" i="1"/>
  <c r="G552" i="1"/>
  <c r="K549" i="1"/>
  <c r="L529" i="1"/>
  <c r="F476" i="1"/>
  <c r="H622" i="1" s="1"/>
  <c r="J622" i="1" s="1"/>
  <c r="J640" i="1"/>
  <c r="L427" i="1"/>
  <c r="J645" i="1"/>
  <c r="L328" i="1"/>
  <c r="L309" i="1"/>
  <c r="I257" i="1"/>
  <c r="I271" i="1" s="1"/>
  <c r="L247" i="1"/>
  <c r="K257" i="1"/>
  <c r="K271" i="1" s="1"/>
  <c r="D6" i="13"/>
  <c r="C6" i="13" s="1"/>
  <c r="C110" i="2"/>
  <c r="C120" i="2"/>
  <c r="L211" i="1"/>
  <c r="C78" i="2"/>
  <c r="C70" i="2"/>
  <c r="C81" i="2" s="1"/>
  <c r="F112" i="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D5" i="13"/>
  <c r="C5" i="13" s="1"/>
  <c r="E8" i="13"/>
  <c r="C8" i="13" s="1"/>
  <c r="E128" i="2"/>
  <c r="C12" i="13"/>
  <c r="C35" i="10"/>
  <c r="C36" i="10" s="1"/>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F104" i="2"/>
  <c r="H193" i="1"/>
  <c r="G629" i="1" s="1"/>
  <c r="J629" i="1" s="1"/>
  <c r="G169" i="1"/>
  <c r="C39" i="10" s="1"/>
  <c r="G140" i="1"/>
  <c r="F140" i="1"/>
  <c r="F193" i="1" s="1"/>
  <c r="G627" i="1" s="1"/>
  <c r="J627" i="1" s="1"/>
  <c r="G63" i="2"/>
  <c r="J618" i="1"/>
  <c r="G42" i="2"/>
  <c r="J51" i="1"/>
  <c r="G16" i="2"/>
  <c r="G18" i="2" s="1"/>
  <c r="J19" i="1"/>
  <c r="G621" i="1" s="1"/>
  <c r="F545" i="1"/>
  <c r="H434" i="1"/>
  <c r="J620" i="1"/>
  <c r="J619" i="1"/>
  <c r="D103" i="2"/>
  <c r="D104" i="2" s="1"/>
  <c r="I140" i="1"/>
  <c r="I193" i="1" s="1"/>
  <c r="G630" i="1" s="1"/>
  <c r="J630" i="1" s="1"/>
  <c r="A22" i="12"/>
  <c r="H646" i="1"/>
  <c r="G50" i="2"/>
  <c r="G51" i="2" s="1"/>
  <c r="H648" i="1"/>
  <c r="J648" i="1" s="1"/>
  <c r="J652" i="1"/>
  <c r="G571" i="1"/>
  <c r="I434" i="1"/>
  <c r="G434" i="1"/>
  <c r="E104" i="2"/>
  <c r="I663" i="1"/>
  <c r="C27" i="10"/>
  <c r="G635" i="1"/>
  <c r="J635" i="1" s="1"/>
  <c r="I661" i="1" l="1"/>
  <c r="G33" i="13"/>
  <c r="J647" i="1"/>
  <c r="H660" i="1"/>
  <c r="H664" i="1" s="1"/>
  <c r="H667" i="1" s="1"/>
  <c r="L338" i="1"/>
  <c r="L352" i="1" s="1"/>
  <c r="G633" i="1" s="1"/>
  <c r="J633" i="1" s="1"/>
  <c r="G36" i="14"/>
  <c r="H36" i="14" s="1"/>
  <c r="I36" i="14" s="1"/>
  <c r="L545" i="1"/>
  <c r="G24" i="14"/>
  <c r="H24" i="14" s="1"/>
  <c r="I24" i="14" s="1"/>
  <c r="E145" i="2"/>
  <c r="C115" i="2"/>
  <c r="L257" i="1"/>
  <c r="L271" i="1" s="1"/>
  <c r="G632" i="1" s="1"/>
  <c r="J632" i="1" s="1"/>
  <c r="G4" i="14"/>
  <c r="H4" i="14" s="1"/>
  <c r="I4" i="14" s="1"/>
  <c r="E33" i="13"/>
  <c r="D35" i="13" s="1"/>
  <c r="F660" i="1"/>
  <c r="F664" i="1" s="1"/>
  <c r="F672" i="1" s="1"/>
  <c r="C4" i="10" s="1"/>
  <c r="C128" i="2"/>
  <c r="C145" i="2" s="1"/>
  <c r="G104" i="2"/>
  <c r="C63" i="2"/>
  <c r="C104" i="2" s="1"/>
  <c r="D31" i="13"/>
  <c r="C31" i="13" s="1"/>
  <c r="I461" i="1"/>
  <c r="H642" i="1" s="1"/>
  <c r="J642" i="1" s="1"/>
  <c r="G660" i="1"/>
  <c r="G664" i="1" s="1"/>
  <c r="G667" i="1" s="1"/>
  <c r="C25" i="13"/>
  <c r="I33" i="13"/>
  <c r="K552" i="1"/>
  <c r="C28" i="10"/>
  <c r="D23" i="10" s="1"/>
  <c r="C51" i="2"/>
  <c r="G631" i="1"/>
  <c r="J631" i="1" s="1"/>
  <c r="J646" i="1"/>
  <c r="G193" i="1"/>
  <c r="G628" i="1" s="1"/>
  <c r="J628" i="1" s="1"/>
  <c r="G626" i="1"/>
  <c r="J626" i="1" s="1"/>
  <c r="J52" i="1"/>
  <c r="H621" i="1" s="1"/>
  <c r="J621" i="1" s="1"/>
  <c r="C38" i="10"/>
  <c r="H672" i="1" l="1"/>
  <c r="C6" i="10" s="1"/>
  <c r="G672" i="1"/>
  <c r="C5" i="10" s="1"/>
  <c r="F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<sst xmlns="http://schemas.openxmlformats.org/spreadsheetml/2006/main" count="5506" uniqueCount="1611">
  <si>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</si>
  <si>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</si>
  <si>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</si>
  <si>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</si>
  <si>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</si>
  <si>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</si>
  <si>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</si>
  <si>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</si>
  <si>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</si>
  <si>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</si>
  <si>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</si>
  <si>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</si>
  <si>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</si>
  <si>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</si>
  <si>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</si>
  <si>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</si>
  <si>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</si>
  <si>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</si>
  <si>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</si>
  <si>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</si>
  <si>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</si>
  <si>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</si>
  <si>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</si>
  <si>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</si>
  <si>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</si>
  <si>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</si>
  <si>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</si>
  <si>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</si>
  <si>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</si>
  <si>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</si>
  <si>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</si>
  <si>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</si>
  <si>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</si>
  <si>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</si>
  <si>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</si>
  <si>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</si>
  <si>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</si>
  <si>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</si>
  <si>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</si>
  <si>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</si>
  <si>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</si>
  <si>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</si>
  <si>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</si>
  <si>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</si>
  <si>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</si>
  <si>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</si>
  <si>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</si>
  <si>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</si>
  <si>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</si>
  <si>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</si>
  <si>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</si>
  <si>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</si>
  <si>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</si>
  <si>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</si>
  <si>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</si>
  <si>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</si>
  <si>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</si>
  <si>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</si>
  <si>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</si>
  <si>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</si>
  <si>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</si>
  <si>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</si>
  <si>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</si>
  <si>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</si>
  <si>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</si>
  <si>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</si>
  <si>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</si>
  <si>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</si>
  <si>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</si>
  <si>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</si>
  <si>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</si>
  <si>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</si>
  <si>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</si>
  <si>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</si>
  <si>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</si>
  <si>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</si>
  <si>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</si>
  <si>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</si>
  <si>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</si>
  <si>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</si>
  <si>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</si>
  <si>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</si>
  <si>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</si>
  <si>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</si>
  <si>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</si>
  <si>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</si>
  <si>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</si>
  <si>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</si>
  <si>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</si>
  <si>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</si>
  <si>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</si>
  <si>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</si>
  <si>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</si>
  <si>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</si>
  <si>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</si>
  <si>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</si>
  <si>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</si>
  <si>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</si>
  <si>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</si>
  <si>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</si>
  <si>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</si>
  <si>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</si>
  <si>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</si>
  <si>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</si>
  <si>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</si>
  <si>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</si>
  <si>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</si>
  <si>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</si>
  <si>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</si>
  <si>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</si>
  <si>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</si>
  <si>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</si>
  <si>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</si>
  <si>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</si>
  <si>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</si>
  <si>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</si>
  <si>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</si>
  <si>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</si>
  <si>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</si>
  <si>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</si>
  <si>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</si>
  <si>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</si>
  <si>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</si>
  <si>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</si>
  <si>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</si>
  <si>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</si>
  <si>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</si>
  <si>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</si>
  <si>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</si>
  <si>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</si>
  <si>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</si>
  <si>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</si>
  <si>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</si>
  <si>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</si>
  <si>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</si>
  <si>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</si>
  <si>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</si>
  <si>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</si>
  <si>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</si>
  <si>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</si>
  <si>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</si>
  <si>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</si>
  <si>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</si>
  <si>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</si>
  <si>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</si>
  <si>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</si>
  <si>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</si>
  <si>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</si>
  <si>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</si>
  <si>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</si>
  <si>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</si>
  <si>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</si>
  <si>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</si>
  <si>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</si>
  <si>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</si>
  <si>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</si>
  <si>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</si>
  <si>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</si>
  <si>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</si>
  <si>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</si>
  <si>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</si>
  <si>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</si>
  <si>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</si>
  <si>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</si>
  <si>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</si>
  <si>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</si>
  <si>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</si>
  <si>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</si>
  <si>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</si>
  <si>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</si>
  <si>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</si>
  <si>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</si>
  <si>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</si>
  <si>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</si>
  <si>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</si>
  <si>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</si>
  <si>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</si>
  <si>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</si>
  <si>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</si>
  <si>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</si>
  <si>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</si>
  <si>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</si>
  <si>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</si>
  <si>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</si>
  <si>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</si>
  <si>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</si>
  <si>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</si>
  <si>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</si>
  <si>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</si>
  <si>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</si>
  <si>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</si>
  <si>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</si>
  <si>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</si>
  <si>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</si>
  <si>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</si>
  <si>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</si>
  <si>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</si>
  <si>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</si>
  <si>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</si>
  <si>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</si>
  <si>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</si>
  <si>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</si>
  <si>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</si>
  <si>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</si>
  <si>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</si>
  <si>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</si>
  <si>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</si>
  <si>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</si>
  <si>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</si>
  <si>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</si>
  <si>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</si>
  <si>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</si>
  <si>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</si>
  <si>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</si>
  <si>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</si>
  <si>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</si>
  <si>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</si>
  <si>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</si>
  <si>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</si>
  <si>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</si>
  <si>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</si>
  <si>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</si>
  <si>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</si>
  <si>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</si>
  <si>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</si>
  <si>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</si>
  <si>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</si>
  <si>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</si>
  <si>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</si>
  <si>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</si>
  <si>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</si>
  <si>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</si>
  <si>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</si>
  <si>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</si>
  <si>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</si>
  <si>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</si>
  <si>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</si>
  <si>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</si>
  <si>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</si>
  <si>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</si>
  <si>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</si>
  <si>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</si>
  <si>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</si>
  <si>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</si>
  <si>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</si>
  <si>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</si>
  <si>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</si>
  <si>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</si>
  <si>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</si>
  <si>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</si>
  <si>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</si>
  <si>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</si>
  <si>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</si>
  <si>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</si>
  <si>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</si>
  <si>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</si>
  <si>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</si>
  <si>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</si>
  <si>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</si>
  <si>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</si>
  <si>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</si>
  <si>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</si>
  <si>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</si>
  <si>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</si>
  <si>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</si>
  <si>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</si>
  <si>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</si>
  <si>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</si>
  <si>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</si>
  <si>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</si>
  <si>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</si>
  <si>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</si>
  <si>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</si>
  <si>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</si>
  <si>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</si>
  <si>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</si>
  <si>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</si>
  <si>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</si>
  <si>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</si>
  <si>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</si>
  <si>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</si>
  <si>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</si>
  <si>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</si>
  <si>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</si>
  <si>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</si>
  <si>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</si>
  <si>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</si>
  <si>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</si>
  <si>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</si>
  <si>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</si>
  <si>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</si>
  <si>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</si>
  <si>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</si>
  <si>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</si>
  <si>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</si>
  <si>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</si>
  <si>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</si>
  <si>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</si>
  <si>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</si>
  <si>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</si>
  <si>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</si>
  <si>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</si>
  <si>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</si>
  <si>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</si>
  <si>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</si>
  <si>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</si>
  <si>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</si>
  <si>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</si>
  <si>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</si>
  <si>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</si>
  <si>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</si>
  <si>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</si>
  <si>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</si>
  <si>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</si>
  <si>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</si>
  <si>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</si>
  <si>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</si>
  <si>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</si>
  <si>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</si>
  <si>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</si>
  <si>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</si>
  <si>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</si>
  <si>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</si>
  <si>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</si>
  <si>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</si>
  <si>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</si>
  <si>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</si>
  <si>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</si>
  <si>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</si>
  <si>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</si>
  <si>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</si>
  <si>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</si>
  <si>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</si>
  <si>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</si>
  <si>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</si>
  <si>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</si>
  <si>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</si>
  <si>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</si>
  <si>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</si>
  <si>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</si>
  <si>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</si>
  <si>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</si>
  <si>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</si>
  <si>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</si>
  <si>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</si>
  <si>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</si>
  <si>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</si>
  <si>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</si>
  <si>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</si>
  <si>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</si>
  <si>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</si>
  <si>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</si>
  <si>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</si>
  <si>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</si>
  <si>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</si>
  <si>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</si>
  <si>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</si>
  <si>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</si>
  <si>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</si>
  <si>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</si>
  <si>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</si>
  <si>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</si>
  <si>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</si>
  <si>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</si>
  <si>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</si>
  <si>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</si>
  <si>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</si>
  <si>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</si>
  <si>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</si>
  <si>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</si>
  <si>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</si>
  <si>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</si>
  <si>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</si>
  <si>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</si>
  <si>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</si>
  <si>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</si>
  <si>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</si>
  <si>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</si>
  <si>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</si>
  <si>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</si>
  <si>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</si>
  <si>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</si>
  <si>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</si>
  <si>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</si>
  <si>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</si>
  <si>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</si>
  <si>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</si>
  <si>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</si>
  <si>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</si>
  <si>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</si>
  <si>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</si>
  <si>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</si>
  <si>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</si>
  <si>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</si>
  <si>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</si>
  <si>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</si>
  <si>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</si>
  <si>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</si>
  <si>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</si>
  <si>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</si>
  <si>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</si>
  <si>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</si>
  <si>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</si>
  <si>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</si>
  <si>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</si>
  <si>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</si>
  <si>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</si>
  <si>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</si>
  <si>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</si>
  <si>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</si>
  <si>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</si>
  <si>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</si>
  <si>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</si>
  <si>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</si>
  <si>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</si>
  <si>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</si>
  <si>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</si>
  <si>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</si>
  <si>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</si>
  <si>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</si>
  <si>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</si>
  <si>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</si>
  <si>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</si>
  <si>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</si>
  <si>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</si>
  <si>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</si>
  <si>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</si>
  <si>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</si>
  <si>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</si>
  <si>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</si>
  <si>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</si>
  <si>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</si>
  <si>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</si>
  <si>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</si>
  <si>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</si>
  <si>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</si>
  <si>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</si>
  <si>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</si>
  <si>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</si>
  <si>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</si>
  <si>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</si>
  <si>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</si>
  <si>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</si>
  <si>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</si>
  <si>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</si>
  <si>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</si>
  <si>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</si>
  <si>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</si>
  <si>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</si>
  <si>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</si>
  <si>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</si>
  <si>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</si>
  <si>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</si>
  <si>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</si>
  <si>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</si>
  <si>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</si>
  <si>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</si>
  <si>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</si>
  <si>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</si>
  <si>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</si>
  <si>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</si>
  <si>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</si>
  <si>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</si>
  <si>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</si>
  <si>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</si>
  <si>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</si>
  <si>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</si>
  <si>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</si>
  <si>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</si>
  <si>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</si>
  <si>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</si>
  <si>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</si>
  <si>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</si>
  <si>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</si>
  <si>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</si>
  <si>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</si>
  <si>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</si>
  <si>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</si>
  <si>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</si>
  <si>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</si>
  <si>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</si>
  <si>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</si>
  <si>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</si>
  <si>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</si>
  <si>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</si>
  <si>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</si>
  <si>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</si>
  <si>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</si>
  <si>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</si>
  <si>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</si>
  <si>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</si>
  <si>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</si>
  <si>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</si>
  <si>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</si>
  <si>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</si>
  <si>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</si>
  <si>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</si>
  <si>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</si>
  <si>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</si>
  <si>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</si>
  <si>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</si>
  <si>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</si>
  <si>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</si>
  <si>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</si>
  <si>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</si>
  <si>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</si>
  <si>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</si>
  <si>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</si>
  <si>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</si>
  <si>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</si>
  <si>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</si>
  <si>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</si>
  <si>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</si>
  <si>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</si>
  <si>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</si>
  <si>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</si>
  <si>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</si>
  <si>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</si>
  <si>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</si>
  <si>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</si>
  <si>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</si>
  <si>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</si>
  <si>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</si>
  <si>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</si>
  <si>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</si>
  <si>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</si>
  <si>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</si>
  <si>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</si>
  <si>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</si>
  <si>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</si>
  <si>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</si>
  <si>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</si>
  <si>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</si>
  <si>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</si>
  <si>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</si>
  <si>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</si>
  <si>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</si>
  <si>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</si>
  <si>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</si>
  <si>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</si>
  <si>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</si>
  <si>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</si>
  <si>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</si>
  <si>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</si>
  <si>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</si>
  <si>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</si>
  <si>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</si>
  <si>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</si>
  <si>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</si>
  <si>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</si>
  <si>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</si>
  <si>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</si>
  <si>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</si>
  <si>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</si>
  <si>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</si>
  <si>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</si>
  <si>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</si>
  <si>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</si>
  <si>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</si>
  <si>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</si>
  <si>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</si>
  <si>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</si>
  <si>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</si>
  <si>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</si>
  <si>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</si>
  <si>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</si>
  <si>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</si>
  <si>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</si>
  <si>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</si>
  <si>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</si>
  <si>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</si>
  <si>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</si>
  <si>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</si>
  <si>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</si>
  <si>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</si>
  <si>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</si>
  <si>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</si>
  <si>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</si>
  <si>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</si>
  <si>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</si>
  <si>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</si>
  <si>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</si>
  <si>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</si>
  <si>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</si>
  <si>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</si>
  <si>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</si>
  <si>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</si>
  <si>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</si>
  <si>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</si>
  <si>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</si>
  <si>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</si>
  <si>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</si>
  <si>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</si>
  <si>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</si>
  <si>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</si>
  <si>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</si>
  <si>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</si>
  <si>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</si>
  <si>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</si>
  <si>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</si>
  <si>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</si>
  <si>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</si>
  <si>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</si>
  <si>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</si>
  <si>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</si>
  <si>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</si>
  <si>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</si>
  <si>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</si>
  <si>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</si>
  <si>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</si>
  <si>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</si>
  <si>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</si>
  <si>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</si>
  <si>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</si>
  <si>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</si>
  <si>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</si>
  <si>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</si>
  <si>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</si>
  <si>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</si>
  <si>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</si>
  <si>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</si>
  <si>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</si>
  <si>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</si>
  <si>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</si>
  <si>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</si>
  <si>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</si>
  <si>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</si>
  <si>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</si>
  <si>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</si>
  <si>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</si>
  <si>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</si>
  <si>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</si>
  <si>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</si>
  <si>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</si>
  <si>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</si>
  <si>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</si>
  <si>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</si>
  <si>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</si>
  <si>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</si>
  <si>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</si>
  <si>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</si>
  <si>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</si>
  <si>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</si>
  <si>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</si>
  <si>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</si>
  <si>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</si>
  <si>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</si>
  <si>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</si>
  <si>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</si>
  <si>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</si>
  <si>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</si>
  <si>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</si>
  <si>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</si>
  <si>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</si>
  <si>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</si>
  <si>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</si>
  <si>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</si>
  <si>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</si>
  <si>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</si>
  <si>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</si>
  <si>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</si>
  <si>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</si>
  <si>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</si>
  <si>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</si>
  <si>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</si>
  <si>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</si>
  <si>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</si>
  <si>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</si>
  <si>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</si>
  <si>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</si>
  <si>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</si>
  <si>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</si>
  <si>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</si>
  <si>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</si>
  <si>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</si>
  <si>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</si>
  <si>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</si>
  <si>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</si>
  <si>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</si>
  <si>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</si>
  <si>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</si>
  <si>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</si>
  <si>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</si>
  <si>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</si>
  <si>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</si>
  <si>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</si>
  <si>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</si>
  <si>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</si>
  <si>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</si>
  <si>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</si>
  <si>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</si>
  <si>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</si>
  <si>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</si>
  <si>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</si>
  <si>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</si>
  <si>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</si>
  <si>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</si>
  <si>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</si>
  <si>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</si>
  <si>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</si>
  <si>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</si>
  <si>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</si>
  <si>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</si>
  <si>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</si>
  <si>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</si>
  <si>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</si>
  <si>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</si>
  <si>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</si>
  <si>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</si>
  <si>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</si>
  <si>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</si>
  <si>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</si>
  <si>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</si>
  <si>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</si>
  <si>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</si>
  <si>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</si>
  <si>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</si>
  <si>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</si>
  <si>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</si>
  <si>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</si>
  <si>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</si>
  <si>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</si>
  <si>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</si>
  <si>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</si>
  <si>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</si>
  <si>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</si>
  <si>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</si>
  <si>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</si>
  <si>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</si>
  <si>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</si>
  <si>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</si>
  <si>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</si>
  <si>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</si>
  <si>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</si>
  <si>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</si>
  <si>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</si>
  <si>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</si>
  <si>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</si>
  <si>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</si>
  <si>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</si>
  <si>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</si>
  <si>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</si>
  <si>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</si>
  <si>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</si>
  <si>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</si>
  <si>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</si>
  <si>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</si>
  <si>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</si>
  <si>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</si>
  <si>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</si>
  <si>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</si>
  <si>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</si>
  <si>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</si>
  <si>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</si>
  <si>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</si>
  <si>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</si>
  <si>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</si>
  <si>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</si>
  <si>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</si>
  <si>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</si>
  <si>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</si>
  <si>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</si>
  <si>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</si>
  <si>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</si>
  <si>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</si>
  <si>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</si>
  <si>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</si>
  <si>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</si>
  <si>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</si>
  <si>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</si>
  <si>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</si>
  <si>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</si>
  <si>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</si>
  <si>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</si>
  <si>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</si>
  <si>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</si>
  <si>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</si>
  <si>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</si>
  <si>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</si>
  <si>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</si>
  <si>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</si>
  <si>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</si>
  <si>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</si>
  <si>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</si>
  <si>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</si>
  <si>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</si>
  <si>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</si>
  <si>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</si>
  <si>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</si>
  <si>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</si>
  <si>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</si>
  <si>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</si>
  <si>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</si>
  <si>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</si>
  <si>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</si>
  <si>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</si>
  <si>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</si>
  <si>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</si>
  <si>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</si>
  <si>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</si>
  <si>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</si>
  <si>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</si>
  <si>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</si>
  <si>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</si>
  <si>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</si>
  <si>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</si>
  <si>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</si>
  <si>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</si>
  <si>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</si>
  <si>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</si>
  <si>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</si>
  <si>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</si>
  <si>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</si>
  <si>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</si>
  <si>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</si>
  <si>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</si>
  <si>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</si>
  <si>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</si>
  <si>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</si>
  <si>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</si>
  <si>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</si>
  <si>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</si>
  <si>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</si>
  <si>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</si>
  <si>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</si>
  <si>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</si>
  <si>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</si>
  <si>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</si>
  <si>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</si>
  <si>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</si>
  <si>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</si>
  <si>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</si>
  <si>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</si>
  <si>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</si>
  <si>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</si>
  <si>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</si>
  <si>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</si>
  <si>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</si>
  <si>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</si>
  <si>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</si>
  <si>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</si>
  <si>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</si>
  <si>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</si>
  <si>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</si>
  <si>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</si>
  <si>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</si>
  <si>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</si>
  <si>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</si>
  <si>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</si>
  <si>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</si>
  <si>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</si>
  <si>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</si>
  <si>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</si>
  <si>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</si>
  <si>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</si>
  <si>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</si>
  <si>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</si>
  <si>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</si>
  <si>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</si>
  <si>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</si>
  <si>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</si>
  <si>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</si>
  <si>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</si>
  <si>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</si>
  <si>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</si>
  <si>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</si>
  <si>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</si>
  <si>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</si>
  <si>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</si>
  <si>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</si>
  <si>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</si>
  <si>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</si>
  <si>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</si>
  <si>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</si>
  <si>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</si>
  <si>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</si>
  <si>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</si>
  <si>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</si>
  <si>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</si>
  <si>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</si>
  <si>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</si>
  <si>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</si>
  <si>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</si>
  <si>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</si>
  <si>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</si>
  <si>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</si>
  <si>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</si>
  <si>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</si>
  <si>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</si>
  <si>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</si>
  <si>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</si>
  <si>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</si>
  <si>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</si>
  <si>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</si>
  <si>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</si>
  <si>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</si>
  <si>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</si>
  <si>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</si>
  <si>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</si>
  <si>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</si>
  <si>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</si>
  <si>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</si>
  <si>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</si>
  <si>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</si>
  <si>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</si>
  <si>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</si>
  <si>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</si>
  <si>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</si>
  <si>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</si>
  <si>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</si>
  <si>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</si>
  <si>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</si>
  <si>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</si>
  <si>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</si>
  <si>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</si>
  <si>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</si>
  <si>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</si>
  <si>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</si>
  <si>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</si>
  <si>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</si>
  <si>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</si>
  <si>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</si>
  <si>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</si>
  <si>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</si>
  <si>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</si>
  <si>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</si>
  <si>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</si>
  <si>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</si>
  <si>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</si>
  <si>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</si>
  <si>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</si>
  <si>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</si>
  <si>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</si>
  <si>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</si>
  <si>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</si>
  <si>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</si>
  <si>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</si>
  <si>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</si>
  <si>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</si>
  <si>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</si>
  <si>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</si>
  <si>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</si>
  <si>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</si>
  <si>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</si>
  <si>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</si>
  <si>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</si>
  <si>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</si>
  <si>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</si>
  <si>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</si>
  <si>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</si>
  <si>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</si>
  <si>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</si>
  <si>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</si>
  <si>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</si>
  <si>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</si>
  <si>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</si>
  <si>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</si>
  <si>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</si>
  <si>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</si>
  <si>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</si>
  <si>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</si>
  <si>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</si>
  <si>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</si>
  <si>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</si>
  <si>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</si>
  <si>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</si>
  <si>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</si>
  <si>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</si>
  <si>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</si>
  <si>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</si>
  <si>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</si>
  <si>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</si>
  <si>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</si>
  <si>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</si>
  <si>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</si>
  <si>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</si>
  <si>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</si>
  <si>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</si>
  <si>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</si>
  <si>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</si>
  <si>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</si>
  <si>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</si>
  <si>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</si>
  <si>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</si>
  <si>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</si>
  <si>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</si>
  <si>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</si>
  <si>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</si>
  <si>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</si>
  <si>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</si>
  <si>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</si>
  <si>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</si>
  <si>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</si>
  <si>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</si>
  <si>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</si>
  <si>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</si>
  <si>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</si>
  <si>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</si>
  <si>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</si>
  <si>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</si>
  <si>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</si>
  <si>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</si>
  <si>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</si>
  <si>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</si>
  <si>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</si>
  <si>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</si>
  <si>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</si>
  <si>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</si>
  <si>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</si>
  <si>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</si>
  <si>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</si>
  <si>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</si>
  <si>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</si>
  <si>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</si>
  <si>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</si>
  <si>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</si>
  <si>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</si>
  <si>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</si>
  <si>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</si>
  <si>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</si>
  <si>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</si>
  <si>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</si>
  <si>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</si>
  <si>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</si>
  <si>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</si>
  <si>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</si>
  <si>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</si>
  <si>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</si>
  <si>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</si>
  <si>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</si>
  <si>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</si>
  <si>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</si>
  <si>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</si>
  <si>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</si>
  <si>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</si>
  <si>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</si>
  <si>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</si>
  <si>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</si>
  <si>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</si>
  <si>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</si>
  <si>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</si>
  <si>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</si>
  <si>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</si>
  <si>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</si>
  <si>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</si>
  <si>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</si>
  <si>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</si>
  <si>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</si>
  <si>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</si>
  <si>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</si>
  <si>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</si>
  <si>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</si>
  <si>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</si>
  <si>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</si>
  <si>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</si>
  <si>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</si>
  <si>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</si>
  <si>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</si>
  <si>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</si>
  <si>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</si>
  <si>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</si>
  <si>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</si>
  <si>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</si>
  <si>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</si>
  <si>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</si>
  <si>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</si>
  <si>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</si>
  <si>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</si>
  <si>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</si>
  <si>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</si>
  <si>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</si>
  <si>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</si>
  <si>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</si>
  <si>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</si>
  <si>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</si>
  <si>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</si>
  <si>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</si>
  <si>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</si>
  <si>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</si>
  <si>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</si>
  <si>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</si>
  <si>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</si>
  <si>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</si>
  <si>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</si>
  <si>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</si>
  <si>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</si>
  <si>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</si>
  <si>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</si>
  <si>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</si>
  <si>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</si>
  <si>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</si>
  <si>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</si>
  <si>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</si>
  <si>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</si>
  <si>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</si>
  <si>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</si>
  <si>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</si>
  <si>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</si>
  <si>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</si>
  <si>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</si>
  <si>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</si>
  <si>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</si>
  <si>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</si>
  <si>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</si>
  <si>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</si>
  <si>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</si>
  <si>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</si>
  <si>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</si>
  <si>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</si>
  <si>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</si>
  <si>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</si>
  <si>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</si>
  <si>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</si>
  <si>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</si>
  <si>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</si>
  <si>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</si>
  <si>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</si>
  <si>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</si>
  <si>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</si>
  <si>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</si>
  <si>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</si>
  <si>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</si>
  <si>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</si>
  <si>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</si>
  <si>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</si>
  <si>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</si>
  <si>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</si>
  <si>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</si>
  <si>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</si>
  <si>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</si>
  <si>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</si>
  <si>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</si>
  <si>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</si>
  <si>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</si>
  <si>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</si>
  <si>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</si>
  <si>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</si>
  <si>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</si>
  <si>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</si>
  <si>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</si>
  <si>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</si>
  <si>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</si>
  <si>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</si>
  <si>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</si>
  <si>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</si>
  <si>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</si>
  <si>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</si>
  <si>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</si>
  <si>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</si>
  <si>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</si>
  <si>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</si>
  <si>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</si>
  <si>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</si>
  <si>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</si>
  <si>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</si>
  <si>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</si>
  <si>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</si>
  <si>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</si>
  <si>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</si>
  <si>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</si>
  <si>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</si>
  <si>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</si>
  <si>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</si>
  <si>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</si>
  <si>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</si>
  <si>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</si>
  <si>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</si>
  <si>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</si>
  <si>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</si>
  <si>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</si>
  <si>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</si>
  <si>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</si>
  <si>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</si>
  <si>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</si>
  <si>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</si>
  <si>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</si>
  <si>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</si>
  <si>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</si>
  <si>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</si>
  <si>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</si>
  <si>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</si>
  <si>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</si>
  <si>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</si>
  <si>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</si>
  <si>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</si>
  <si>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</si>
  <si>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</si>
  <si>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</si>
  <si>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</si>
  <si>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</si>
  <si>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</si>
  <si>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</si>
  <si>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</si>
  <si>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</si>
  <si>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</si>
  <si>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</si>
  <si>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</si>
  <si>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</si>
  <si>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</si>
  <si>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</si>
  <si>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</si>
  <si>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</si>
  <si>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</si>
  <si>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</si>
  <si>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</si>
  <si>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</si>
  <si>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</si>
  <si>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</si>
  <si>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</si>
  <si>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</si>
  <si>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</si>
  <si>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</si>
  <si>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</si>
  <si>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</si>
  <si>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</si>
  <si>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</si>
  <si>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</si>
  <si>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</si>
  <si>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</si>
  <si>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</si>
  <si>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</si>
  <si>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</si>
  <si>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</si>
  <si>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</si>
  <si>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</si>
  <si>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</si>
  <si>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</si>
  <si>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</si>
  <si>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</si>
  <si>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</si>
  <si>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</si>
  <si>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</si>
  <si>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</si>
  <si>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</si>
  <si>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</si>
  <si>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</si>
  <si>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</si>
  <si>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</si>
  <si>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</si>
  <si>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</si>
  <si>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</si>
  <si>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</si>
  <si>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</si>
  <si>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</si>
  <si>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</si>
  <si>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</si>
  <si>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</si>
  <si>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</si>
  <si>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</si>
  <si>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</si>
  <si>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</si>
  <si>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</si>
  <si>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</si>
  <si>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</si>
  <si>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</si>
  <si>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</si>
  <si>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</si>
  <si>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</si>
  <si>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</si>
  <si>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</si>
  <si>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</si>
  <si>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</si>
  <si>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</si>
  <si>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</si>
  <si>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</si>
  <si>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</si>
  <si>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</si>
  <si>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</si>
  <si>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</si>
  <si>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</si>
  <si>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</si>
  <si>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</si>
  <si>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</si>
  <si>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</si>
  <si>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</si>
  <si>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</si>
  <si>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</si>
  <si>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</si>
  <si>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</si>
  <si>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</si>
  <si>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</si>
  <si>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</si>
  <si>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</si>
  <si>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</si>
  <si>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</si>
  <si>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</si>
  <si>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</si>
  <si>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</si>
  <si>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</si>
  <si>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</si>
  <si>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</si>
  <si>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</si>
  <si>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</si>
  <si>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</si>
  <si>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</si>
  <si>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</si>
  <si>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</si>
  <si>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</si>
  <si>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</si>
  <si>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</si>
  <si>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</si>
  <si>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</si>
  <si>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</si>
  <si>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</si>
  <si>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</si>
  <si>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</si>
  <si>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</si>
  <si>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</si>
  <si>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</si>
  <si>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</si>
  <si>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</si>
  <si>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</si>
  <si>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</si>
  <si>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</si>
  <si>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</si>
  <si>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</si>
  <si>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</si>
  <si>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</si>
  <si>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</si>
  <si>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</si>
  <si>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</si>
  <si>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</si>
  <si>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</si>
  <si>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</si>
  <si>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</si>
  <si>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</si>
  <si>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</si>
  <si>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</si>
  <si>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</si>
  <si>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</si>
  <si>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</si>
  <si>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</si>
  <si>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</si>
  <si>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</si>
  <si>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</si>
  <si>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</si>
  <si>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</si>
  <si>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</si>
  <si>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</si>
  <si>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</si>
  <si>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</si>
  <si>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</si>
  <si>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</si>
  <si>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</si>
  <si>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</si>
  <si>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</si>
  <si>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</si>
  <si>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</si>
  <si>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</si>
  <si>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</si>
  <si>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</si>
  <si>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</si>
  <si>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</si>
  <si>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</si>
  <si>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</si>
  <si>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</si>
  <si>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</si>
  <si>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</si>
  <si>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</si>
  <si>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</si>
  <si>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</si>
  <si>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</si>
  <si>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</si>
  <si>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</si>
  <si>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</si>
  <si>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</si>
  <si>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</si>
  <si>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</si>
  <si>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</si>
  <si>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</si>
  <si>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</si>
  <si>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</si>
  <si>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</si>
  <si>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</si>
  <si>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</si>
  <si>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</si>
  <si>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</si>
  <si>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</si>
  <si>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</si>
  <si>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</si>
  <si>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</si>
  <si>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</si>
  <si>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</si>
  <si>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</si>
  <si>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</si>
  <si>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</si>
  <si>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</si>
  <si>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</si>
  <si>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</si>
  <si>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</si>
  <si>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</si>
  <si>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</si>
  <si>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</si>
  <si>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</si>
  <si>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</si>
  <si>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</si>
  <si>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</si>
  <si>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</si>
  <si>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</si>
  <si>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</si>
  <si>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</si>
  <si>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</si>
  <si>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</si>
  <si>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</si>
  <si>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</si>
  <si>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</si>
  <si>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</si>
  <si>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</si>
  <si>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</si>
  <si>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</si>
  <si>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</si>
  <si>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</si>
  <si>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</si>
  <si>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</si>
  <si>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</si>
  <si>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</si>
  <si>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</si>
  <si>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</si>
  <si>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</si>
  <si>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</si>
  <si>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</si>
  <si>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</si>
  <si>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</si>
  <si>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</si>
  <si>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</si>
  <si>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</si>
  <si>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</si>
  <si>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</si>
  <si>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</si>
  <si>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</si>
  <si>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</si>
  <si>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</si>
  <si>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</si>
  <si>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</si>
  <si>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</si>
  <si>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</si>
  <si>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</si>
  <si>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</si>
  <si>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</si>
  <si>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</si>
  <si>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</si>
  <si>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</si>
  <si>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</si>
  <si>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</si>
  <si>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</si>
  <si>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</si>
  <si>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</si>
  <si>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</si>
  <si>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</si>
  <si>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</si>
  <si>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</si>
  <si>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</si>
  <si>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</si>
  <si>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</si>
  <si>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</si>
  <si>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</si>
  <si>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</si>
  <si>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</si>
  <si>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</si>
  <si>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</si>
  <si>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</si>
  <si>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</si>
  <si>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</si>
  <si>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</si>
  <si>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</si>
  <si>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</si>
  <si>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</si>
  <si>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</si>
  <si>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</si>
  <si>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</si>
  <si>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</si>
  <si>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</si>
  <si>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</si>
  <si>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</si>
  <si>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</si>
  <si>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</si>
  <si>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</si>
  <si>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</si>
  <si>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</si>
  <si>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</si>
  <si>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</si>
  <si>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</si>
  <si>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</si>
  <si>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</si>
  <si>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</si>
  <si>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</si>
  <si>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</si>
  <si>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</si>
  <si>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</si>
  <si>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</si>
  <si>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</si>
  <si>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</si>
  <si>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</si>
  <si>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</si>
  <si>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</si>
  <si>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</si>
  <si>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</si>
  <si>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</si>
  <si>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</si>
  <si>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</si>
  <si>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</si>
  <si>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</si>
  <si>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</si>
  <si>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</si>
  <si>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</si>
  <si>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</si>
  <si>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</si>
  <si>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</si>
  <si>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</si>
  <si>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</si>
  <si>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</si>
  <si>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</si>
  <si>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</si>
  <si>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</si>
  <si>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</si>
  <si>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</si>
  <si>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</si>
  <si>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</si>
  <si>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</si>
  <si>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</si>
  <si>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</si>
  <si>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</si>
  <si>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</si>
  <si>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</si>
  <si>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</si>
  <si>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</si>
  <si>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</si>
  <si>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</si>
  <si>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</si>
  <si>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</si>
  <si>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</si>
  <si>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</si>
  <si>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</si>
  <si>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</si>
  <si>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</si>
  <si>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</si>
  <si>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</si>
  <si>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</si>
  <si>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</si>
  <si>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</si>
  <si>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</si>
  <si>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</si>
  <si>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</si>
  <si>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</si>
  <si>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</si>
  <si>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</si>
  <si>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</si>
  <si>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</si>
  <si>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</si>
  <si>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</si>
  <si>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</si>
  <si>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</si>
  <si>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</si>
  <si>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</si>
  <si>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</si>
  <si>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</si>
  <si>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</si>
  <si>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</si>
  <si>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</si>
  <si>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</si>
  <si>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</si>
  <si>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</si>
  <si>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</si>
  <si>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</si>
  <si>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</si>
  <si>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</si>
  <si>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</si>
  <si>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</si>
  <si>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</si>
  <si>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</si>
  <si>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</si>
  <si>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</si>
  <si>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</si>
  <si>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</si>
  <si>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</si>
  <si>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</si>
  <si>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</si>
  <si>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</si>
  <si>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</si>
  <si>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</si>
  <si>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</si>
  <si>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</si>
  <si>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</si>
  <si>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</si>
  <si>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</si>
  <si>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</si>
  <si>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</si>
  <si>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</si>
  <si>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</si>
  <si>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</si>
  <si>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</si>
  <si>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</si>
  <si>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</si>
  <si>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</si>
  <si>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</si>
  <si>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</si>
  <si>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</si>
  <si>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</si>
  <si>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</si>
  <si>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</si>
  <si>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</si>
  <si>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</si>
  <si>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</si>
  <si>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</si>
  <si>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</si>
  <si>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</si>
  <si>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</si>
  <si>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</si>
  <si>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</si>
  <si>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</si>
  <si>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BENTON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</si>
</sst>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47</v>
      </c>
      <c r="C2" s="21">
        <v>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83944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88163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1983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85927</v>
      </c>
      <c r="G19" s="41">
        <f>SUM(G9:G18)</f>
        <v>0</v>
      </c>
      <c r="H19" s="41">
        <f>SUM(H9:H18)</f>
        <v>0</v>
      </c>
      <c r="I19" s="41">
        <f>SUM(I9:I18)</f>
        <v>0</v>
      </c>
      <c r="J19" s="41">
        <f>SUM(J9:J18)</f>
        <v>88163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5559</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5559</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8902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88163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71466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80368</v>
      </c>
      <c r="G51" s="41">
        <f>SUM(G35:G50)</f>
        <v>0</v>
      </c>
      <c r="H51" s="41">
        <f>SUM(H35:H50)</f>
        <v>0</v>
      </c>
      <c r="I51" s="41">
        <f>SUM(I35:I50)</f>
        <v>0</v>
      </c>
      <c r="J51" s="41">
        <f>SUM(J35:J50)</f>
        <v>88163</v>
      </c>
      <c r="K51" s="45" t="s">
        <v>288</v>
      </c>
      <c r="L51" s="45" t="s">
        <v>288</v>
      </c>
      <c r="N51" s="264"/>
    </row>
    <row r="52" spans="1:14" s="3" customFormat="1" ht="12.2" customHeight="1" thickTop="1" x14ac:dyDescent="0.15">
      <c r="A52" s="38" t="s">
        <v>455</v>
      </c>
      <c r="B52" s="39" t="s">
        <v>289</v>
      </c>
      <c r="C52" s="6">
        <v>37</v>
      </c>
      <c r="D52" s="39" t="s">
        <v>653</v>
      </c>
      <c r="E52" s="39"/>
      <c r="F52" s="41">
        <f>F51+F32</f>
        <v>85927</v>
      </c>
      <c r="G52" s="41">
        <f>G51+G32</f>
        <v>0</v>
      </c>
      <c r="H52" s="41">
        <f>H51+H32</f>
        <v>0</v>
      </c>
      <c r="I52" s="41">
        <f>I51+I32</f>
        <v>0</v>
      </c>
      <c r="J52" s="41">
        <f>J51+J32</f>
        <v>88163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295462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295462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25</v>
      </c>
      <c r="G96" s="18"/>
      <c r="H96" s="18"/>
      <c r="I96" s="18"/>
      <c r="J96" s="18">
        <v>65</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v>
      </c>
      <c r="G111" s="41">
        <f>SUM(G96:G110)</f>
        <v>0</v>
      </c>
      <c r="H111" s="41">
        <f>SUM(H96:H110)</f>
        <v>0</v>
      </c>
      <c r="I111" s="41">
        <f>SUM(I96:I110)</f>
        <v>0</v>
      </c>
      <c r="J111" s="41">
        <f>SUM(J96:J110)</f>
        <v>65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295487</v>
      </c>
      <c r="G112" s="41">
        <f>G60+G111</f>
        <v>0</v>
      </c>
      <c r="H112" s="41">
        <f>H60+H79+H94+H111</f>
        <v>0</v>
      </c>
      <c r="I112" s="41">
        <f>I60+I111</f>
        <v>0</v>
      </c>
      <c r="J112" s="41">
        <f>J60+J111</f>
        <v>65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108351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60655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169006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3437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455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3892</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172898</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45384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45384</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11856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57240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525625</v>
      </c>
      <c r="G193" s="47">
        <f>G112+G140+G169+G192</f>
        <v>0</v>
      </c>
      <c r="H193" s="47">
        <f>H112+H140+H169+H192</f>
        <v>0</v>
      </c>
      <c r="I193" s="47">
        <f>I112+I140+I169+I192</f>
        <v>0</v>
      </c>
      <c r="J193" s="47">
        <f>J112+J140+J192</f>
        <v>50065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57729</v>
      </c>
      <c r="I197" s="18"/>
      <c r="J197" s="18"/>
      <c r="K197" s="18"/>
      <c r="L197" s="19">
        <f>SUM(F197:K197)</f>
        <v>57729</v>
      </c>
      <c r="M197" s="8"/>
      <c r="N197" s="266"/>
    </row>
    <row r="198" spans="1:14" s="3" customFormat="1" ht="12.2" customHeight="1" x14ac:dyDescent="0.15">
      <c r="A198" s="1" t="s">
        <v>439</v>
      </c>
      <c r="B198" s="2" t="s">
        <v>341</v>
      </c>
      <c r="C198" s="2" t="s">
        <v>291</v>
      </c>
      <c r="D198" s="2" t="s">
        <v>431</v>
      </c>
      <c r="E198" s="6">
        <v>1200</v>
      </c>
      <c r="F198" s="18"/>
      <c r="G198" s="18"/>
      <c r="H198" s="18">
        <f>6240+57925</f>
        <v>64165</v>
      </c>
      <c r="I198" s="18"/>
      <c r="J198" s="18"/>
      <c r="K198" s="18"/>
      <c r="L198" s="19">
        <f>SUM(F198:K198)</f>
        <v>64165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v>33891</v>
      </c>
      <c r="I202" s="18"/>
      <c r="J202" s="18"/>
      <c r="K202" s="18"/>
      <c r="L202" s="19">
        <f t="shared" ref="L202:L208" si="0">SUM(F202:K202)</f>
        <v>33891</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267</v>
      </c>
      <c r="G204" s="18">
        <v>137</v>
      </c>
      <c r="H204" s="18">
        <f>8508+893</f>
        <v>9401</v>
      </c>
      <c r="I204" s="18">
        <v>3</v>
      </c>
      <c r="J204" s="18"/>
      <c r="K204" s="18">
        <v>249</v>
      </c>
      <c r="L204" s="19">
        <f t="shared" si="0"/>
        <v>10057</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17858</v>
      </c>
      <c r="I208" s="18"/>
      <c r="J208" s="18"/>
      <c r="K208" s="18"/>
      <c r="L208" s="19">
        <f t="shared" si="0"/>
        <v>17858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267</v>
      </c>
      <c r="G211" s="41">
        <f t="shared" si="1"/>
        <v>137</v>
      </c>
      <c r="H211" s="41">
        <f t="shared" si="1"/>
        <v>183044</v>
      </c>
      <c r="I211" s="41">
        <f t="shared" si="1"/>
        <v>3</v>
      </c>
      <c r="J211" s="41">
        <f t="shared" si="1"/>
        <v>0</v>
      </c>
      <c r="K211" s="41">
        <f t="shared" si="1"/>
        <v>249</v>
      </c>
      <c r="L211" s="41">
        <f t="shared" si="1"/>
        <v>183700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182847</v>
      </c>
      <c r="I215" s="18"/>
      <c r="J215" s="18"/>
      <c r="K215" s="18"/>
      <c r="L215" s="19">
        <f>SUM(F215:K215)</f>
        <v>182847</v>
      </c>
      <c r="M215" s="8"/>
      <c r="N215" s="266"/>
    </row>
    <row r="216" spans="1:14" s="3" customFormat="1" ht="12.2" customHeight="1" x14ac:dyDescent="0.15">
      <c r="A216" s="1" t="s">
        <v>439</v>
      </c>
      <c r="B216" s="2" t="s">
        <v>346</v>
      </c>
      <c r="C216" s="2" t="s">
        <v>291</v>
      </c>
      <c r="D216" s="2" t="s">
        <v>431</v>
      </c>
      <c r="E216" s="6">
        <v>1200</v>
      </c>
      <c r="F216" s="18"/>
      <c r="G216" s="18"/>
      <c r="H216" s="18">
        <f>49514+2648</f>
        <v>52162</v>
      </c>
      <c r="I216" s="18"/>
      <c r="J216" s="18"/>
      <c r="K216" s="18"/>
      <c r="L216" s="19">
        <f>SUM(F216:K216)</f>
        <v>52162</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v>7196</v>
      </c>
      <c r="I220" s="18"/>
      <c r="J220" s="18"/>
      <c r="K220" s="18"/>
      <c r="L220" s="19">
        <f t="shared" ref="L220:L226" si="2">SUM(F220:K220)</f>
        <v>7196</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389</v>
      </c>
      <c r="G222" s="18">
        <v>230</v>
      </c>
      <c r="H222" s="18">
        <f>14666+1330</f>
        <v>15996</v>
      </c>
      <c r="I222" s="18">
        <v>5</v>
      </c>
      <c r="J222" s="18"/>
      <c r="K222" s="18">
        <v>429</v>
      </c>
      <c r="L222" s="19">
        <f t="shared" si="2"/>
        <v>17049</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18936</v>
      </c>
      <c r="I226" s="18"/>
      <c r="J226" s="18"/>
      <c r="K226" s="18"/>
      <c r="L226" s="19">
        <f t="shared" si="2"/>
        <v>18936</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389</v>
      </c>
      <c r="G229" s="41">
        <f>SUM(G215:G228)</f>
        <v>230</v>
      </c>
      <c r="H229" s="41">
        <f>SUM(H215:H228)</f>
        <v>277137</v>
      </c>
      <c r="I229" s="41">
        <f>SUM(I215:I228)</f>
        <v>5</v>
      </c>
      <c r="J229" s="41">
        <f>SUM(J215:J228)</f>
        <v>0</v>
      </c>
      <c r="K229" s="41">
        <f t="shared" si="3"/>
        <v>429</v>
      </c>
      <c r="L229" s="41">
        <f t="shared" si="3"/>
        <v>278190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111165</v>
      </c>
      <c r="I233" s="18"/>
      <c r="J233" s="18"/>
      <c r="K233" s="18"/>
      <c r="L233" s="19">
        <f>SUM(F233:K233)</f>
        <v>111165</v>
      </c>
      <c r="M233" s="8"/>
      <c r="N233" s="266"/>
    </row>
    <row r="234" spans="1:14" s="3" customFormat="1" ht="12.2" customHeight="1" x14ac:dyDescent="0.15">
      <c r="A234" s="1" t="s">
        <v>439</v>
      </c>
      <c r="B234" s="2" t="s">
        <v>350</v>
      </c>
      <c r="C234" s="2" t="s">
        <v>291</v>
      </c>
      <c r="D234" s="2" t="s">
        <v>431</v>
      </c>
      <c r="E234" s="6">
        <v>1200</v>
      </c>
      <c r="F234" s="18"/>
      <c r="G234" s="18"/>
      <c r="H234" s="18">
        <f>857+12538</f>
        <v>13395</v>
      </c>
      <c r="I234" s="18"/>
      <c r="J234" s="18"/>
      <c r="K234" s="18"/>
      <c r="L234" s="19">
        <f>SUM(F234:K234)</f>
        <v>13395</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4303</v>
      </c>
      <c r="I238" s="18"/>
      <c r="J238" s="18"/>
      <c r="K238" s="18"/>
      <c r="L238" s="19">
        <f t="shared" ref="L238:L244" si="4">SUM(F238:K238)</f>
        <v>4303</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205</v>
      </c>
      <c r="G240" s="18">
        <v>100</v>
      </c>
      <c r="H240" s="18">
        <f>6162+857</f>
        <v>7019</v>
      </c>
      <c r="I240" s="18">
        <v>2</v>
      </c>
      <c r="J240" s="18"/>
      <c r="K240" s="18">
        <v>180</v>
      </c>
      <c r="L240" s="19">
        <f t="shared" si="4"/>
        <v>7506</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6378</v>
      </c>
      <c r="I244" s="18"/>
      <c r="J244" s="18"/>
      <c r="K244" s="18"/>
      <c r="L244" s="19">
        <f t="shared" si="4"/>
        <v>6378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205</v>
      </c>
      <c r="G247" s="41">
        <f t="shared" si="5"/>
        <v>100</v>
      </c>
      <c r="H247" s="41">
        <f t="shared" si="5"/>
        <v>142260</v>
      </c>
      <c r="I247" s="41">
        <f t="shared" si="5"/>
        <v>2</v>
      </c>
      <c r="J247" s="41">
        <f t="shared" si="5"/>
        <v>0</v>
      </c>
      <c r="K247" s="41">
        <f t="shared" si="5"/>
        <v>180</v>
      </c>
      <c r="L247" s="41">
        <f t="shared" si="5"/>
        <v>142747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861</v>
      </c>
      <c r="G257" s="41">
        <f t="shared" si="8"/>
        <v>467</v>
      </c>
      <c r="H257" s="41">
        <f t="shared" si="8"/>
        <v>602441</v>
      </c>
      <c r="I257" s="41">
        <f t="shared" si="8"/>
        <v>10</v>
      </c>
      <c r="J257" s="41">
        <f t="shared" si="8"/>
        <v>0</v>
      </c>
      <c r="K257" s="41">
        <f t="shared" si="8"/>
        <v>858</v>
      </c>
      <c r="L257" s="41">
        <f t="shared" si="8"/>
        <v>604637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50000</v>
      </c>
      <c r="L270" s="41">
        <f t="shared" si="9"/>
        <v>50000</v>
      </c>
      <c r="N270" s="264"/>
    </row>
    <row r="271" spans="1:14" s="3" customFormat="1" ht="12.2" customHeight="1" thickTop="1" x14ac:dyDescent="0.2">
      <c r="A271" s="43" t="s">
        <v>464</v>
      </c>
      <c r="B271" s="40">
        <v>10</v>
      </c>
      <c r="C271" s="40">
        <v>18</v>
      </c>
      <c r="D271" s="39" t="s">
        <v>431</v>
      </c>
      <c r="E271" s="40"/>
      <c r="F271" s="42">
        <f t="shared" ref="F271:L271" si="11">F257+F270</f>
        <v>861</v>
      </c>
      <c r="G271" s="42">
        <f t="shared" si="11"/>
        <v>467</v>
      </c>
      <c r="H271" s="42">
        <f t="shared" si="11"/>
        <v>602441</v>
      </c>
      <c r="I271" s="42">
        <f t="shared" si="11"/>
        <v>10</v>
      </c>
      <c r="J271" s="42">
        <f t="shared" si="11"/>
        <v>0</v>
      </c>
      <c r="K271" s="42">
        <f t="shared" si="11"/>
        <v>50858</v>
      </c>
      <c r="L271" s="42">
        <f t="shared" si="11"/>
        <v>654637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50000</v>
      </c>
      <c r="H400" s="18">
        <v>65</v>
      </c>
      <c r="I400" s="18"/>
      <c r="J400" s="24" t="s">
        <v>288</v>
      </c>
      <c r="K400" s="24" t="s">
        <v>288</v>
      </c>
      <c r="L400" s="56">
        <f t="shared" si="26"/>
        <v>50065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65</v>
      </c>
      <c r="I401" s="47">
        <f>SUM(I395:I400)</f>
        <v>0</v>
      </c>
      <c r="J401" s="45" t="s">
        <v>288</v>
      </c>
      <c r="K401" s="45" t="s">
        <v>288</v>
      </c>
      <c r="L401" s="47">
        <f>SUM(L395:L400)</f>
        <v>50065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65</v>
      </c>
      <c r="I408" s="47">
        <f>I393+I401+I407</f>
        <v>0</v>
      </c>
      <c r="J408" s="24" t="s">
        <v>288</v>
      </c>
      <c r="K408" s="24" t="s">
        <v>288</v>
      </c>
      <c r="L408" s="47">
        <f>L393+L401+L407</f>
        <v>50065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20</v>
      </c>
      <c r="L426" s="56">
        <f t="shared" si="29"/>
        <v>20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20</v>
      </c>
      <c r="L427" s="47">
        <f t="shared" si="30"/>
        <v>20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20</v>
      </c>
      <c r="L434" s="47">
        <f t="shared" si="32"/>
        <v>20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88163</v>
      </c>
      <c r="H440" s="18"/>
      <c r="I440" s="56">
        <f t="shared" si="33"/>
        <v>88163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88163</v>
      </c>
      <c r="H446" s="13">
        <f>SUM(H439:H445)</f>
        <v>0</v>
      </c>
      <c r="I446" s="13">
        <f>SUM(I439:I445)</f>
        <v>88163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88163</v>
      </c>
      <c r="H459" s="18"/>
      <c r="I459" s="56">
        <f t="shared" si="34"/>
        <v>88163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88163</v>
      </c>
      <c r="H460" s="83">
        <f>SUM(H454:H459)</f>
        <v>0</v>
      </c>
      <c r="I460" s="83">
        <f>SUM(I454:I459)</f>
        <v>88163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88163</v>
      </c>
      <c r="H461" s="42">
        <f>H452+H460</f>
        <v>0</v>
      </c>
      <c r="I461" s="42">
        <f>I452+I460</f>
        <v>88163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148262+50000+11118</f>
        <v>209380</v>
      </c>
      <c r="G465" s="18"/>
      <c r="H465" s="18"/>
      <c r="I465" s="18"/>
      <c r="J465" s="18">
        <v>38118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525625</v>
      </c>
      <c r="G468" s="18"/>
      <c r="H468" s="18"/>
      <c r="I468" s="18"/>
      <c r="J468" s="18">
        <f>50065</f>
        <v>50065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525625</v>
      </c>
      <c r="G470" s="53">
        <f>SUM(G468:G469)</f>
        <v>0</v>
      </c>
      <c r="H470" s="53">
        <f>SUM(H468:H469)</f>
        <v>0</v>
      </c>
      <c r="I470" s="53">
        <f>SUM(I468:I469)</f>
        <v>0</v>
      </c>
      <c r="J470" s="53">
        <f>SUM(J468:J469)</f>
        <v>50065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654637</v>
      </c>
      <c r="G472" s="18"/>
      <c r="H472" s="18"/>
      <c r="I472" s="18"/>
      <c r="J472" s="18">
        <v>20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654637</v>
      </c>
      <c r="G474" s="53">
        <f>SUM(G472:G473)</f>
        <v>0</v>
      </c>
      <c r="H474" s="53">
        <f>SUM(H472:H473)</f>
        <v>0</v>
      </c>
      <c r="I474" s="53">
        <f>SUM(I472:I473)</f>
        <v>0</v>
      </c>
      <c r="J474" s="53">
        <f>SUM(J472:J473)</f>
        <v>20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80368</v>
      </c>
      <c r="G476" s="53">
        <f>(G465+G470)- G474</f>
        <v>0</v>
      </c>
      <c r="H476" s="53">
        <f>(H465+H470)- H474</f>
        <v>0</v>
      </c>
      <c r="I476" s="53">
        <f>(I465+I470)- I474</f>
        <v>0</v>
      </c>
      <c r="J476" s="53">
        <f>(J465+J470)- J474</f>
        <v>88163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f>6240+57925</f>
        <v>64165</v>
      </c>
      <c r="I521" s="18"/>
      <c r="J521" s="18"/>
      <c r="K521" s="18"/>
      <c r="L521" s="88">
        <f>SUM(F521:K521)</f>
        <v>64165</v>
      </c>
      <c r="N521" s="265"/>
    </row>
    <row r="522" spans="1:14" s="52" customFormat="1" ht="12.2" customHeight="1" x14ac:dyDescent="0.2">
      <c r="A522" s="22" t="s">
        <v>634</v>
      </c>
      <c r="B522" s="105">
        <v>21</v>
      </c>
      <c r="C522" s="115">
        <v>2</v>
      </c>
      <c r="D522" s="2" t="s">
        <v>432</v>
      </c>
      <c r="E522" s="115"/>
      <c r="F522" s="18"/>
      <c r="G522" s="18"/>
      <c r="H522" s="18">
        <f>49514+2648</f>
        <v>52162</v>
      </c>
      <c r="I522" s="18"/>
      <c r="J522" s="18"/>
      <c r="K522" s="18"/>
      <c r="L522" s="88">
        <f>SUM(F522:K522)</f>
        <v>52162</v>
      </c>
      <c r="N522" s="265"/>
    </row>
    <row r="523" spans="1:14" s="52" customFormat="1" ht="12.2" customHeight="1" thickBot="1" x14ac:dyDescent="0.25">
      <c r="A523" s="22" t="s">
        <v>635</v>
      </c>
      <c r="B523" s="105">
        <v>21</v>
      </c>
      <c r="C523" s="115">
        <v>3</v>
      </c>
      <c r="D523" s="2" t="s">
        <v>432</v>
      </c>
      <c r="E523" s="115"/>
      <c r="F523" s="18"/>
      <c r="G523" s="18"/>
      <c r="H523" s="18">
        <f>857+12538</f>
        <v>13395</v>
      </c>
      <c r="I523" s="18"/>
      <c r="J523" s="18"/>
      <c r="K523" s="18"/>
      <c r="L523" s="88">
        <f>SUM(F523:K523)</f>
        <v>13395</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129722</v>
      </c>
      <c r="I524" s="108">
        <f t="shared" si="36"/>
        <v>0</v>
      </c>
      <c r="J524" s="108">
        <f t="shared" si="36"/>
        <v>0</v>
      </c>
      <c r="K524" s="108">
        <f t="shared" si="36"/>
        <v>0</v>
      </c>
      <c r="L524" s="89">
        <f t="shared" si="36"/>
        <v>129722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33891</v>
      </c>
      <c r="I526" s="18"/>
      <c r="J526" s="18"/>
      <c r="K526" s="18"/>
      <c r="L526" s="88">
        <f>SUM(F526:K526)</f>
        <v>33891</v>
      </c>
      <c r="M526" s="8"/>
      <c r="N526" s="266"/>
    </row>
    <row r="527" spans="1:14" s="3" customFormat="1" ht="12.2" customHeight="1" x14ac:dyDescent="0.15">
      <c r="A527" s="22" t="s">
        <v>634</v>
      </c>
      <c r="B527" s="105">
        <v>21</v>
      </c>
      <c r="C527" s="115">
        <v>6</v>
      </c>
      <c r="D527" s="2" t="s">
        <v>432</v>
      </c>
      <c r="E527" s="115"/>
      <c r="F527" s="18"/>
      <c r="G527" s="18"/>
      <c r="H527" s="18">
        <v>7196</v>
      </c>
      <c r="I527" s="18"/>
      <c r="J527" s="18"/>
      <c r="K527" s="18"/>
      <c r="L527" s="88">
        <f>SUM(F527:K527)</f>
        <v>7196</v>
      </c>
      <c r="M527" s="8"/>
      <c r="N527" s="266"/>
    </row>
    <row r="528" spans="1:14" s="3" customFormat="1" ht="12.2" customHeight="1" thickBot="1" x14ac:dyDescent="0.2">
      <c r="A528" s="22" t="s">
        <v>635</v>
      </c>
      <c r="B528" s="118">
        <v>21</v>
      </c>
      <c r="C528" s="118">
        <v>7</v>
      </c>
      <c r="D528" s="2" t="s">
        <v>432</v>
      </c>
      <c r="E528" s="118"/>
      <c r="F528" s="18"/>
      <c r="G528" s="18"/>
      <c r="H528" s="18">
        <v>4303</v>
      </c>
      <c r="I528" s="18"/>
      <c r="J528" s="18"/>
      <c r="K528" s="18"/>
      <c r="L528" s="88">
        <f>SUM(F528:K528)</f>
        <v>4303</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45390</v>
      </c>
      <c r="I529" s="89">
        <f t="shared" si="37"/>
        <v>0</v>
      </c>
      <c r="J529" s="89">
        <f t="shared" si="37"/>
        <v>0</v>
      </c>
      <c r="K529" s="89">
        <f t="shared" si="37"/>
        <v>0</v>
      </c>
      <c r="L529" s="89">
        <f t="shared" si="37"/>
        <v>45390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1656</v>
      </c>
      <c r="I531" s="18"/>
      <c r="J531" s="18"/>
      <c r="K531" s="18"/>
      <c r="L531" s="88">
        <f>SUM(F531:K531)</f>
        <v>1656</v>
      </c>
      <c r="M531" s="8"/>
      <c r="N531" s="266"/>
    </row>
    <row r="532" spans="1:14" s="3" customFormat="1" ht="12.2" customHeight="1" x14ac:dyDescent="0.15">
      <c r="A532" s="22" t="s">
        <v>634</v>
      </c>
      <c r="B532" s="105">
        <v>21</v>
      </c>
      <c r="C532" s="105">
        <v>10</v>
      </c>
      <c r="D532" s="2" t="s">
        <v>432</v>
      </c>
      <c r="E532" s="105"/>
      <c r="F532" s="18"/>
      <c r="G532" s="18"/>
      <c r="H532" s="18">
        <v>2855</v>
      </c>
      <c r="I532" s="18"/>
      <c r="J532" s="18"/>
      <c r="K532" s="18"/>
      <c r="L532" s="88">
        <f>SUM(F532:K532)</f>
        <v>2855</v>
      </c>
      <c r="M532" s="8"/>
      <c r="N532" s="266"/>
    </row>
    <row r="533" spans="1:14" s="3" customFormat="1" ht="12.2" customHeight="1" thickBot="1" x14ac:dyDescent="0.2">
      <c r="A533" s="22" t="s">
        <v>635</v>
      </c>
      <c r="B533" s="105">
        <v>21</v>
      </c>
      <c r="C533" s="105">
        <v>11</v>
      </c>
      <c r="D533" s="2" t="s">
        <v>432</v>
      </c>
      <c r="E533" s="105"/>
      <c r="F533" s="18"/>
      <c r="G533" s="18"/>
      <c r="H533" s="18">
        <v>1199</v>
      </c>
      <c r="I533" s="18"/>
      <c r="J533" s="18"/>
      <c r="K533" s="18"/>
      <c r="L533" s="88">
        <f>SUM(F533:K533)</f>
        <v>1199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5710</v>
      </c>
      <c r="I534" s="89">
        <f t="shared" si="38"/>
        <v>0</v>
      </c>
      <c r="J534" s="89">
        <f t="shared" si="38"/>
        <v>0</v>
      </c>
      <c r="K534" s="89">
        <f t="shared" si="38"/>
        <v>0</v>
      </c>
      <c r="L534" s="89">
        <f t="shared" si="38"/>
        <v>5710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0</v>
      </c>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v>0</v>
      </c>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0</v>
      </c>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9050</v>
      </c>
      <c r="I541" s="18"/>
      <c r="J541" s="18"/>
      <c r="K541" s="18"/>
      <c r="L541" s="88">
        <f>SUM(F541:K541)</f>
        <v>9050</v>
      </c>
      <c r="M541" s="8"/>
      <c r="N541" s="266"/>
    </row>
    <row r="542" spans="1:14" s="3" customFormat="1" ht="12.2" customHeight="1" x14ac:dyDescent="0.15">
      <c r="A542" s="22" t="s">
        <v>634</v>
      </c>
      <c r="B542" s="105">
        <v>21</v>
      </c>
      <c r="C542" s="105">
        <v>18</v>
      </c>
      <c r="D542" s="2" t="s">
        <v>432</v>
      </c>
      <c r="E542" s="105"/>
      <c r="F542" s="18"/>
      <c r="G542" s="18"/>
      <c r="H542" s="18">
        <v>3750</v>
      </c>
      <c r="I542" s="18"/>
      <c r="J542" s="18"/>
      <c r="K542" s="18"/>
      <c r="L542" s="88">
        <f>SUM(F542:K542)</f>
        <v>3750</v>
      </c>
      <c r="M542" s="8"/>
      <c r="N542" s="266"/>
    </row>
    <row r="543" spans="1:14" s="3" customFormat="1" ht="12.2" customHeight="1" thickBot="1" x14ac:dyDescent="0.2">
      <c r="A543" s="22" t="s">
        <v>635</v>
      </c>
      <c r="B543" s="105">
        <v>21</v>
      </c>
      <c r="C543" s="105">
        <v>19</v>
      </c>
      <c r="D543" s="2" t="s">
        <v>432</v>
      </c>
      <c r="E543" s="105"/>
      <c r="F543" s="18"/>
      <c r="G543" s="18"/>
      <c r="H543" s="18">
        <v>0</v>
      </c>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12800</v>
      </c>
      <c r="I544" s="193">
        <f t="shared" si="40"/>
        <v>0</v>
      </c>
      <c r="J544" s="193">
        <f t="shared" si="40"/>
        <v>0</v>
      </c>
      <c r="K544" s="193">
        <f t="shared" si="40"/>
        <v>0</v>
      </c>
      <c r="L544" s="193">
        <f t="shared" si="40"/>
        <v>12800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193622</v>
      </c>
      <c r="I545" s="89">
        <f t="shared" si="41"/>
        <v>0</v>
      </c>
      <c r="J545" s="89">
        <f t="shared" si="41"/>
        <v>0</v>
      </c>
      <c r="K545" s="89">
        <f t="shared" si="41"/>
        <v>0</v>
      </c>
      <c r="L545" s="89">
        <f t="shared" si="41"/>
        <v>193622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64165</v>
      </c>
      <c r="G549" s="87">
        <f>L526</f>
        <v>33891</v>
      </c>
      <c r="H549" s="87">
        <f>L531</f>
        <v>1656</v>
      </c>
      <c r="I549" s="87">
        <f>L536</f>
        <v>0</v>
      </c>
      <c r="J549" s="87">
        <f>L541</f>
        <v>9050</v>
      </c>
      <c r="K549" s="87">
        <f>SUM(F549:J549)</f>
        <v>108762</v>
      </c>
      <c r="L549" s="24" t="s">
        <v>288</v>
      </c>
      <c r="M549" s="8"/>
      <c r="N549" s="266"/>
    </row>
    <row r="550" spans="1:14" s="3" customFormat="1" ht="12.2" customHeight="1" x14ac:dyDescent="0.15">
      <c r="A550" s="22" t="s">
        <v>634</v>
      </c>
      <c r="B550" s="75">
        <v>21</v>
      </c>
      <c r="C550" s="75">
        <v>23</v>
      </c>
      <c r="D550" s="2" t="s">
        <v>432</v>
      </c>
      <c r="E550" s="75"/>
      <c r="F550" s="87">
        <f>L522</f>
        <v>52162</v>
      </c>
      <c r="G550" s="87">
        <f>L527</f>
        <v>7196</v>
      </c>
      <c r="H550" s="87">
        <f>L532</f>
        <v>2855</v>
      </c>
      <c r="I550" s="87">
        <f>L537</f>
        <v>0</v>
      </c>
      <c r="J550" s="87">
        <f>L542</f>
        <v>3750</v>
      </c>
      <c r="K550" s="87">
        <f>SUM(F550:J550)</f>
        <v>65963</v>
      </c>
      <c r="L550" s="24" t="s">
        <v>288</v>
      </c>
      <c r="M550" s="8"/>
      <c r="N550" s="266"/>
    </row>
    <row r="551" spans="1:14" s="3" customFormat="1" ht="12.2" customHeight="1" thickBot="1" x14ac:dyDescent="0.2">
      <c r="A551" s="22" t="s">
        <v>635</v>
      </c>
      <c r="B551" s="75">
        <v>21</v>
      </c>
      <c r="C551" s="75">
        <v>24</v>
      </c>
      <c r="D551" s="2" t="s">
        <v>432</v>
      </c>
      <c r="E551" s="75"/>
      <c r="F551" s="87">
        <f>L523</f>
        <v>13395</v>
      </c>
      <c r="G551" s="87">
        <f>L528</f>
        <v>4303</v>
      </c>
      <c r="H551" s="87">
        <f>L533</f>
        <v>1199</v>
      </c>
      <c r="I551" s="87">
        <f>L538</f>
        <v>0</v>
      </c>
      <c r="J551" s="87">
        <f>L543</f>
        <v>0</v>
      </c>
      <c r="K551" s="87">
        <f>SUM(F551:J551)</f>
        <v>18897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129722</v>
      </c>
      <c r="G552" s="89">
        <f t="shared" si="42"/>
        <v>45390</v>
      </c>
      <c r="H552" s="89">
        <f t="shared" si="42"/>
        <v>5710</v>
      </c>
      <c r="I552" s="89">
        <f t="shared" si="42"/>
        <v>0</v>
      </c>
      <c r="J552" s="89">
        <f t="shared" si="42"/>
        <v>12800</v>
      </c>
      <c r="K552" s="89">
        <f t="shared" si="42"/>
        <v>193622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57729</v>
      </c>
      <c r="G575" s="18">
        <v>182847</v>
      </c>
      <c r="H575" s="18">
        <v>97505</v>
      </c>
      <c r="I575" s="87">
        <f>SUM(F575:H575)</f>
        <v>338081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v>13660</v>
      </c>
      <c r="I578" s="87">
        <f t="shared" si="47"/>
        <v>13660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57925</v>
      </c>
      <c r="G579" s="18">
        <v>2648</v>
      </c>
      <c r="H579" s="18"/>
      <c r="I579" s="87">
        <f t="shared" si="47"/>
        <v>60573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12538</v>
      </c>
      <c r="I580" s="87">
        <f t="shared" si="47"/>
        <v>12538</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8808</v>
      </c>
      <c r="I591" s="18">
        <v>15186</v>
      </c>
      <c r="J591" s="18">
        <v>6378</v>
      </c>
      <c r="K591" s="104">
        <f t="shared" ref="K591:K597" si="48">SUM(H591:J591)</f>
        <v>30372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9050</v>
      </c>
      <c r="I592" s="18">
        <v>3750</v>
      </c>
      <c r="J592" s="18"/>
      <c r="K592" s="104">
        <f t="shared" si="48"/>
        <v>12800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17858</v>
      </c>
      <c r="I598" s="108">
        <f>SUM(I591:I597)</f>
        <v>18936</v>
      </c>
      <c r="J598" s="108">
        <f>SUM(J591:J597)</f>
        <v>6378</v>
      </c>
      <c r="K598" s="108">
        <f>SUM(K591:K597)</f>
        <v>43172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85927</v>
      </c>
      <c r="H617" s="109">
        <f>SUM(F52)</f>
        <v>85927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88163</v>
      </c>
      <c r="H621" s="109">
        <f>SUM(J52)</f>
        <v>88163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80368</v>
      </c>
      <c r="H622" s="109">
        <f>F476</f>
        <v>80368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88163</v>
      </c>
      <c r="H626" s="109">
        <f>J476</f>
        <v>88163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525625</v>
      </c>
      <c r="H627" s="104">
        <f>SUM(F468)</f>
        <v>525625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50065</v>
      </c>
      <c r="H631" s="104">
        <f>SUM(J468)</f>
        <v>50065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654637</v>
      </c>
      <c r="H632" s="104">
        <f>SUM(F472)</f>
        <v>654637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50065</v>
      </c>
      <c r="H637" s="164">
        <f>SUM(J468)</f>
        <v>50065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20</v>
      </c>
      <c r="H638" s="164">
        <f>SUM(J472)</f>
        <v>20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88163</v>
      </c>
      <c r="H640" s="104">
        <f>SUM(G461)</f>
        <v>88163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88163</v>
      </c>
      <c r="H642" s="104">
        <f>SUM(I461)</f>
        <v>88163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65</v>
      </c>
      <c r="H644" s="104">
        <f>H408</f>
        <v>65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50065</v>
      </c>
      <c r="H646" s="104">
        <f>L408</f>
        <v>50065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43172</v>
      </c>
      <c r="H647" s="104">
        <f>L208+L226+L244</f>
        <v>43172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17858</v>
      </c>
      <c r="H649" s="104">
        <f>H598</f>
        <v>17858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18936</v>
      </c>
      <c r="H650" s="104">
        <f>I598</f>
        <v>18936</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6378</v>
      </c>
      <c r="H651" s="104">
        <f>J598</f>
        <v>6378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183700</v>
      </c>
      <c r="G660" s="19">
        <f>(L229+L309+L359)</f>
        <v>278190</v>
      </c>
      <c r="H660" s="19">
        <f>(L247+L328+L360)</f>
        <v>142747</v>
      </c>
      <c r="I660" s="19">
        <f>SUM(F660:H660)</f>
        <v>604637</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17858</v>
      </c>
      <c r="G662" s="19">
        <f>(L226+L306)-(J226+J306)</f>
        <v>18936</v>
      </c>
      <c r="H662" s="19">
        <f>(L244+L325)-(J244+J325)</f>
        <v>6378</v>
      </c>
      <c r="I662" s="19">
        <f>SUM(F662:H662)</f>
        <v>43172</v>
      </c>
      <c r="J662"/>
      <c r="K662" s="13"/>
      <c r="L662" s="13"/>
      <c r="M662" s="8"/>
    </row>
    <row r="663" spans="1:13" s="3" customFormat="1" ht="12.2" customHeight="1" x14ac:dyDescent="0.15">
      <c r="A663" s="198" t="s">
        <v>129</v>
      </c>
      <c r="B663" s="169"/>
      <c r="C663" s="169"/>
      <c r="D663" s="169"/>
      <c r="E663" s="169"/>
      <c r="F663" s="199">
        <f>SUM(F575:F587)+SUM(H602:H604)+SUM(L611)</f>
        <v>115654</v>
      </c>
      <c r="G663" s="199">
        <f>SUM(G575:G587)+SUM(I602:I604)+L612</f>
        <v>185495</v>
      </c>
      <c r="H663" s="199">
        <f>SUM(H575:H587)+SUM(J602:J604)+L613</f>
        <v>123703</v>
      </c>
      <c r="I663" s="19">
        <f>SUM(F663:H663)</f>
        <v>424852</v>
      </c>
      <c r="J663" s="13"/>
      <c r="K663" s="13"/>
      <c r="L663" s="13"/>
      <c r="M663" s="9"/>
    </row>
    <row r="664" spans="1:13" s="3" customFormat="1" ht="12.2" customHeight="1" x14ac:dyDescent="0.15">
      <c r="A664" s="1" t="s">
        <v>130</v>
      </c>
      <c r="F664" s="19">
        <f>F660-SUM(F661:F663)</f>
        <v>50188</v>
      </c>
      <c r="G664" s="19">
        <f>G660-SUM(G661:G663)</f>
        <v>73759</v>
      </c>
      <c r="H664" s="19">
        <f>H660-SUM(H661:H663)</f>
        <v>12666</v>
      </c>
      <c r="I664" s="19">
        <f>I660-SUM(I661:I663)</f>
        <v>136613</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-50188</v>
      </c>
      <c r="G669" s="18">
        <v>-73759</v>
      </c>
      <c r="H669" s="18">
        <v>-12666</v>
      </c>
      <c r="I669" s="19">
        <f>SUM(F669:H669)</f>
        <v>-136613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BENTON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BENTON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481463</v>
      </c>
      <c r="D5" s="20">
        <f>SUM('DOE25'!L197:L200)+SUM('DOE25'!L215:L218)+SUM('DOE25'!L233:L236)-F5-G5-H5</f>
        <v>481463</v>
      </c>
      <c r="E5" s="243"/>
      <c r="F5" s="244"/>
      <c r="G5" s="53">
        <f>SUM('DOE25'!J197:J200)+SUM('DOE25'!J215:J218)+SUM('DOE25'!J233:J236)</f>
        <v>0</v>
      </c>
      <c r="H5" s="53">
        <f>SUM('DOE25'!K197:K200)+SUM('DOE25'!K215:K218)+SUM('DOE25'!K233:K236)</f>
        <v>0</v>
      </c>
      <c r="I5" s="256"/>
    </row>
    <row r="6" spans="1:9" x14ac:dyDescent="0.2">
      <c r="A6" s="32">
        <v>2100</v>
      </c>
      <c r="B6" t="s">
        <v>796</v>
      </c>
      <c r="C6" s="276">
        <f t="shared" si="0"/>
        <v>45390</v>
      </c>
      <c r="D6" s="20">
        <f>'DOE25'!L202+'DOE25'!L220+'DOE25'!L238-F6-G6-H6</f>
        <v>45390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23949</v>
      </c>
      <c r="D8" s="243"/>
      <c r="E8" s="20">
        <f>'DOE25'!L204+'DOE25'!L222+'DOE25'!L240-F8-G8-H8-D9-D11</f>
        <v>23091</v>
      </c>
      <c r="F8" s="244"/>
      <c r="G8" s="53">
        <f>'DOE25'!J204+'DOE25'!J222+'DOE25'!J240</f>
        <v>0</v>
      </c>
      <c r="H8" s="53">
        <f>'DOE25'!K204+'DOE25'!K222+'DOE25'!K240</f>
        <v>858</v>
      </c>
      <c r="I8" s="256"/>
    </row>
    <row r="9" spans="1:9" ht="14.25" x14ac:dyDescent="0.2">
      <c r="A9" s="32">
        <v>2310</v>
      </c>
      <c r="B9" s="185" t="s">
        <v>890</v>
      </c>
      <c r="C9" s="276">
        <f t="shared" si="0"/>
        <v>5286</v>
      </c>
      <c r="D9" s="244">
        <v>5286</v>
      </c>
      <c r="E9" s="243"/>
      <c r="F9" s="253"/>
      <c r="G9" s="253"/>
      <c r="H9" s="253"/>
      <c r="I9" s="256"/>
    </row>
    <row r="10" spans="1:9" ht="14.25" x14ac:dyDescent="0.2">
      <c r="A10" s="32">
        <v>2317</v>
      </c>
      <c r="B10" s="185" t="s">
        <v>891</v>
      </c>
      <c r="C10" s="276">
        <f t="shared" si="0"/>
        <v>800</v>
      </c>
      <c r="D10" s="243"/>
      <c r="E10" s="244">
        <v>800</v>
      </c>
      <c r="F10" s="253"/>
      <c r="G10" s="253"/>
      <c r="H10" s="253"/>
      <c r="I10" s="256"/>
    </row>
    <row r="11" spans="1:9" ht="14.25" x14ac:dyDescent="0.2">
      <c r="A11" s="32">
        <v>2321</v>
      </c>
      <c r="B11" s="185" t="s">
        <v>892</v>
      </c>
      <c r="C11" s="276">
        <f t="shared" si="0"/>
        <v>5377</v>
      </c>
      <c r="D11" s="244">
        <v>5377</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43172</v>
      </c>
      <c r="D15" s="20">
        <f>'DOE25'!L208+'DOE25'!L226+'DOE25'!L244-F15-G15-H15</f>
        <v>37801</v>
      </c>
      <c r="E15" s="243"/>
      <c r="F15" s="244">
        <v>5371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575317</v>
      </c>
      <c r="E33" s="245">
        <f t="shared" si="1"/>
        <v>23891</v>
      </c>
      <c r="F33" s="245">
        <f t="shared" si="1"/>
        <v>5371</v>
      </c>
      <c r="G33" s="245">
        <f t="shared" si="1"/>
        <v>0</v>
      </c>
      <c r="H33" s="245">
        <f t="shared" si="1"/>
        <v>858</v>
      </c>
      <c r="I33" s="245">
        <f t="shared" si="1"/>
        <v>0</v>
      </c>
    </row>
    <row r="35" spans="1:9" ht="12" thickBot="1" x14ac:dyDescent="0.25">
      <c r="B35" s="251" t="s">
        <v>831</v>
      </c>
      <c r="D35" s="252">
        <f>E33</f>
        <v>23891</v>
      </c>
      <c r="E35" s="248"/>
    </row>
    <row r="36" spans="1:9" ht="12" thickTop="1" x14ac:dyDescent="0.2">
      <c r="B36" t="s">
        <v>810</v>
      </c>
      <c r="D36" s="20">
        <f>D33</f>
        <v>575317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0" sqref="E1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BENTON SCHOOL DISTRICT</v>
      </c>
      <c r="B2" s="126">
        <f>'DOE25'!B2</f>
        <v>47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183700</v>
      </c>
      <c r="G4" s="303">
        <f>'DOE25'!L211+'DOE25'!L290</f>
        <v>183700</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167100</v>
      </c>
      <c r="E5" s="294">
        <v>16600</v>
      </c>
      <c r="F5" s="313">
        <f>D5+E5</f>
        <v>183700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278190</v>
      </c>
      <c r="G24" s="303">
        <f>'DOE25'!L229+'DOE25'!L309</f>
        <v>278190</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249570</v>
      </c>
      <c r="E25" s="294">
        <v>28620</v>
      </c>
      <c r="F25" s="308">
        <f>D25+E25</f>
        <v>278190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142747</v>
      </c>
      <c r="G36" s="303">
        <f>'DOE25'!L247+'DOE25'!L328</f>
        <v>142747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130727</v>
      </c>
      <c r="E37" s="294">
        <v>12020</v>
      </c>
      <c r="F37" s="308">
        <f>D37+E37</f>
        <v>142747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83944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88163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1983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85927</v>
      </c>
      <c r="D18" s="41">
        <f>SUM(D8:D17)</f>
        <v>0</v>
      </c>
      <c r="E18" s="41">
        <f>SUM(E8:E17)</f>
        <v>0</v>
      </c>
      <c r="F18" s="41">
        <f>SUM(F8:F17)</f>
        <v>0</v>
      </c>
      <c r="G18" s="41">
        <f>SUM(G8:G17)</f>
        <v>88163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5559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5559</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8902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88163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71466</v>
      </c>
      <c r="D49" s="24" t="s">
        <v>288</v>
      </c>
      <c r="E49" s="24" t="s">
        <v>288</v>
      </c>
      <c r="F49" s="24" t="s">
        <v>288</v>
      </c>
      <c r="G49" s="24" t="s">
        <v>288</v>
      </c>
      <c r="H49" s="124"/>
      <c r="I49" s="124"/>
    </row>
    <row r="50" spans="1:9" ht="12.75" thickTop="1" thickBot="1" x14ac:dyDescent="0.25">
      <c r="A50" s="38" t="s">
        <v>884</v>
      </c>
      <c r="B50" s="48"/>
      <c r="C50" s="41">
        <f>SUM(C34:C49)</f>
        <v>80368</v>
      </c>
      <c r="D50" s="41">
        <f>SUM(D34:D49)</f>
        <v>0</v>
      </c>
      <c r="E50" s="41">
        <f>SUM(E34:E49)</f>
        <v>0</v>
      </c>
      <c r="F50" s="41">
        <f>SUM(F34:F49)</f>
        <v>0</v>
      </c>
      <c r="G50" s="41">
        <f>SUM(G34:G49)</f>
        <v>88163</v>
      </c>
      <c r="H50" s="124"/>
      <c r="I50" s="124"/>
    </row>
    <row r="51" spans="1:9" ht="12" thickTop="1" x14ac:dyDescent="0.2">
      <c r="A51" s="38" t="s">
        <v>885</v>
      </c>
      <c r="B51" s="2"/>
      <c r="C51" s="41">
        <f>C50+C31</f>
        <v>85927</v>
      </c>
      <c r="D51" s="41">
        <f>D50+D31</f>
        <v>0</v>
      </c>
      <c r="E51" s="41">
        <f>E50+E31</f>
        <v>0</v>
      </c>
      <c r="F51" s="41">
        <f>F50+F31</f>
        <v>0</v>
      </c>
      <c r="G51" s="41">
        <f>G50+G31</f>
        <v>88163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295462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25</v>
      </c>
      <c r="D59" s="95">
        <f>'DOE25'!G96</f>
        <v>0</v>
      </c>
      <c r="E59" s="95">
        <f>'DOE25'!H96</f>
        <v>0</v>
      </c>
      <c r="F59" s="95">
        <f>'DOE25'!I96</f>
        <v>0</v>
      </c>
      <c r="G59" s="95">
        <f>'DOE25'!J96</f>
        <v>65</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25</v>
      </c>
      <c r="D62" s="130">
        <f>SUM(D57:D61)</f>
        <v>0</v>
      </c>
      <c r="E62" s="130">
        <f>SUM(E57:E61)</f>
        <v>0</v>
      </c>
      <c r="F62" s="130">
        <f>SUM(F57:F61)</f>
        <v>0</v>
      </c>
      <c r="G62" s="130">
        <f>SUM(G57:G61)</f>
        <v>65</v>
      </c>
      <c r="H62"/>
      <c r="I62"/>
    </row>
    <row r="63" spans="1:9" ht="12" thickTop="1" x14ac:dyDescent="0.2">
      <c r="A63" s="29" t="s">
        <v>175</v>
      </c>
      <c r="B63" s="6"/>
      <c r="C63" s="22">
        <f>C56+C62</f>
        <v>295487</v>
      </c>
      <c r="D63" s="22">
        <f>D56+D62</f>
        <v>0</v>
      </c>
      <c r="E63" s="22">
        <f>E56+E62</f>
        <v>0</v>
      </c>
      <c r="F63" s="22">
        <f>F56+F62</f>
        <v>0</v>
      </c>
      <c r="G63" s="22">
        <f>G56+G62</f>
        <v>65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108351</v>
      </c>
      <c r="D66" s="24" t="s">
        <v>288</v>
      </c>
      <c r="E66" s="24" t="s">
        <v>288</v>
      </c>
      <c r="F66" s="24" t="s">
        <v>288</v>
      </c>
      <c r="G66" s="24" t="s">
        <v>288</v>
      </c>
      <c r="H66"/>
      <c r="I66"/>
    </row>
    <row r="67" spans="1:9" x14ac:dyDescent="0.2">
      <c r="A67" s="1" t="s">
        <v>770</v>
      </c>
      <c r="B67" s="6">
        <v>3112</v>
      </c>
      <c r="C67" s="95">
        <f>'DOE25'!F118</f>
        <v>60655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169006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3892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3892</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172898</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45384</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11856</v>
      </c>
      <c r="D90" s="24" t="s">
        <v>288</v>
      </c>
      <c r="E90" s="24" t="s">
        <v>288</v>
      </c>
      <c r="F90" s="24" t="s">
        <v>288</v>
      </c>
      <c r="G90" s="24" t="s">
        <v>288</v>
      </c>
    </row>
    <row r="91" spans="1:9" ht="12.75" thickTop="1" thickBot="1" x14ac:dyDescent="0.25">
      <c r="A91" s="33" t="s">
        <v>750</v>
      </c>
      <c r="C91" s="131">
        <f>SUM(C85:C90)</f>
        <v>57240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525625</v>
      </c>
      <c r="D104" s="86">
        <f>D63+D81+D91+D103</f>
        <v>0</v>
      </c>
      <c r="E104" s="86">
        <f>E63+E81+E91+E103</f>
        <v>0</v>
      </c>
      <c r="F104" s="86">
        <f>F63+F81+F91+F103</f>
        <v>0</v>
      </c>
      <c r="G104" s="86">
        <f>G63+G81+G103</f>
        <v>50065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351741</v>
      </c>
      <c r="D109" s="24" t="s">
        <v>288</v>
      </c>
      <c r="E109" s="95">
        <f>('DOE25'!L276)+('DOE25'!L295)+('DOE25'!L314)</f>
        <v>0</v>
      </c>
      <c r="F109" s="24" t="s">
        <v>288</v>
      </c>
      <c r="G109" s="24" t="s">
        <v>288</v>
      </c>
    </row>
    <row r="110" spans="1:7" x14ac:dyDescent="0.2">
      <c r="A110" t="s">
        <v>198</v>
      </c>
      <c r="B110" s="32" t="s">
        <v>199</v>
      </c>
      <c r="C110" s="95">
        <f>('DOE25'!L198)+('DOE25'!L216)+('DOE25'!L234)</f>
        <v>129722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481463</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45390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34612</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43172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123174</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20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50065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50000</v>
      </c>
      <c r="D144" s="141">
        <f>SUM(D130:D143)</f>
        <v>0</v>
      </c>
      <c r="E144" s="141">
        <f>SUM(E130:E143)</f>
        <v>0</v>
      </c>
      <c r="F144" s="141">
        <f>SUM(F130:F143)</f>
        <v>0</v>
      </c>
      <c r="G144" s="141">
        <f>SUM(G130:G143)</f>
        <v>20</v>
      </c>
    </row>
    <row r="145" spans="1:9" ht="12.75" thickTop="1" thickBot="1" x14ac:dyDescent="0.25">
      <c r="A145" s="33" t="s">
        <v>244</v>
      </c>
      <c r="C145" s="86">
        <f>(C115+C128+C144)</f>
        <v>654637</v>
      </c>
      <c r="D145" s="86">
        <f>(D115+D128+D144)</f>
        <v>0</v>
      </c>
      <c r="E145" s="86">
        <f>(E115+E128+E144)</f>
        <v>0</v>
      </c>
      <c r="F145" s="86">
        <f>(F115+F128+F144)</f>
        <v>0</v>
      </c>
      <c r="G145" s="86">
        <f>(G115+G128+G144)</f>
        <v>20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9" workbookViewId="0">
      <selection activeCell="F28" sqref="F2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BENTON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351741</v>
      </c>
      <c r="D10" s="182">
        <f>ROUND((C10/$C$28)*100,1)</f>
        <v>58.2</v>
      </c>
    </row>
    <row r="11" spans="1:4" x14ac:dyDescent="0.2">
      <c r="A11">
        <v>1200</v>
      </c>
      <c r="B11" t="s">
        <v>703</v>
      </c>
      <c r="C11" s="179">
        <f>ROUND('DOE25'!L198+'DOE25'!L216+'DOE25'!L234+'DOE25'!L277+'DOE25'!L296+'DOE25'!L315,0)</f>
        <v>129722</v>
      </c>
      <c r="D11" s="182">
        <f>ROUND((C11/$C$28)*100,1)</f>
        <v>21.5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45390</v>
      </c>
      <c r="D15" s="182">
        <f t="shared" ref="D15:D27" si="0">ROUND((C15/$C$28)*100,1)</f>
        <v>7.5</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34612</v>
      </c>
      <c r="D17" s="182">
        <f t="shared" si="0"/>
        <v>5.7</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43172</v>
      </c>
      <c r="D21" s="182">
        <f t="shared" si="0"/>
        <v>7.1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604637</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604637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295462</v>
      </c>
      <c r="D35" s="182">
        <f t="shared" ref="D35:D40" si="1">ROUND((C35/$C$41)*100,1)</f>
        <v>56.2</v>
      </c>
    </row>
    <row r="36" spans="1:4" x14ac:dyDescent="0.2">
      <c r="B36" s="185" t="s">
        <v>739</v>
      </c>
      <c r="C36" s="179">
        <f>SUM('DOE25'!F112:J112)-SUM('DOE25'!G97:G110)+('DOE25'!F174+'DOE25'!F175+'DOE25'!I174+'DOE25'!I175)-C35</f>
        <v>90</v>
      </c>
      <c r="D36" s="182">
        <f t="shared" si="1"/>
        <v>0</v>
      </c>
    </row>
    <row r="37" spans="1:4" x14ac:dyDescent="0.2">
      <c r="A37" s="183" t="s">
        <v>835</v>
      </c>
      <c r="B37" s="185" t="s">
        <v>728</v>
      </c>
      <c r="C37" s="179">
        <f>ROUND('DOE25'!F117+'DOE25'!F118,0)</f>
        <v>169006</v>
      </c>
      <c r="D37" s="182">
        <f t="shared" si="1"/>
        <v>32.1</v>
      </c>
    </row>
    <row r="38" spans="1:4" x14ac:dyDescent="0.2">
      <c r="A38" s="183" t="s">
        <v>734</v>
      </c>
      <c r="B38" s="185" t="s">
        <v>729</v>
      </c>
      <c r="C38" s="179">
        <f>ROUND(SUM('DOE25'!F140:J140)-SUM('DOE25'!F117:F119),0)</f>
        <v>3892</v>
      </c>
      <c r="D38" s="182">
        <f t="shared" si="1"/>
        <v>0.7</v>
      </c>
    </row>
    <row r="39" spans="1:4" x14ac:dyDescent="0.2">
      <c r="A39">
        <v>4000</v>
      </c>
      <c r="B39" s="185" t="s">
        <v>730</v>
      </c>
      <c r="C39" s="179">
        <f>ROUND('DOE25'!F169+'DOE25'!G169+'DOE25'!H169+'DOE25'!I169,0)</f>
        <v>57240</v>
      </c>
      <c r="D39" s="182">
        <f t="shared" si="1"/>
        <v>10.9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525690</v>
      </c>
      <c r="D41" s="184">
        <f>SUM(D35:D40)</f>
        <v>99.90000000000002</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BENTON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2019-08-30T14:50:03Z</cp:lastPrinted>
  <dcterms:created xsi:type="dcterms:W3CDTF">1997-12-04T19:04:30Z</dcterms:created>
  <dcterms:modified xsi:type="dcterms:W3CDTF">2019-09-10T12:15:50Z</dcterms:modified>
</cp:coreProperties>
</file>