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389" i="1" l="1"/>
  <c r="F440" i="1" l="1"/>
  <c r="G440" i="1" l="1"/>
  <c r="F465" i="1" l="1"/>
  <c r="H14" i="1"/>
  <c r="F50" i="1"/>
  <c r="F9" i="1"/>
  <c r="H236" i="1"/>
  <c r="G40" i="1"/>
  <c r="I360" i="1"/>
  <c r="G97" i="1" l="1"/>
  <c r="G132" i="1"/>
  <c r="E37" i="14" l="1"/>
  <c r="E25" i="14"/>
  <c r="D25" i="14"/>
  <c r="E5" i="14"/>
  <c r="F15" i="13"/>
  <c r="F6" i="13"/>
  <c r="F5" i="13"/>
  <c r="C19" i="12" l="1"/>
  <c r="B19" i="12"/>
  <c r="B21" i="12"/>
  <c r="C21" i="12"/>
  <c r="C11" i="12"/>
  <c r="B11" i="12"/>
  <c r="C12" i="12"/>
  <c r="B12" i="12"/>
  <c r="J594" i="1" l="1"/>
  <c r="J595" i="1"/>
  <c r="J592" i="1"/>
  <c r="I592" i="1"/>
  <c r="H592" i="1"/>
  <c r="J593" i="1"/>
  <c r="G528" i="1"/>
  <c r="G527" i="1"/>
  <c r="G526" i="1"/>
  <c r="J528" i="1"/>
  <c r="J527" i="1"/>
  <c r="J526" i="1"/>
  <c r="I528" i="1"/>
  <c r="I527" i="1"/>
  <c r="I526" i="1"/>
  <c r="H528" i="1"/>
  <c r="H527" i="1"/>
  <c r="H526" i="1"/>
  <c r="F528" i="1"/>
  <c r="F527" i="1"/>
  <c r="F526" i="1"/>
  <c r="K523" i="1" l="1"/>
  <c r="J523" i="1"/>
  <c r="I523" i="1"/>
  <c r="H523" i="1"/>
  <c r="G523" i="1"/>
  <c r="F523" i="1"/>
  <c r="K522" i="1"/>
  <c r="J522" i="1"/>
  <c r="I522" i="1"/>
  <c r="H522" i="1"/>
  <c r="G522" i="1"/>
  <c r="F522" i="1"/>
  <c r="K521" i="1"/>
  <c r="J521" i="1"/>
  <c r="I521" i="1"/>
  <c r="H521" i="1"/>
  <c r="G521" i="1"/>
  <c r="F521" i="1"/>
  <c r="H562" i="1"/>
  <c r="F562" i="1"/>
  <c r="I562" i="1"/>
  <c r="G562" i="1"/>
  <c r="K562" i="1"/>
  <c r="F567" i="1"/>
  <c r="F29" i="1" l="1"/>
  <c r="K240" i="1"/>
  <c r="K222" i="1"/>
  <c r="K204" i="1"/>
  <c r="F36" i="1"/>
  <c r="F30" i="1" l="1"/>
  <c r="F25" i="1"/>
  <c r="F22" i="1"/>
  <c r="F14" i="1"/>
  <c r="F12" i="1"/>
  <c r="G244" i="1"/>
  <c r="G226" i="1"/>
  <c r="G208" i="1"/>
  <c r="J244" i="1"/>
  <c r="J226" i="1"/>
  <c r="J208" i="1"/>
  <c r="I244" i="1"/>
  <c r="I226" i="1"/>
  <c r="I208" i="1"/>
  <c r="H244" i="1"/>
  <c r="H226" i="1"/>
  <c r="H208" i="1"/>
  <c r="F244" i="1"/>
  <c r="F226" i="1"/>
  <c r="F208" i="1"/>
  <c r="K244" i="1"/>
  <c r="K226" i="1"/>
  <c r="K208" i="1"/>
  <c r="H243" i="1"/>
  <c r="H225" i="1"/>
  <c r="H207" i="1"/>
  <c r="G243" i="1"/>
  <c r="G225" i="1"/>
  <c r="G207" i="1"/>
  <c r="J243" i="1"/>
  <c r="I243" i="1"/>
  <c r="I225" i="1"/>
  <c r="I207" i="1"/>
  <c r="F243" i="1"/>
  <c r="F225" i="1"/>
  <c r="F207" i="1"/>
  <c r="G241" i="1"/>
  <c r="G223" i="1"/>
  <c r="G205" i="1"/>
  <c r="K241" i="1"/>
  <c r="K223" i="1"/>
  <c r="K205" i="1"/>
  <c r="J205" i="1"/>
  <c r="J241" i="1"/>
  <c r="I241" i="1"/>
  <c r="I223" i="1"/>
  <c r="I205" i="1"/>
  <c r="H241" i="1"/>
  <c r="H223" i="1"/>
  <c r="H205" i="1"/>
  <c r="F241" i="1"/>
  <c r="F223" i="1"/>
  <c r="F205" i="1"/>
  <c r="H240" i="1"/>
  <c r="H222" i="1"/>
  <c r="H204" i="1"/>
  <c r="I204" i="1"/>
  <c r="I222" i="1"/>
  <c r="G240" i="1"/>
  <c r="G222" i="1"/>
  <c r="G204" i="1"/>
  <c r="F240" i="1"/>
  <c r="F222" i="1"/>
  <c r="F204" i="1"/>
  <c r="I240" i="1"/>
  <c r="G239" i="1" l="1"/>
  <c r="G221" i="1"/>
  <c r="G203" i="1"/>
  <c r="J239" i="1"/>
  <c r="J221" i="1"/>
  <c r="J203" i="1"/>
  <c r="H239" i="1"/>
  <c r="H221" i="1"/>
  <c r="H203" i="1"/>
  <c r="F239" i="1"/>
  <c r="F221" i="1"/>
  <c r="F203" i="1"/>
  <c r="I203" i="1"/>
  <c r="K239" i="1"/>
  <c r="I239" i="1"/>
  <c r="I221" i="1"/>
  <c r="G238" i="1"/>
  <c r="G220" i="1"/>
  <c r="G202" i="1"/>
  <c r="J238" i="1"/>
  <c r="J220" i="1"/>
  <c r="J202" i="1"/>
  <c r="I238" i="1"/>
  <c r="I220" i="1"/>
  <c r="I202" i="1"/>
  <c r="H238" i="1"/>
  <c r="H220" i="1"/>
  <c r="H202" i="1"/>
  <c r="F238" i="1"/>
  <c r="F220" i="1"/>
  <c r="F202" i="1"/>
  <c r="K238" i="1" l="1"/>
  <c r="K220" i="1"/>
  <c r="K202" i="1"/>
  <c r="G236" i="1"/>
  <c r="F236" i="1"/>
  <c r="G218" i="1"/>
  <c r="F218" i="1"/>
  <c r="K236" i="1"/>
  <c r="K218" i="1"/>
  <c r="J236" i="1"/>
  <c r="J218" i="1"/>
  <c r="I236" i="1"/>
  <c r="I218" i="1"/>
  <c r="H218" i="1"/>
  <c r="G200" i="1"/>
  <c r="F200" i="1"/>
  <c r="G216" i="1"/>
  <c r="G198" i="1"/>
  <c r="J198" i="1"/>
  <c r="I216" i="1"/>
  <c r="I198" i="1"/>
  <c r="F216" i="1"/>
  <c r="F198" i="1"/>
  <c r="H198" i="1"/>
  <c r="G234" i="1" l="1"/>
  <c r="K234" i="1"/>
  <c r="K216" i="1"/>
  <c r="K198" i="1"/>
  <c r="J234" i="1"/>
  <c r="J216" i="1"/>
  <c r="I234" i="1"/>
  <c r="H234" i="1"/>
  <c r="H216" i="1"/>
  <c r="F234" i="1"/>
  <c r="H197" i="1"/>
  <c r="G233" i="1"/>
  <c r="G215" i="1"/>
  <c r="G197" i="1"/>
  <c r="I233" i="1"/>
  <c r="I215" i="1"/>
  <c r="I197" i="1"/>
  <c r="H233" i="1"/>
  <c r="H215" i="1"/>
  <c r="K233" i="1"/>
  <c r="K215" i="1"/>
  <c r="J233" i="1"/>
  <c r="J215" i="1"/>
  <c r="J197" i="1"/>
  <c r="F233" i="1"/>
  <c r="F215" i="1"/>
  <c r="F197" i="1"/>
  <c r="F468" i="1" l="1"/>
  <c r="F63" i="1"/>
  <c r="F110" i="1" l="1"/>
  <c r="F101" i="1"/>
  <c r="F69" i="1"/>
  <c r="F68" i="1"/>
  <c r="F277" i="1" l="1"/>
  <c r="K315" i="1"/>
  <c r="K296" i="1"/>
  <c r="K277" i="1"/>
  <c r="H319" i="1"/>
  <c r="H300" i="1"/>
  <c r="H281" i="1"/>
  <c r="J315" i="1"/>
  <c r="J296" i="1"/>
  <c r="J277" i="1"/>
  <c r="I315" i="1"/>
  <c r="I296" i="1"/>
  <c r="I277" i="1"/>
  <c r="H315" i="1"/>
  <c r="H296" i="1"/>
  <c r="H277" i="1"/>
  <c r="G315" i="1"/>
  <c r="G296" i="1"/>
  <c r="G277" i="1"/>
  <c r="F296" i="1"/>
  <c r="F315" i="1"/>
  <c r="F298" i="1"/>
  <c r="K320" i="1"/>
  <c r="K301" i="1"/>
  <c r="K282" i="1"/>
  <c r="H320" i="1"/>
  <c r="H301" i="1"/>
  <c r="H282" i="1"/>
  <c r="H317" i="1"/>
  <c r="H298" i="1"/>
  <c r="H279" i="1"/>
  <c r="J314" i="1"/>
  <c r="J295" i="1"/>
  <c r="J276" i="1"/>
  <c r="K295" i="1"/>
  <c r="G295" i="1"/>
  <c r="F295" i="1"/>
  <c r="K298" i="1"/>
  <c r="J298" i="1"/>
  <c r="I298" i="1"/>
  <c r="H468" i="1"/>
  <c r="H155" i="1"/>
  <c r="H159" i="1"/>
  <c r="H367" i="1"/>
  <c r="G367" i="1"/>
  <c r="F367"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B2" i="14" l="1"/>
  <c r="A2" i="14"/>
  <c r="F33" i="13" l="1"/>
  <c r="C45" i="2" l="1"/>
  <c r="G51" i="1"/>
  <c r="F51" i="1"/>
  <c r="C37" i="10" l="1"/>
  <c r="F40" i="2" l="1"/>
  <c r="D39" i="2"/>
  <c r="D50" i="2" s="1"/>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H13" i="13"/>
  <c r="L206" i="1"/>
  <c r="L224" i="1"/>
  <c r="H16" i="13"/>
  <c r="L209" i="1"/>
  <c r="L227" i="1"/>
  <c r="G5" i="13"/>
  <c r="H5" i="13"/>
  <c r="L197" i="1"/>
  <c r="L198" i="1"/>
  <c r="L199" i="1"/>
  <c r="L200" i="1"/>
  <c r="L215" i="1"/>
  <c r="L216" i="1"/>
  <c r="L217" i="1"/>
  <c r="L218" i="1"/>
  <c r="L233" i="1"/>
  <c r="L234" i="1"/>
  <c r="L235" i="1"/>
  <c r="L236" i="1"/>
  <c r="G6" i="13"/>
  <c r="H6" i="13"/>
  <c r="L202" i="1"/>
  <c r="L220" i="1"/>
  <c r="L238" i="1"/>
  <c r="G7" i="13"/>
  <c r="H7" i="13"/>
  <c r="L203" i="1"/>
  <c r="L221" i="1"/>
  <c r="L239" i="1"/>
  <c r="G12" i="13"/>
  <c r="L205" i="1"/>
  <c r="L223" i="1"/>
  <c r="L207" i="1"/>
  <c r="L225" i="1"/>
  <c r="G15" i="13"/>
  <c r="H15" i="13"/>
  <c r="L208" i="1"/>
  <c r="L226" i="1"/>
  <c r="G662" i="1" s="1"/>
  <c r="G17" i="13"/>
  <c r="H17" i="13"/>
  <c r="G18" i="13"/>
  <c r="H18" i="13"/>
  <c r="L252" i="1"/>
  <c r="D18" i="13" s="1"/>
  <c r="C18" i="13" s="1"/>
  <c r="G19" i="13"/>
  <c r="H19" i="13"/>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4" i="1"/>
  <c r="L325" i="1"/>
  <c r="L326" i="1"/>
  <c r="L333" i="1"/>
  <c r="E114" i="2" s="1"/>
  <c r="L334" i="1"/>
  <c r="L335" i="1"/>
  <c r="L260" i="1"/>
  <c r="L261" i="1"/>
  <c r="C132" i="2" s="1"/>
  <c r="L341" i="1"/>
  <c r="C32" i="10" s="1"/>
  <c r="L342" i="1"/>
  <c r="E132" i="2" s="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L612" i="1"/>
  <c r="G663" i="1" s="1"/>
  <c r="L611" i="1"/>
  <c r="C40" i="10"/>
  <c r="F60" i="1"/>
  <c r="G60" i="1"/>
  <c r="H60" i="1"/>
  <c r="E56" i="2" s="1"/>
  <c r="I60" i="1"/>
  <c r="F79" i="1"/>
  <c r="C57" i="2" s="1"/>
  <c r="F94" i="1"/>
  <c r="C58" i="2" s="1"/>
  <c r="F111" i="1"/>
  <c r="G111" i="1"/>
  <c r="H79" i="1"/>
  <c r="E57" i="2" s="1"/>
  <c r="H94" i="1"/>
  <c r="H111" i="1"/>
  <c r="I111" i="1"/>
  <c r="I112" i="1" s="1"/>
  <c r="J111" i="1"/>
  <c r="F121" i="1"/>
  <c r="F136" i="1"/>
  <c r="G121" i="1"/>
  <c r="G136" i="1"/>
  <c r="H121" i="1"/>
  <c r="H136" i="1"/>
  <c r="I121" i="1"/>
  <c r="I136" i="1"/>
  <c r="J121" i="1"/>
  <c r="J140" i="1" s="1"/>
  <c r="J136" i="1"/>
  <c r="F147" i="1"/>
  <c r="F162" i="1"/>
  <c r="G147" i="1"/>
  <c r="G162" i="1"/>
  <c r="H147" i="1"/>
  <c r="E85" i="2" s="1"/>
  <c r="H162" i="1"/>
  <c r="H169" i="1" s="1"/>
  <c r="I147" i="1"/>
  <c r="I162" i="1"/>
  <c r="L250" i="1"/>
  <c r="C113" i="2" s="1"/>
  <c r="L332" i="1"/>
  <c r="L254" i="1"/>
  <c r="L268" i="1"/>
  <c r="L269" i="1"/>
  <c r="L349" i="1"/>
  <c r="L350" i="1"/>
  <c r="I665" i="1"/>
  <c r="I670" i="1"/>
  <c r="I669" i="1"/>
  <c r="C42" i="10"/>
  <c r="L374" i="1"/>
  <c r="L375" i="1"/>
  <c r="L376" i="1"/>
  <c r="L377" i="1"/>
  <c r="F130" i="2" s="1"/>
  <c r="L378" i="1"/>
  <c r="L379" i="1"/>
  <c r="L380" i="1"/>
  <c r="B2" i="10"/>
  <c r="L344" i="1"/>
  <c r="L345"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3" i="2"/>
  <c r="D115" i="2"/>
  <c r="F115" i="2"/>
  <c r="G115" i="2"/>
  <c r="C119" i="2"/>
  <c r="E120" i="2"/>
  <c r="E121" i="2"/>
  <c r="E123" i="2"/>
  <c r="E124" i="2"/>
  <c r="E125" i="2"/>
  <c r="F128" i="2"/>
  <c r="G128" i="2"/>
  <c r="C130" i="2"/>
  <c r="D134" i="2"/>
  <c r="D144" i="2" s="1"/>
  <c r="E134" i="2"/>
  <c r="F134" i="2"/>
  <c r="K419" i="1"/>
  <c r="K427" i="1"/>
  <c r="K433" i="1"/>
  <c r="L263" i="1"/>
  <c r="C135" i="2" s="1"/>
  <c r="E135" i="2"/>
  <c r="L264" i="1"/>
  <c r="C136" i="2" s="1"/>
  <c r="L265" i="1"/>
  <c r="C137" i="2" s="1"/>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G625" i="1" s="1"/>
  <c r="F177" i="1"/>
  <c r="I177" i="1"/>
  <c r="F183" i="1"/>
  <c r="G183" i="1"/>
  <c r="H183" i="1"/>
  <c r="I183" i="1"/>
  <c r="J183" i="1"/>
  <c r="J192" i="1" s="1"/>
  <c r="F188" i="1"/>
  <c r="G188" i="1"/>
  <c r="H188" i="1"/>
  <c r="I188" i="1"/>
  <c r="F211" i="1"/>
  <c r="G211" i="1"/>
  <c r="H211" i="1"/>
  <c r="I211" i="1"/>
  <c r="J211" i="1"/>
  <c r="H604" i="1" s="1"/>
  <c r="K211" i="1"/>
  <c r="F229" i="1"/>
  <c r="G229" i="1"/>
  <c r="H229" i="1"/>
  <c r="I229" i="1"/>
  <c r="J229" i="1"/>
  <c r="I604" i="1" s="1"/>
  <c r="I605" i="1" s="1"/>
  <c r="K229" i="1"/>
  <c r="F247" i="1"/>
  <c r="G247" i="1"/>
  <c r="F256" i="1"/>
  <c r="G256" i="1"/>
  <c r="I256" i="1"/>
  <c r="J256" i="1"/>
  <c r="K256" i="1"/>
  <c r="F290" i="1"/>
  <c r="G290" i="1"/>
  <c r="H290" i="1"/>
  <c r="I290" i="1"/>
  <c r="F309" i="1"/>
  <c r="G309" i="1"/>
  <c r="H309" i="1"/>
  <c r="I309" i="1"/>
  <c r="F328" i="1"/>
  <c r="G328" i="1"/>
  <c r="H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G460" i="1"/>
  <c r="G461" i="1" s="1"/>
  <c r="H640" i="1" s="1"/>
  <c r="H460" i="1"/>
  <c r="F461" i="1"/>
  <c r="H639" i="1" s="1"/>
  <c r="F470" i="1"/>
  <c r="H470" i="1"/>
  <c r="I470" i="1"/>
  <c r="I474" i="1"/>
  <c r="K495" i="1"/>
  <c r="K496" i="1"/>
  <c r="K497" i="1"/>
  <c r="K498" i="1"/>
  <c r="K499" i="1"/>
  <c r="K501" i="1"/>
  <c r="K502" i="1"/>
  <c r="F517" i="1"/>
  <c r="G517" i="1"/>
  <c r="H517" i="1"/>
  <c r="I517" i="1"/>
  <c r="F524" i="1"/>
  <c r="G524" i="1"/>
  <c r="G545" i="1" s="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H571" i="1" s="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H605" i="1"/>
  <c r="F614" i="1"/>
  <c r="G614" i="1"/>
  <c r="H614" i="1"/>
  <c r="I614" i="1"/>
  <c r="J614" i="1"/>
  <c r="K614" i="1"/>
  <c r="L614" i="1"/>
  <c r="G622" i="1"/>
  <c r="G623" i="1"/>
  <c r="H627" i="1"/>
  <c r="H629" i="1"/>
  <c r="H630" i="1"/>
  <c r="H636" i="1"/>
  <c r="G641" i="1"/>
  <c r="G643" i="1"/>
  <c r="H643" i="1"/>
  <c r="G644" i="1"/>
  <c r="G652" i="1"/>
  <c r="H652" i="1"/>
  <c r="G653" i="1"/>
  <c r="H653" i="1"/>
  <c r="G654" i="1"/>
  <c r="C91" i="2"/>
  <c r="F18" i="2"/>
  <c r="E103" i="2"/>
  <c r="D91" i="2"/>
  <c r="E78" i="2"/>
  <c r="L419" i="1"/>
  <c r="I169" i="1"/>
  <c r="G22" i="2"/>
  <c r="H140" i="1"/>
  <c r="L401" i="1"/>
  <c r="C139" i="2" s="1"/>
  <c r="G22" i="13"/>
  <c r="C22" i="13" s="1"/>
  <c r="H192" i="1"/>
  <c r="L433" i="1" l="1"/>
  <c r="I408" i="1"/>
  <c r="J643" i="1"/>
  <c r="G81" i="2"/>
  <c r="C35" i="10"/>
  <c r="J644" i="1"/>
  <c r="L427" i="1"/>
  <c r="L434" i="1" s="1"/>
  <c r="I476" i="1"/>
  <c r="H625" i="1" s="1"/>
  <c r="L393" i="1"/>
  <c r="C138" i="2" s="1"/>
  <c r="H461" i="1"/>
  <c r="H641" i="1" s="1"/>
  <c r="J640" i="1"/>
  <c r="J641" i="1"/>
  <c r="C18" i="2"/>
  <c r="D31" i="2"/>
  <c r="F663" i="1"/>
  <c r="A40" i="12"/>
  <c r="G645" i="1"/>
  <c r="J645" i="1" s="1"/>
  <c r="C26" i="10"/>
  <c r="K598" i="1"/>
  <c r="G647" i="1" s="1"/>
  <c r="G552" i="1"/>
  <c r="L529" i="1"/>
  <c r="H552" i="1"/>
  <c r="I545" i="1"/>
  <c r="J552" i="1"/>
  <c r="K545" i="1"/>
  <c r="I552" i="1"/>
  <c r="J545" i="1"/>
  <c r="I571" i="1"/>
  <c r="J571" i="1"/>
  <c r="K571" i="1"/>
  <c r="L565" i="1"/>
  <c r="L571" i="1" s="1"/>
  <c r="L560" i="1"/>
  <c r="F571" i="1"/>
  <c r="H545" i="1"/>
  <c r="K549" i="1"/>
  <c r="F552" i="1"/>
  <c r="G164" i="2"/>
  <c r="G156" i="2"/>
  <c r="G650" i="1"/>
  <c r="C120" i="2"/>
  <c r="D6" i="13"/>
  <c r="C6" i="13" s="1"/>
  <c r="C112" i="2"/>
  <c r="C12" i="10"/>
  <c r="C110" i="2"/>
  <c r="H12" i="13"/>
  <c r="L211" i="1"/>
  <c r="D5" i="14" s="1"/>
  <c r="F5" i="14" s="1"/>
  <c r="F4" i="14" s="1"/>
  <c r="F257" i="1"/>
  <c r="F271" i="1" s="1"/>
  <c r="F169" i="1"/>
  <c r="F192" i="1"/>
  <c r="J112" i="1"/>
  <c r="C78" i="2"/>
  <c r="F112" i="1"/>
  <c r="C70" i="2"/>
  <c r="E31" i="2"/>
  <c r="H52" i="1"/>
  <c r="H619" i="1" s="1"/>
  <c r="E131" i="2"/>
  <c r="E111" i="2"/>
  <c r="A31" i="12"/>
  <c r="K338" i="1"/>
  <c r="C13" i="10"/>
  <c r="E112" i="2"/>
  <c r="E118" i="2"/>
  <c r="L309" i="1"/>
  <c r="C11" i="10"/>
  <c r="E110" i="2"/>
  <c r="G338" i="1"/>
  <c r="G352" i="1" s="1"/>
  <c r="F338" i="1"/>
  <c r="F352" i="1" s="1"/>
  <c r="E119" i="2"/>
  <c r="L290" i="1"/>
  <c r="E62" i="2"/>
  <c r="E63" i="2" s="1"/>
  <c r="H112" i="1"/>
  <c r="H193" i="1" s="1"/>
  <c r="G629" i="1" s="1"/>
  <c r="J629" i="1" s="1"/>
  <c r="J625" i="1"/>
  <c r="I52" i="1"/>
  <c r="H620" i="1" s="1"/>
  <c r="J620" i="1" s="1"/>
  <c r="G192" i="1"/>
  <c r="D81" i="2"/>
  <c r="D18" i="2"/>
  <c r="J634" i="1"/>
  <c r="F661" i="1"/>
  <c r="L362" i="1"/>
  <c r="G661" i="1"/>
  <c r="D62" i="2"/>
  <c r="D63" i="2" s="1"/>
  <c r="J639" i="1"/>
  <c r="J617" i="1"/>
  <c r="C62" i="2"/>
  <c r="K551" i="1"/>
  <c r="I25" i="13"/>
  <c r="K550" i="1"/>
  <c r="G624" i="1"/>
  <c r="L534" i="1"/>
  <c r="K500" i="1"/>
  <c r="I460" i="1"/>
  <c r="I452" i="1"/>
  <c r="I446" i="1"/>
  <c r="G642" i="1" s="1"/>
  <c r="H338" i="1"/>
  <c r="H352" i="1" s="1"/>
  <c r="E109" i="2"/>
  <c r="C56" i="2"/>
  <c r="F662" i="1"/>
  <c r="C25" i="10"/>
  <c r="G112" i="1"/>
  <c r="L382" i="1"/>
  <c r="G636" i="1" s="1"/>
  <c r="J636" i="1" s="1"/>
  <c r="C111" i="2"/>
  <c r="H661" i="1"/>
  <c r="C15" i="10"/>
  <c r="A13" i="12"/>
  <c r="D29" i="13"/>
  <c r="C29" i="13" s="1"/>
  <c r="D5" i="13"/>
  <c r="C5" i="13" s="1"/>
  <c r="E8" i="13"/>
  <c r="C8" i="13" s="1"/>
  <c r="L539" i="1"/>
  <c r="K503" i="1"/>
  <c r="G257" i="1"/>
  <c r="G271" i="1" s="1"/>
  <c r="C142" i="2"/>
  <c r="C29" i="10"/>
  <c r="E81" i="2"/>
  <c r="G649" i="1"/>
  <c r="J649" i="1" s="1"/>
  <c r="L544" i="1"/>
  <c r="L524" i="1"/>
  <c r="J338" i="1"/>
  <c r="J352" i="1" s="1"/>
  <c r="D127" i="2"/>
  <c r="D128" i="2" s="1"/>
  <c r="D145" i="2" s="1"/>
  <c r="C118" i="2"/>
  <c r="C16" i="10"/>
  <c r="D7" i="13"/>
  <c r="C7" i="13" s="1"/>
  <c r="C10" i="10"/>
  <c r="C109" i="2"/>
  <c r="L229" i="1"/>
  <c r="L337" i="1"/>
  <c r="F62" i="2"/>
  <c r="F63" i="2" s="1"/>
  <c r="C23" i="10"/>
  <c r="G163" i="2"/>
  <c r="G162" i="2"/>
  <c r="G160" i="2"/>
  <c r="G159" i="2"/>
  <c r="G158" i="2"/>
  <c r="G103" i="2"/>
  <c r="F103" i="2"/>
  <c r="C103" i="2"/>
  <c r="F91" i="2"/>
  <c r="E50" i="2"/>
  <c r="E51" i="2" s="1"/>
  <c r="C50" i="2"/>
  <c r="F31" i="2"/>
  <c r="C31" i="2"/>
  <c r="E18" i="2"/>
  <c r="F50" i="2"/>
  <c r="H31" i="13"/>
  <c r="J650" i="1"/>
  <c r="L407" i="1"/>
  <c r="C140" i="2" s="1"/>
  <c r="I192" i="1"/>
  <c r="E91" i="2"/>
  <c r="D51" i="2"/>
  <c r="J653" i="1"/>
  <c r="F144" i="2"/>
  <c r="F145" i="2" s="1"/>
  <c r="G21" i="2"/>
  <c r="G31" i="2" s="1"/>
  <c r="J32" i="1"/>
  <c r="J434" i="1"/>
  <c r="F434" i="1"/>
  <c r="K434" i="1"/>
  <c r="G134" i="2" s="1"/>
  <c r="G144" i="2" s="1"/>
  <c r="G145" i="2" s="1"/>
  <c r="G31" i="13"/>
  <c r="J193" i="1"/>
  <c r="G646" i="1" s="1"/>
  <c r="G169" i="1"/>
  <c r="C39" i="10" s="1"/>
  <c r="G140" i="1"/>
  <c r="F140" i="1"/>
  <c r="G63" i="2"/>
  <c r="J618" i="1"/>
  <c r="G42" i="2"/>
  <c r="G50" i="2" s="1"/>
  <c r="G51" i="2" s="1"/>
  <c r="J51" i="1"/>
  <c r="G16" i="2"/>
  <c r="G18" i="2" s="1"/>
  <c r="J19" i="1"/>
  <c r="G621" i="1" s="1"/>
  <c r="F545" i="1"/>
  <c r="H434" i="1"/>
  <c r="J619" i="1"/>
  <c r="D103" i="2"/>
  <c r="I140" i="1"/>
  <c r="A22" i="12"/>
  <c r="J652" i="1"/>
  <c r="G571" i="1"/>
  <c r="I434" i="1"/>
  <c r="G434" i="1"/>
  <c r="G638" i="1" l="1"/>
  <c r="J472" i="1"/>
  <c r="L408" i="1"/>
  <c r="H646" i="1" s="1"/>
  <c r="J646" i="1" s="1"/>
  <c r="I461" i="1"/>
  <c r="H642" i="1" s="1"/>
  <c r="J642" i="1" s="1"/>
  <c r="I193" i="1"/>
  <c r="G630" i="1" s="1"/>
  <c r="J630" i="1" s="1"/>
  <c r="C27" i="10"/>
  <c r="G472" i="1"/>
  <c r="G104" i="2"/>
  <c r="L545" i="1"/>
  <c r="K552" i="1"/>
  <c r="G14" i="13"/>
  <c r="G13" i="13"/>
  <c r="L242" i="1"/>
  <c r="K247" i="1"/>
  <c r="K257" i="1" s="1"/>
  <c r="K271" i="1" s="1"/>
  <c r="L241" i="1"/>
  <c r="G660" i="1"/>
  <c r="G664" i="1" s="1"/>
  <c r="G667" i="1" s="1"/>
  <c r="C81" i="2"/>
  <c r="F193" i="1"/>
  <c r="G627" i="1" s="1"/>
  <c r="J627" i="1" s="1"/>
  <c r="F660" i="1"/>
  <c r="F664" i="1" s="1"/>
  <c r="F667" i="1" s="1"/>
  <c r="G24" i="14"/>
  <c r="H24" i="14" s="1"/>
  <c r="I24" i="14" s="1"/>
  <c r="E115" i="2"/>
  <c r="G4" i="14"/>
  <c r="H4" i="14" s="1"/>
  <c r="I4" i="14" s="1"/>
  <c r="L323" i="1"/>
  <c r="I328" i="1"/>
  <c r="I338" i="1" s="1"/>
  <c r="I352" i="1" s="1"/>
  <c r="E104" i="2"/>
  <c r="C36" i="10"/>
  <c r="F104" i="2"/>
  <c r="F51" i="2"/>
  <c r="D104" i="2"/>
  <c r="G635" i="1"/>
  <c r="I661" i="1"/>
  <c r="C63" i="2"/>
  <c r="C104" i="2" s="1"/>
  <c r="C25" i="13"/>
  <c r="I33" i="13"/>
  <c r="C51" i="2"/>
  <c r="G631" i="1"/>
  <c r="G193" i="1"/>
  <c r="G626" i="1"/>
  <c r="J52" i="1"/>
  <c r="H621" i="1" s="1"/>
  <c r="J621" i="1" s="1"/>
  <c r="C38" i="10"/>
  <c r="J474" i="1" l="1"/>
  <c r="H638" i="1"/>
  <c r="J638" i="1"/>
  <c r="G637" i="1"/>
  <c r="J468" i="1"/>
  <c r="H635" i="1"/>
  <c r="J635" i="1" s="1"/>
  <c r="G474" i="1"/>
  <c r="E13" i="13"/>
  <c r="C122" i="2"/>
  <c r="L244" i="1"/>
  <c r="I247" i="1"/>
  <c r="I257" i="1" s="1"/>
  <c r="I271" i="1" s="1"/>
  <c r="C121" i="2"/>
  <c r="D12" i="13"/>
  <c r="C12" i="13" s="1"/>
  <c r="C18" i="10"/>
  <c r="L243" i="1"/>
  <c r="H14" i="13"/>
  <c r="H33" i="13" s="1"/>
  <c r="F672" i="1"/>
  <c r="C4" i="10" s="1"/>
  <c r="L328" i="1"/>
  <c r="C19" i="10"/>
  <c r="E122" i="2"/>
  <c r="E128" i="2" s="1"/>
  <c r="G628" i="1"/>
  <c r="G468" i="1"/>
  <c r="G672" i="1"/>
  <c r="C5" i="10" s="1"/>
  <c r="C41" i="10"/>
  <c r="D38" i="10" s="1"/>
  <c r="H631" i="1" l="1"/>
  <c r="J631" i="1" s="1"/>
  <c r="H637" i="1"/>
  <c r="J470" i="1"/>
  <c r="J476" i="1" s="1"/>
  <c r="H626" i="1" s="1"/>
  <c r="J626" i="1" s="1"/>
  <c r="J637" i="1"/>
  <c r="L253" i="1"/>
  <c r="D19" i="13" s="1"/>
  <c r="C19" i="13" s="1"/>
  <c r="L251" i="1"/>
  <c r="L245" i="1"/>
  <c r="L247" i="1" s="1"/>
  <c r="D37" i="14" s="1"/>
  <c r="F37" i="14" s="1"/>
  <c r="F36" i="14" s="1"/>
  <c r="H247" i="1"/>
  <c r="H662" i="1"/>
  <c r="I662" i="1" s="1"/>
  <c r="H647" i="1"/>
  <c r="J647" i="1" s="1"/>
  <c r="G651" i="1"/>
  <c r="J651" i="1" s="1"/>
  <c r="C124" i="2"/>
  <c r="C21" i="10"/>
  <c r="D15" i="13"/>
  <c r="C15" i="13" s="1"/>
  <c r="C13" i="13"/>
  <c r="C123" i="2"/>
  <c r="D14" i="13"/>
  <c r="C14" i="13" s="1"/>
  <c r="C20" i="10"/>
  <c r="L347" i="1"/>
  <c r="H655" i="1"/>
  <c r="J655" i="1" s="1"/>
  <c r="C141" i="2"/>
  <c r="C144" i="2" s="1"/>
  <c r="L338" i="1"/>
  <c r="D31" i="13"/>
  <c r="G470" i="1"/>
  <c r="G476" i="1" s="1"/>
  <c r="H623" i="1" s="1"/>
  <c r="H628" i="1"/>
  <c r="J628" i="1" s="1"/>
  <c r="D37" i="10"/>
  <c r="D36" i="10"/>
  <c r="D35" i="10"/>
  <c r="D40" i="10"/>
  <c r="D39" i="10"/>
  <c r="H256" i="1" l="1"/>
  <c r="L256" i="1" s="1"/>
  <c r="L257" i="1" s="1"/>
  <c r="L271" i="1" s="1"/>
  <c r="C24" i="10"/>
  <c r="D17" i="13"/>
  <c r="C17" i="13" s="1"/>
  <c r="C114" i="2"/>
  <c r="C115" i="2" s="1"/>
  <c r="C125" i="2"/>
  <c r="C17" i="10"/>
  <c r="G16" i="13"/>
  <c r="G33" i="13" s="1"/>
  <c r="J247" i="1"/>
  <c r="C128" i="2"/>
  <c r="H660" i="1"/>
  <c r="G36" i="14"/>
  <c r="H36" i="14" s="1"/>
  <c r="I36" i="14" s="1"/>
  <c r="C31" i="13"/>
  <c r="J623" i="1"/>
  <c r="D41" i="10"/>
  <c r="J257" i="1" l="1"/>
  <c r="J604" i="1"/>
  <c r="H257" i="1"/>
  <c r="H271" i="1" s="1"/>
  <c r="D33" i="13"/>
  <c r="D36" i="13" s="1"/>
  <c r="G632" i="1"/>
  <c r="F472" i="1"/>
  <c r="F474" i="1" s="1"/>
  <c r="F476" i="1" s="1"/>
  <c r="H622" i="1" s="1"/>
  <c r="J622" i="1" s="1"/>
  <c r="C28" i="10"/>
  <c r="D26" i="10" s="1"/>
  <c r="C145" i="2"/>
  <c r="E16" i="13"/>
  <c r="J271" i="1"/>
  <c r="H648" i="1"/>
  <c r="I660" i="1"/>
  <c r="H654" i="1"/>
  <c r="J654" i="1" s="1"/>
  <c r="L346" i="1"/>
  <c r="K351" i="1"/>
  <c r="K352" i="1" s="1"/>
  <c r="J605" i="1" l="1"/>
  <c r="K604" i="1"/>
  <c r="K605" i="1" s="1"/>
  <c r="G648" i="1" s="1"/>
  <c r="J648" i="1" s="1"/>
  <c r="H663" i="1"/>
  <c r="D12" i="10"/>
  <c r="D27" i="10"/>
  <c r="D22" i="10"/>
  <c r="D20" i="10"/>
  <c r="D25" i="10"/>
  <c r="D23" i="10"/>
  <c r="D16" i="10"/>
  <c r="H632" i="1"/>
  <c r="J632" i="1" s="1"/>
  <c r="D15" i="10"/>
  <c r="D17" i="10"/>
  <c r="D10" i="10"/>
  <c r="D11" i="10"/>
  <c r="D13" i="10"/>
  <c r="D18" i="10"/>
  <c r="C30" i="10"/>
  <c r="D21" i="10"/>
  <c r="D19" i="10"/>
  <c r="D24" i="10"/>
  <c r="C16" i="13"/>
  <c r="E33" i="13"/>
  <c r="D35" i="13" s="1"/>
  <c r="E137" i="2"/>
  <c r="E144" i="2" s="1"/>
  <c r="E145" i="2" s="1"/>
  <c r="L351" i="1"/>
  <c r="L352" i="1" s="1"/>
  <c r="I663" i="1" l="1"/>
  <c r="I664" i="1" s="1"/>
  <c r="H664" i="1"/>
  <c r="D28" i="10"/>
  <c r="G633" i="1"/>
  <c r="H472" i="1"/>
  <c r="H667" i="1" l="1"/>
  <c r="H672" i="1"/>
  <c r="C6" i="10" s="1"/>
  <c r="I672" i="1"/>
  <c r="C7" i="10" s="1"/>
  <c r="I667" i="1"/>
  <c r="H474" i="1"/>
  <c r="H476" i="1" s="1"/>
  <c r="H624" i="1" s="1"/>
  <c r="H633" i="1"/>
  <c r="J633" i="1" s="1"/>
  <c r="J624" i="1" l="1"/>
  <c r="H65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<sst xmlns="http://schemas.openxmlformats.org/spreadsheetml/2006/main" count="5507" uniqueCount="1612">
  <si>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</si>
  <si>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</si>
  <si>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</si>
  <si>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</si>
  <si>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</si>
  <si>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</si>
  <si>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</si>
  <si>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</si>
  <si>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</si>
  <si>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</si>
  <si>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</si>
  <si>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</si>
  <si>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</si>
  <si>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</si>
  <si>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</si>
  <si>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</si>
  <si>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</si>
  <si>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</si>
  <si>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</si>
  <si>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</si>
  <si>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</si>
  <si>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</si>
  <si>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</si>
  <si>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</si>
  <si>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</si>
  <si>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</si>
  <si>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</si>
  <si>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</si>
  <si>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</si>
  <si>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</si>
  <si>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</si>
  <si>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</si>
  <si>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</si>
  <si>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</si>
  <si>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</si>
  <si>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</si>
  <si>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</si>
  <si>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</si>
  <si>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</si>
  <si>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</si>
  <si>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</si>
  <si>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</si>
  <si>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</si>
  <si>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</si>
  <si>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</si>
  <si>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</si>
  <si>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</si>
  <si>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</si>
  <si>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</si>
  <si>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</si>
  <si>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</si>
  <si>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</si>
  <si>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</si>
  <si>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</si>
  <si>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</si>
  <si>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</si>
  <si>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</si>
  <si>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</si>
  <si>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</si>
  <si>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</si>
  <si>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</si>
  <si>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</si>
  <si>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</si>
  <si>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</si>
  <si>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</si>
  <si>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</si>
  <si>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</si>
  <si>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</si>
  <si>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</si>
  <si>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</si>
  <si>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</si>
  <si>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</si>
  <si>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</si>
  <si>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</si>
  <si>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</si>
  <si>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</si>
  <si>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</si>
  <si>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</si>
  <si>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</si>
  <si>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</si>
  <si>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</si>
  <si>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</si>
  <si>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</si>
  <si>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</si>
  <si>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</si>
  <si>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</si>
  <si>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</si>
  <si>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</si>
  <si>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</si>
  <si>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</si>
  <si>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</si>
  <si>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</si>
  <si>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</si>
  <si>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</si>
  <si>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</si>
  <si>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</si>
  <si>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</si>
  <si>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</si>
  <si>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</si>
  <si>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</si>
  <si>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</si>
  <si>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</si>
  <si>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</si>
  <si>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</si>
  <si>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</si>
  <si>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</si>
  <si>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</si>
  <si>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</si>
  <si>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</si>
  <si>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</si>
  <si>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</si>
  <si>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</si>
  <si>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</si>
  <si>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</si>
  <si>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</si>
  <si>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</si>
  <si>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</si>
  <si>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</si>
  <si>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</si>
  <si>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</si>
  <si>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</si>
  <si>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</si>
  <si>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</si>
  <si>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</si>
  <si>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</si>
  <si>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</si>
  <si>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</si>
  <si>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</si>
  <si>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</si>
  <si>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</si>
  <si>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</si>
  <si>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</si>
  <si>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</si>
  <si>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</si>
  <si>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</si>
  <si>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</si>
  <si>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</si>
  <si>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</si>
  <si>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</si>
  <si>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</si>
  <si>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</si>
  <si>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</si>
  <si>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</si>
  <si>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</si>
  <si>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</si>
  <si>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</si>
  <si>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</si>
  <si>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</si>
  <si>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</si>
  <si>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</si>
  <si>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</si>
  <si>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</si>
  <si>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</si>
  <si>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</si>
  <si>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</si>
  <si>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</si>
  <si>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</si>
  <si>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</si>
  <si>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</si>
  <si>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</si>
  <si>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</si>
  <si>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</si>
  <si>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</si>
  <si>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</si>
  <si>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</si>
  <si>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</si>
  <si>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</si>
  <si>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</si>
  <si>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</si>
  <si>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</si>
  <si>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</si>
  <si>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</si>
  <si>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</si>
  <si>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</si>
  <si>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</si>
  <si>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</si>
  <si>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</si>
  <si>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</si>
  <si>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</si>
  <si>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</si>
  <si>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</si>
  <si>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</si>
  <si>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</si>
  <si>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</si>
  <si>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</si>
  <si>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</si>
  <si>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</si>
  <si>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</si>
  <si>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</si>
  <si>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</si>
  <si>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</si>
  <si>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</si>
  <si>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</si>
  <si>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</si>
  <si>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</si>
  <si>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</si>
  <si>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</si>
  <si>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</si>
  <si>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</si>
  <si>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</si>
  <si>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</si>
  <si>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</si>
  <si>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</si>
  <si>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</si>
  <si>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</si>
  <si>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</si>
  <si>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</si>
  <si>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</si>
  <si>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</si>
  <si>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</si>
  <si>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</si>
  <si>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</si>
  <si>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</si>
  <si>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</si>
  <si>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</si>
  <si>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</si>
  <si>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</si>
  <si>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</si>
  <si>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</si>
  <si>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</si>
  <si>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</si>
  <si>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</si>
  <si>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</si>
  <si>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</si>
  <si>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</si>
  <si>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</si>
  <si>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</si>
  <si>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</si>
  <si>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</si>
  <si>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</si>
  <si>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</si>
  <si>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</si>
  <si>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</si>
  <si>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</si>
  <si>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</si>
  <si>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</si>
  <si>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</si>
  <si>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</si>
  <si>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</si>
  <si>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</si>
  <si>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</si>
  <si>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</si>
  <si>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</si>
  <si>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</si>
  <si>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</si>
  <si>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</si>
  <si>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</si>
  <si>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</si>
  <si>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</si>
  <si>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</si>
  <si>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</si>
  <si>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</si>
  <si>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</si>
  <si>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</si>
  <si>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</si>
  <si>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</si>
  <si>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</si>
  <si>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</si>
  <si>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</si>
  <si>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</si>
  <si>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</si>
  <si>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</si>
  <si>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</si>
  <si>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</si>
  <si>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</si>
  <si>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</si>
  <si>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</si>
  <si>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</si>
  <si>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</si>
  <si>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</si>
  <si>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</si>
  <si>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</si>
  <si>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</si>
  <si>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</si>
  <si>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</si>
  <si>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</si>
  <si>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</si>
  <si>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</si>
  <si>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</si>
  <si>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</si>
  <si>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</si>
  <si>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</si>
  <si>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</si>
  <si>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</si>
  <si>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</si>
  <si>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</si>
  <si>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</si>
  <si>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</si>
  <si>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</si>
  <si>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</si>
  <si>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</si>
  <si>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</si>
  <si>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</si>
  <si>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</si>
  <si>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</si>
  <si>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</si>
  <si>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</si>
  <si>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</si>
  <si>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</si>
  <si>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</si>
  <si>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</si>
  <si>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</si>
  <si>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</si>
  <si>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</si>
  <si>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</si>
  <si>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</si>
  <si>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</si>
  <si>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</si>
  <si>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</si>
  <si>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</si>
  <si>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</si>
  <si>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</si>
  <si>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</si>
  <si>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</si>
  <si>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</si>
  <si>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</si>
  <si>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</si>
  <si>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</si>
  <si>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</si>
  <si>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</si>
  <si>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</si>
  <si>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</si>
  <si>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</si>
  <si>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</si>
  <si>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</si>
  <si>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</si>
  <si>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</si>
  <si>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</si>
  <si>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</si>
  <si>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</si>
  <si>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</si>
  <si>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</si>
  <si>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</si>
  <si>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</si>
  <si>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</si>
  <si>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</si>
  <si>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</si>
  <si>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</si>
  <si>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</si>
  <si>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</si>
  <si>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</si>
  <si>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</si>
  <si>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</si>
  <si>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</si>
  <si>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</si>
  <si>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</si>
  <si>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</si>
  <si>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</si>
  <si>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</si>
  <si>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</si>
  <si>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</si>
  <si>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</si>
  <si>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</si>
  <si>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</si>
  <si>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</si>
  <si>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</si>
  <si>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</si>
  <si>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</si>
  <si>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</si>
  <si>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</si>
  <si>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</si>
  <si>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</si>
  <si>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</si>
  <si>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</si>
  <si>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</si>
  <si>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</si>
  <si>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</si>
  <si>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</si>
  <si>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</si>
  <si>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</si>
  <si>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</si>
  <si>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</si>
  <si>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</si>
  <si>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</si>
  <si>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</si>
  <si>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</si>
  <si>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</si>
  <si>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</si>
  <si>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</si>
  <si>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</si>
  <si>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</si>
  <si>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</si>
  <si>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</si>
  <si>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</si>
  <si>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</si>
  <si>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</si>
  <si>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</si>
  <si>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</si>
  <si>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</si>
  <si>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</si>
  <si>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</si>
  <si>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</si>
  <si>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</si>
  <si>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</si>
  <si>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</si>
  <si>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</si>
  <si>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</si>
  <si>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</si>
  <si>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</si>
  <si>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</si>
  <si>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</si>
  <si>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</si>
  <si>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</si>
  <si>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</si>
  <si>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</si>
  <si>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</si>
  <si>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</si>
  <si>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</si>
  <si>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</si>
  <si>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</si>
  <si>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</si>
  <si>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</si>
  <si>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</si>
  <si>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</si>
  <si>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</si>
  <si>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</si>
  <si>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</si>
  <si>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</si>
  <si>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</si>
  <si>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</si>
  <si>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</si>
  <si>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</si>
  <si>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</si>
  <si>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</si>
  <si>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</si>
  <si>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</si>
  <si>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</si>
  <si>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</si>
  <si>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</si>
  <si>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</si>
  <si>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</si>
  <si>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</si>
  <si>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</si>
  <si>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</si>
  <si>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</si>
  <si>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</si>
  <si>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</si>
  <si>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</si>
  <si>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</si>
  <si>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</si>
  <si>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</si>
  <si>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</si>
  <si>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</si>
  <si>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</si>
  <si>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</si>
  <si>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</si>
  <si>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</si>
  <si>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</si>
  <si>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</si>
  <si>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</si>
  <si>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</si>
  <si>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</si>
  <si>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</si>
  <si>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</si>
  <si>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</si>
  <si>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</si>
  <si>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</si>
  <si>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</si>
  <si>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</si>
  <si>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</si>
  <si>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</si>
  <si>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</si>
  <si>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</si>
  <si>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</si>
  <si>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</si>
  <si>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</si>
  <si>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</si>
  <si>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</si>
  <si>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</si>
  <si>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</si>
  <si>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</si>
  <si>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</si>
  <si>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</si>
  <si>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</si>
  <si>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</si>
  <si>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</si>
  <si>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</si>
  <si>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</si>
  <si>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</si>
  <si>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</si>
  <si>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</si>
  <si>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</si>
  <si>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</si>
  <si>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</si>
  <si>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</si>
  <si>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</si>
  <si>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</si>
  <si>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</si>
  <si>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</si>
  <si>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</si>
  <si>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</si>
  <si>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</si>
  <si>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</si>
  <si>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</si>
  <si>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</si>
  <si>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</si>
  <si>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</si>
  <si>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</si>
  <si>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</si>
  <si>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</si>
  <si>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</si>
  <si>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</si>
  <si>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</si>
  <si>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</si>
  <si>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</si>
  <si>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</si>
  <si>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</si>
  <si>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</si>
  <si>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</si>
  <si>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</si>
  <si>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</si>
  <si>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</si>
  <si>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</si>
  <si>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</si>
  <si>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</si>
  <si>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</si>
  <si>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</si>
  <si>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</si>
  <si>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</si>
  <si>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</si>
  <si>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</si>
  <si>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</si>
  <si>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</si>
  <si>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</si>
  <si>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</si>
  <si>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</si>
  <si>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</si>
  <si>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</si>
  <si>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</si>
  <si>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</si>
  <si>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</si>
  <si>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</si>
  <si>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</si>
  <si>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</si>
  <si>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</si>
  <si>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</si>
  <si>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</si>
  <si>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</si>
  <si>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</si>
  <si>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</si>
  <si>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</si>
  <si>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</si>
  <si>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</si>
  <si>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</si>
  <si>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</si>
  <si>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</si>
  <si>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</si>
  <si>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</si>
  <si>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</si>
  <si>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</si>
  <si>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</si>
  <si>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</si>
  <si>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</si>
  <si>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</si>
  <si>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</si>
  <si>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</si>
  <si>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</si>
  <si>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</si>
  <si>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</si>
  <si>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</si>
  <si>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</si>
  <si>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</si>
  <si>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</si>
  <si>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</si>
  <si>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</si>
  <si>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</si>
  <si>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</si>
  <si>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</si>
  <si>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</si>
  <si>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</si>
  <si>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</si>
  <si>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</si>
  <si>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</si>
  <si>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</si>
  <si>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</si>
  <si>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</si>
  <si>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</si>
  <si>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</si>
  <si>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</si>
  <si>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</si>
  <si>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</si>
  <si>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</si>
  <si>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</si>
  <si>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</si>
  <si>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</si>
  <si>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</si>
  <si>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</si>
  <si>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</si>
  <si>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</si>
  <si>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</si>
  <si>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</si>
  <si>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</si>
  <si>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</si>
  <si>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</si>
  <si>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</si>
  <si>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</si>
  <si>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</si>
  <si>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</si>
  <si>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</si>
  <si>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</si>
  <si>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</si>
  <si>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</si>
  <si>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</si>
  <si>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</si>
  <si>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</si>
  <si>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</si>
  <si>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</si>
  <si>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</si>
  <si>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</si>
  <si>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</si>
  <si>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</si>
  <si>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</si>
  <si>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</si>
  <si>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</si>
  <si>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</si>
  <si>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</si>
  <si>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</si>
  <si>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</si>
  <si>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</si>
  <si>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</si>
  <si>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</si>
  <si>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</si>
  <si>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</si>
  <si>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</si>
  <si>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</si>
  <si>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</si>
  <si>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</si>
  <si>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</si>
  <si>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</si>
  <si>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</si>
  <si>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</si>
  <si>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</si>
  <si>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</si>
  <si>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</si>
  <si>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</si>
  <si>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</si>
  <si>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</si>
  <si>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</si>
  <si>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</si>
  <si>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</si>
  <si>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</si>
  <si>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</si>
  <si>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</si>
  <si>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</si>
  <si>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</si>
  <si>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</si>
  <si>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</si>
  <si>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</si>
  <si>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</si>
  <si>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</si>
  <si>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</si>
  <si>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</si>
  <si>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</si>
  <si>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</si>
  <si>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</si>
  <si>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</si>
  <si>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</si>
  <si>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</si>
  <si>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</si>
  <si>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</si>
  <si>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</si>
  <si>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</si>
  <si>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</si>
  <si>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</si>
  <si>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</si>
  <si>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</si>
  <si>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</si>
  <si>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</si>
  <si>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</si>
  <si>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</si>
  <si>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</si>
  <si>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</si>
  <si>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</si>
  <si>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</si>
  <si>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</si>
  <si>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</si>
  <si>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</si>
  <si>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</si>
  <si>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</si>
  <si>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</si>
  <si>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</si>
  <si>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</si>
  <si>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</si>
  <si>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</si>
  <si>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</si>
  <si>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</si>
  <si>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</si>
  <si>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</si>
  <si>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</si>
  <si>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</si>
  <si>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</si>
  <si>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</si>
  <si>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</si>
  <si>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</si>
  <si>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</si>
  <si>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</si>
  <si>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</si>
  <si>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</si>
  <si>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</si>
  <si>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</si>
  <si>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</si>
  <si>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</si>
  <si>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</si>
  <si>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</si>
  <si>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</si>
  <si>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</si>
  <si>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</si>
  <si>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</si>
  <si>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</si>
  <si>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</si>
  <si>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</si>
  <si>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</si>
  <si>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</si>
  <si>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</si>
  <si>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</si>
  <si>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</si>
  <si>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</si>
  <si>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</si>
  <si>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</si>
  <si>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</si>
  <si>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</si>
  <si>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</si>
  <si>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</si>
  <si>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</si>
  <si>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</si>
  <si>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</si>
  <si>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</si>
  <si>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</si>
  <si>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</si>
  <si>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</si>
  <si>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</si>
  <si>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</si>
  <si>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</si>
  <si>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</si>
  <si>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</si>
  <si>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</si>
  <si>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</si>
  <si>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</si>
  <si>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</si>
  <si>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</si>
  <si>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</si>
  <si>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</si>
  <si>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</si>
  <si>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</si>
  <si>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</si>
  <si>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</si>
  <si>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</si>
  <si>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</si>
  <si>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</si>
  <si>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</si>
  <si>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</si>
  <si>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</si>
  <si>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</si>
  <si>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</si>
  <si>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</si>
  <si>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</si>
  <si>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</si>
  <si>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</si>
  <si>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</si>
  <si>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</si>
  <si>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</si>
  <si>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</si>
  <si>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</si>
  <si>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</si>
  <si>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</si>
  <si>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</si>
  <si>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</si>
  <si>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</si>
  <si>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</si>
  <si>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</si>
  <si>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</si>
  <si>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</si>
  <si>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</si>
  <si>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</si>
  <si>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</si>
  <si>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</si>
  <si>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</si>
  <si>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</si>
  <si>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</si>
  <si>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</si>
  <si>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</si>
  <si>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</si>
  <si>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</si>
  <si>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</si>
  <si>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</si>
  <si>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</si>
  <si>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</si>
  <si>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</si>
  <si>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</si>
  <si>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</si>
  <si>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</si>
  <si>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</si>
  <si>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</si>
  <si>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</si>
  <si>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</si>
  <si>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</si>
  <si>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</si>
  <si>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</si>
  <si>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</si>
  <si>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</si>
  <si>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</si>
  <si>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</si>
  <si>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</si>
  <si>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</si>
  <si>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</si>
  <si>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</si>
  <si>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</si>
  <si>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</si>
  <si>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</si>
  <si>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</si>
  <si>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</si>
  <si>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</si>
  <si>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</si>
  <si>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</si>
  <si>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</si>
  <si>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</si>
  <si>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</si>
  <si>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</si>
  <si>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</si>
  <si>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</si>
  <si>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</si>
  <si>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</si>
  <si>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</si>
  <si>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</si>
  <si>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</si>
  <si>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</si>
  <si>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</si>
  <si>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</si>
  <si>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</si>
  <si>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</si>
  <si>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</si>
  <si>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</si>
  <si>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</si>
  <si>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</si>
  <si>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</si>
  <si>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</si>
  <si>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</si>
  <si>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</si>
  <si>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</si>
  <si>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</si>
  <si>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</si>
  <si>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</si>
  <si>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</si>
  <si>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</si>
  <si>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</si>
  <si>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</si>
  <si>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</si>
  <si>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</si>
  <si>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</si>
  <si>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</si>
  <si>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</si>
  <si>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</si>
  <si>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</si>
  <si>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</si>
  <si>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</si>
  <si>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</si>
  <si>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</si>
  <si>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</si>
  <si>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</si>
  <si>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</si>
  <si>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</si>
  <si>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</si>
  <si>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</si>
  <si>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</si>
  <si>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</si>
  <si>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</si>
  <si>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</si>
  <si>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</si>
  <si>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</si>
  <si>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</si>
  <si>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</si>
  <si>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</si>
  <si>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</si>
  <si>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</si>
  <si>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</si>
  <si>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</si>
  <si>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</si>
  <si>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</si>
  <si>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</si>
  <si>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</si>
  <si>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</si>
  <si>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</si>
  <si>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</si>
  <si>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</si>
  <si>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</si>
  <si>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</si>
  <si>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</si>
  <si>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</si>
  <si>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</si>
  <si>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</si>
  <si>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</si>
  <si>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</si>
  <si>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</si>
  <si>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</si>
  <si>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</si>
  <si>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</si>
  <si>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</si>
  <si>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</si>
  <si>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</si>
  <si>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</si>
  <si>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</si>
  <si>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</si>
  <si>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</si>
  <si>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</si>
  <si>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</si>
  <si>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</si>
  <si>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</si>
  <si>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</si>
  <si>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</si>
  <si>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</si>
  <si>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</si>
  <si>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</si>
  <si>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</si>
  <si>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</si>
  <si>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</si>
  <si>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</si>
  <si>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</si>
  <si>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</si>
  <si>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</si>
  <si>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</si>
  <si>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</si>
  <si>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</si>
  <si>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</si>
  <si>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</si>
  <si>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</si>
  <si>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</si>
  <si>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</si>
  <si>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</si>
  <si>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</si>
  <si>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</si>
  <si>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</si>
  <si>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</si>
  <si>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</si>
  <si>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</si>
  <si>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</si>
  <si>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</si>
  <si>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</si>
  <si>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</si>
  <si>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</si>
  <si>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</si>
  <si>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</si>
  <si>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</si>
  <si>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</si>
  <si>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</si>
  <si>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</si>
  <si>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</si>
  <si>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</si>
  <si>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</si>
  <si>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</si>
  <si>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</si>
  <si>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</si>
  <si>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</si>
  <si>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</si>
  <si>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</si>
  <si>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</si>
  <si>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</si>
  <si>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</si>
  <si>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</si>
  <si>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</si>
  <si>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</si>
  <si>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</si>
  <si>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</si>
  <si>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</si>
  <si>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</si>
  <si>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</si>
  <si>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</si>
  <si>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</si>
  <si>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</si>
  <si>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</si>
  <si>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</si>
  <si>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</si>
  <si>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</si>
  <si>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</si>
  <si>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</si>
  <si>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</si>
  <si>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</si>
  <si>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</si>
  <si>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</si>
  <si>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</si>
  <si>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</si>
  <si>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</si>
  <si>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</si>
  <si>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</si>
  <si>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</si>
  <si>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</si>
  <si>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</si>
  <si>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</si>
  <si>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</si>
  <si>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</si>
  <si>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</si>
  <si>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</si>
  <si>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</si>
  <si>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</si>
  <si>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</si>
  <si>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</si>
  <si>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</si>
  <si>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</si>
  <si>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</si>
  <si>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</si>
  <si>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</si>
  <si>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</si>
  <si>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</si>
  <si>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</si>
  <si>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</si>
  <si>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</si>
  <si>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</si>
  <si>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</si>
  <si>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</si>
  <si>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</si>
  <si>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</si>
  <si>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</si>
  <si>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</si>
  <si>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</si>
  <si>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</si>
  <si>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</si>
  <si>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</si>
  <si>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</si>
  <si>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</si>
  <si>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</si>
  <si>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</si>
  <si>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</si>
  <si>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</si>
  <si>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</si>
  <si>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</si>
  <si>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</si>
  <si>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</si>
  <si>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</si>
  <si>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</si>
  <si>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</si>
  <si>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</si>
  <si>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</si>
  <si>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</si>
  <si>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</si>
  <si>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</si>
  <si>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</si>
  <si>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</si>
  <si>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</si>
  <si>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</si>
  <si>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</si>
  <si>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</si>
  <si>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</si>
  <si>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</si>
  <si>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</si>
  <si>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</si>
  <si>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</si>
  <si>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</si>
  <si>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</si>
  <si>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</si>
  <si>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</si>
  <si>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</si>
  <si>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</si>
  <si>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</si>
  <si>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</si>
  <si>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</si>
  <si>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</si>
  <si>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</si>
  <si>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</si>
  <si>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</si>
  <si>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</si>
  <si>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</si>
  <si>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</si>
  <si>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</si>
  <si>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</si>
  <si>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</si>
  <si>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</si>
  <si>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</si>
  <si>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</si>
  <si>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</si>
  <si>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</si>
  <si>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</si>
  <si>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</si>
  <si>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</si>
  <si>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</si>
  <si>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</si>
  <si>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</si>
  <si>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</si>
  <si>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</si>
  <si>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</si>
  <si>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</si>
  <si>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</si>
  <si>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</si>
  <si>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</si>
  <si>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</si>
  <si>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</si>
  <si>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</si>
  <si>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</si>
  <si>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</si>
  <si>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</si>
  <si>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</si>
  <si>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</si>
  <si>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</si>
  <si>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</si>
  <si>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</si>
  <si>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</si>
  <si>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</si>
  <si>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</si>
  <si>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</si>
  <si>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</si>
  <si>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</si>
  <si>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</si>
  <si>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</si>
  <si>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</si>
  <si>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</si>
  <si>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</si>
  <si>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</si>
  <si>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</si>
  <si>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</si>
  <si>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</si>
  <si>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</si>
  <si>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</si>
  <si>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</si>
  <si>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</si>
  <si>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</si>
  <si>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</si>
  <si>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</si>
  <si>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</si>
  <si>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</si>
  <si>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</si>
  <si>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</si>
  <si>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</si>
  <si>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</si>
  <si>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</si>
  <si>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</si>
  <si>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</si>
  <si>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</si>
  <si>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</si>
  <si>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</si>
  <si>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</si>
  <si>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</si>
  <si>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</si>
  <si>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</si>
  <si>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</si>
  <si>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</si>
  <si>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</si>
  <si>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</si>
  <si>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</si>
  <si>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</si>
  <si>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</si>
  <si>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</si>
  <si>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</si>
  <si>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</si>
  <si>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</si>
  <si>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</si>
  <si>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</si>
  <si>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</si>
  <si>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</si>
  <si>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</si>
  <si>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</si>
  <si>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</si>
  <si>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</si>
  <si>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</si>
  <si>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</si>
  <si>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</si>
  <si>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</si>
  <si>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</si>
  <si>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</si>
  <si>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</si>
  <si>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</si>
  <si>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</si>
  <si>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</si>
  <si>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</si>
  <si>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</si>
  <si>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</si>
  <si>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</si>
  <si>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</si>
  <si>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</si>
  <si>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</si>
  <si>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</si>
  <si>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</si>
  <si>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</si>
  <si>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</si>
  <si>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</si>
  <si>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</si>
  <si>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</si>
  <si>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</si>
  <si>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</si>
  <si>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</si>
  <si>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</si>
  <si>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</si>
  <si>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</si>
  <si>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</si>
  <si>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</si>
  <si>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</si>
  <si>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</si>
  <si>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</si>
  <si>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</si>
  <si>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</si>
  <si>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</si>
  <si>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</si>
  <si>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</si>
  <si>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</si>
  <si>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</si>
  <si>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</si>
  <si>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</si>
  <si>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</si>
  <si>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</si>
  <si>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</si>
  <si>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</si>
  <si>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</si>
  <si>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</si>
  <si>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</si>
  <si>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</si>
  <si>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</si>
  <si>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</si>
  <si>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</si>
  <si>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</si>
  <si>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</si>
  <si>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</si>
  <si>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</si>
  <si>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</si>
  <si>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</si>
  <si>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</si>
  <si>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</si>
  <si>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</si>
  <si>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</si>
  <si>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</si>
  <si>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</si>
  <si>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</si>
  <si>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</si>
  <si>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</si>
  <si>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</si>
  <si>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</si>
  <si>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</si>
  <si>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</si>
  <si>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</si>
  <si>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</si>
  <si>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</si>
  <si>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</si>
  <si>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</si>
  <si>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</si>
  <si>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</si>
  <si>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</si>
  <si>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</si>
  <si>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</si>
  <si>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</si>
  <si>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</si>
  <si>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</si>
  <si>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</si>
  <si>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</si>
  <si>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</si>
  <si>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</si>
  <si>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</si>
  <si>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</si>
  <si>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</si>
  <si>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</si>
  <si>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</si>
  <si>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</si>
  <si>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</si>
  <si>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</si>
  <si>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</si>
  <si>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</si>
  <si>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</si>
  <si>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</si>
  <si>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</si>
  <si>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</si>
  <si>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</si>
  <si>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</si>
  <si>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</si>
  <si>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</si>
  <si>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</si>
  <si>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</si>
  <si>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</si>
  <si>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</si>
  <si>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</si>
  <si>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</si>
  <si>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</si>
  <si>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</si>
  <si>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</si>
  <si>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</si>
  <si>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</si>
  <si>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</si>
  <si>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</si>
  <si>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</si>
  <si>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</si>
  <si>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</si>
  <si>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</si>
  <si>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</si>
  <si>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</si>
  <si>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</si>
  <si>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</si>
  <si>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</si>
  <si>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</si>
  <si>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</si>
  <si>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</si>
  <si>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</si>
  <si>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</si>
  <si>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</si>
  <si>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</si>
  <si>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</si>
  <si>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</si>
  <si>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</si>
  <si>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</si>
  <si>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</si>
  <si>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</si>
  <si>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</si>
  <si>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</si>
  <si>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</si>
  <si>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</si>
  <si>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</si>
  <si>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</si>
  <si>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</si>
  <si>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</si>
  <si>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</si>
  <si>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</si>
  <si>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</si>
  <si>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</si>
  <si>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</si>
  <si>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</si>
  <si>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</si>
  <si>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</si>
  <si>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</si>
  <si>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</si>
  <si>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</si>
  <si>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</si>
  <si>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</si>
  <si>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</si>
  <si>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</si>
  <si>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</si>
  <si>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</si>
  <si>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</si>
  <si>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</si>
  <si>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</si>
  <si>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</si>
  <si>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</si>
  <si>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</si>
  <si>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</si>
  <si>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</si>
  <si>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</si>
  <si>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</si>
  <si>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</si>
  <si>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</si>
  <si>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</si>
  <si>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</si>
  <si>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</si>
  <si>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</si>
  <si>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</si>
  <si>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</si>
  <si>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</si>
  <si>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</si>
  <si>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</si>
  <si>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</si>
  <si>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</si>
  <si>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</si>
  <si>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</si>
  <si>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</si>
  <si>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</si>
  <si>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</si>
  <si>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</si>
  <si>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</si>
  <si>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</si>
  <si>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</si>
  <si>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</si>
  <si>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</si>
  <si>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</si>
  <si>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</si>
  <si>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</si>
  <si>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</si>
  <si>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</si>
  <si>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</si>
  <si>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</si>
  <si>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</si>
  <si>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</si>
  <si>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</si>
  <si>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</si>
  <si>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</si>
  <si>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</si>
  <si>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</si>
  <si>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</si>
  <si>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</si>
  <si>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</si>
  <si>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</si>
  <si>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</si>
  <si>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</si>
  <si>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</si>
  <si>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</si>
  <si>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</si>
  <si>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</si>
  <si>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</si>
  <si>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</si>
  <si>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</si>
  <si>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</si>
  <si>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</si>
  <si>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</si>
  <si>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</si>
  <si>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</si>
  <si>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</si>
  <si>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</si>
  <si>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</si>
  <si>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</si>
  <si>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</si>
  <si>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</si>
  <si>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</si>
  <si>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</si>
  <si>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</si>
  <si>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</si>
  <si>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</si>
  <si>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</si>
  <si>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</si>
  <si>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</si>
  <si>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</si>
  <si>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</si>
  <si>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</si>
  <si>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</si>
  <si>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</si>
  <si>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</si>
  <si>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</si>
  <si>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</si>
  <si>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</si>
  <si>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</si>
  <si>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</si>
  <si>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</si>
  <si>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</si>
  <si>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</si>
  <si>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</si>
  <si>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</si>
  <si>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</si>
  <si>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</si>
  <si>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</si>
  <si>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</si>
  <si>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</si>
  <si>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</si>
  <si>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</si>
  <si>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</si>
  <si>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</si>
  <si>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</si>
  <si>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</si>
  <si>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</si>
  <si>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</si>
  <si>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</si>
  <si>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</si>
  <si>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</si>
  <si>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</si>
  <si>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</si>
  <si>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</si>
  <si>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</si>
  <si>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</si>
  <si>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</si>
  <si>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</si>
  <si>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</si>
  <si>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</si>
  <si>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</si>
  <si>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</si>
  <si>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</si>
  <si>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</si>
  <si>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</si>
  <si>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</si>
  <si>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</si>
  <si>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</si>
  <si>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</si>
  <si>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</si>
  <si>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</si>
  <si>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</si>
  <si>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</si>
  <si>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</si>
  <si>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</si>
  <si>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</si>
  <si>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</si>
  <si>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</si>
  <si>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</si>
  <si>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</si>
  <si>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</si>
  <si>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</si>
  <si>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</si>
  <si>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</si>
  <si>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</si>
  <si>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</si>
  <si>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</si>
  <si>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</si>
  <si>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</si>
  <si>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</si>
  <si>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</si>
  <si>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</si>
  <si>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</si>
  <si>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</si>
  <si>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</si>
  <si>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</si>
  <si>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</si>
  <si>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</si>
  <si>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</si>
  <si>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</si>
  <si>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</si>
  <si>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</si>
  <si>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</si>
  <si>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</si>
  <si>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</si>
  <si>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</si>
  <si>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</si>
  <si>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</si>
  <si>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</si>
  <si>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</si>
  <si>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</si>
  <si>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</si>
  <si>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</si>
  <si>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</si>
  <si>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</si>
  <si>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</si>
  <si>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</si>
  <si>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</si>
  <si>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</si>
  <si>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</si>
  <si>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</si>
  <si>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</si>
  <si>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</si>
  <si>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</si>
  <si>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</si>
  <si>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</si>
  <si>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</si>
  <si>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</si>
  <si>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</si>
  <si>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</si>
  <si>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</si>
  <si>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</si>
  <si>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</si>
  <si>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</si>
  <si>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</si>
  <si>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</si>
  <si>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</si>
  <si>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</si>
  <si>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</si>
  <si>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</si>
  <si>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</si>
  <si>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</si>
  <si>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</si>
  <si>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</si>
  <si>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</si>
  <si>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</si>
  <si>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</si>
  <si>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</si>
  <si>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</si>
  <si>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</si>
  <si>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</si>
  <si>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</si>
  <si>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</si>
  <si>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</si>
  <si>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</si>
  <si>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</si>
  <si>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</si>
  <si>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</si>
  <si>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</si>
  <si>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</si>
  <si>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</si>
  <si>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</si>
  <si>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</si>
  <si>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</si>
  <si>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</si>
  <si>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</si>
  <si>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</si>
  <si>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</si>
  <si>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</si>
  <si>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</si>
  <si>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</si>
  <si>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</si>
  <si>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</si>
  <si>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</si>
  <si>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</si>
  <si>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</si>
  <si>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</si>
  <si>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</si>
  <si>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</si>
  <si>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</si>
  <si>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</si>
  <si>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</si>
  <si>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</si>
  <si>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</si>
  <si>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</si>
  <si>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</si>
  <si>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</si>
  <si>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</si>
  <si>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</si>
  <si>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</si>
  <si>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</si>
  <si>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</si>
  <si>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</si>
  <si>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</si>
  <si>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</si>
  <si>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</si>
  <si>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</si>
  <si>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</si>
  <si>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</si>
  <si>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</si>
  <si>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</si>
  <si>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</si>
  <si>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</si>
  <si>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</si>
  <si>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</si>
  <si>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</si>
  <si>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</si>
  <si>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</si>
  <si>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</si>
  <si>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</si>
  <si>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</si>
  <si>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</si>
  <si>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</si>
  <si>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</si>
  <si>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</si>
  <si>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</si>
  <si>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</si>
  <si>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</si>
  <si>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</si>
  <si>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</si>
  <si>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</si>
  <si>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</si>
  <si>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</si>
  <si>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</si>
  <si>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</si>
  <si>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</si>
  <si>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</si>
  <si>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</si>
  <si>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</si>
  <si>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BOW SCHOOL DISTRICT</t>
  </si>
  <si>
    <t>7/1/2006</t>
  </si>
  <si>
    <t>7/1/2026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</si>
</sst>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57</v>
      </c>
      <c r="C2" s="21">
        <v>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2129138.8+5555.09</f>
        <v>2134693.8899999997</v>
      </c>
      <c r="G9" s="18">
        <v>0</v>
      </c>
      <c r="H9" s="18">
        <v>0</v>
      </c>
      <c r="I9" s="18">
        <v>0</v>
      </c>
      <c r="J9" s="67">
        <f>SUM(I439)</f>
        <v>0</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SUM(I440)</f>
        <v>1965642.5299999998</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1396376.28+2008531.68</f>
        <v>3404907.96</v>
      </c>
      <c r="G12" s="18">
        <v>2292523.4</v>
      </c>
      <c r="H12" s="18">
        <v>1331406.52</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0</v>
      </c>
      <c r="G13" s="18">
        <v>0</v>
      </c>
      <c r="H13" s="18">
        <v>0</v>
      </c>
      <c r="I13" s="18">
        <v>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f>20175.92+103017.37</f>
        <v>123193.29</v>
      </c>
      <c r="G14" s="18">
        <v>4918.1099999999997</v>
      </c>
      <c r="H14" s="18">
        <f>48829.54+19</f>
        <v>48848.54</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253343.14</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5916138.2799999993</v>
      </c>
      <c r="G19" s="41">
        <f>SUM(G9:G18)</f>
        <v>2297441.5099999998</v>
      </c>
      <c r="H19" s="41">
        <f>SUM(H9:H18)</f>
        <v>1380255.06</v>
      </c>
      <c r="I19" s="41">
        <f>SUM(I9:I18)</f>
        <v>0</v>
      </c>
      <c r="J19" s="41">
        <f>SUM(J9:J18)</f>
        <v>1965642.5299999998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2292930.44+22310.27+1331406.52</f>
        <v>3646647.23</v>
      </c>
      <c r="G22" s="18">
        <v>2008124.67</v>
      </c>
      <c r="H22" s="18">
        <v>1374066.01</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719665.84</v>
      </c>
      <c r="G24" s="18">
        <v>6000.47</v>
      </c>
      <c r="H24" s="18">
        <v>6189.05</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f>1180412.85</f>
        <v>1180412.8500000001</v>
      </c>
      <c r="G25" s="145">
        <v>3403.16</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f>3626.34-57847.83-24772-18454.36+2383.87</f>
        <v>-95063.98000000001</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f>306</f>
        <v>306</v>
      </c>
      <c r="G30" s="18">
        <v>22588.83</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5451967.9399999995</v>
      </c>
      <c r="G32" s="41">
        <f>SUM(G22:G31)</f>
        <v>2040117.13</v>
      </c>
      <c r="H32" s="41">
        <f>SUM(H22:H31)</f>
        <v>1380255.06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f>F17</f>
        <v>253343.14</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f>2297441.51-2040117.13</f>
        <v>257324.37999999989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SUM(I459)</f>
        <v>1965642.5299999998</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f>5916138.28-5705311.08</f>
        <v>210827.20000000019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464170.3400000002</v>
      </c>
      <c r="G51" s="41">
        <f>SUM(G35:G50)</f>
        <v>257324.37999999989</v>
      </c>
      <c r="H51" s="41">
        <f>SUM(H35:H50)</f>
        <v>0</v>
      </c>
      <c r="I51" s="41">
        <f>SUM(I35:I50)</f>
        <v>0</v>
      </c>
      <c r="J51" s="41">
        <f>SUM(J35:J50)</f>
        <v>1965642.5299999998</v>
      </c>
      <c r="K51" s="45" t="s">
        <v>288</v>
      </c>
      <c r="L51" s="45" t="s">
        <v>288</v>
      </c>
      <c r="N51" s="264"/>
    </row>
    <row r="52" spans="1:14" s="3" customFormat="1" ht="12.2" customHeight="1" thickTop="1" x14ac:dyDescent="0.15">
      <c r="A52" s="38" t="s">
        <v>455</v>
      </c>
      <c r="B52" s="39" t="s">
        <v>289</v>
      </c>
      <c r="C52" s="6">
        <v>37</v>
      </c>
      <c r="D52" s="39" t="s">
        <v>653</v>
      </c>
      <c r="E52" s="39"/>
      <c r="F52" s="41">
        <f>F51+F32</f>
        <v>5916138.2799999993</v>
      </c>
      <c r="G52" s="41">
        <f>G51+G32</f>
        <v>2297441.5099999998</v>
      </c>
      <c r="H52" s="41">
        <f>H51+H32</f>
        <v>1380255.06</v>
      </c>
      <c r="I52" s="41">
        <f>I51+I32</f>
        <v>0</v>
      </c>
      <c r="J52" s="41">
        <f>J51+J32</f>
        <v>1965642.5299999998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16942745</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16942745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37658+7820</f>
        <v>45478</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5200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203023+686413.54+1957714.37</f>
        <v>2847150.91</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12368.4+5872.27</f>
        <v>18240.669999999998</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2916069.58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11414.48</v>
      </c>
      <c r="G96" s="18">
        <v>0</v>
      </c>
      <c r="H96" s="18">
        <v>0</v>
      </c>
      <c r="I96" s="18">
        <v>0</v>
      </c>
      <c r="J96" s="18">
        <v>57662.92</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140367.14+190613.79+284097.35+863.44+11244.36</f>
        <v>627186.07999999996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32920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12800+21405</f>
        <v>34205</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3496.32+302739.99</f>
        <v>306236.31</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384775.79</v>
      </c>
      <c r="G111" s="41">
        <f>SUM(G96:G110)</f>
        <v>627186.07999999996</v>
      </c>
      <c r="H111" s="41">
        <f>SUM(H96:H110)</f>
        <v>0</v>
      </c>
      <c r="I111" s="41">
        <f>SUM(I96:I110)</f>
        <v>0</v>
      </c>
      <c r="J111" s="41">
        <f>SUM(J96:J110)</f>
        <v>57662.92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20243590.369999997</v>
      </c>
      <c r="G112" s="41">
        <f>G60+G111</f>
        <v>627186.07999999996</v>
      </c>
      <c r="H112" s="41">
        <f>H60+H79+H94+H111</f>
        <v>0</v>
      </c>
      <c r="I112" s="41">
        <f>I60+I111</f>
        <v>0</v>
      </c>
      <c r="J112" s="41">
        <f>J60+J111</f>
        <v>57662.92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3761294.9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2173420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3912.18</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5938627.0800000001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67289.929999999993</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94688.44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346476.1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7183.2</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7445.42+31390.15</f>
        <v>38835.57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515637.67</v>
      </c>
      <c r="G136" s="41">
        <f>SUM(G123:G135)</f>
        <v>38835.57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6454264.75</v>
      </c>
      <c r="G140" s="41">
        <f>G121+SUM(G136:G137)</f>
        <v>38835.57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37433.83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21601.69+10184.24+31648.56+14166.8+3625+2540.87+7649.85</f>
        <v>91417.010000000009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92409.84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f>12268.33+298854.5+5065.44</f>
        <v>316188.27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171972.09</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171972.09</v>
      </c>
      <c r="G162" s="41">
        <f>SUM(G150:G161)</f>
        <v>92409.84</v>
      </c>
      <c r="H162" s="41">
        <f>SUM(H150:H161)</f>
        <v>445039.11000000004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c r="H163" s="18">
        <v>0</v>
      </c>
      <c r="I163" s="18">
        <v>0</v>
      </c>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171972.09</v>
      </c>
      <c r="G169" s="41">
        <f>G147+G162+SUM(G163:G168)</f>
        <v>92409.84</v>
      </c>
      <c r="H169" s="41">
        <f>H147+H162+SUM(H163:H168)</f>
        <v>445039.11000000004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c r="I179" s="18">
        <v>0</v>
      </c>
      <c r="J179" s="18">
        <v>79072</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c r="I180" s="18">
        <v>0</v>
      </c>
      <c r="J180" s="18">
        <v>0</v>
      </c>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c r="I182" s="24" t="s">
        <v>288</v>
      </c>
      <c r="J182" s="18">
        <v>0</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79072</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42950</v>
      </c>
      <c r="G185" s="18">
        <v>0</v>
      </c>
      <c r="H185" s="18"/>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42950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42950</v>
      </c>
      <c r="G192" s="41">
        <f>G183+SUM(G188:G191)</f>
        <v>0</v>
      </c>
      <c r="H192" s="41">
        <f>+H183+SUM(H188:H191)</f>
        <v>0</v>
      </c>
      <c r="I192" s="41">
        <f>I177+I183+SUM(I188:I191)</f>
        <v>0</v>
      </c>
      <c r="J192" s="41">
        <f>J183</f>
        <v>79072</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26912777.209999997</v>
      </c>
      <c r="G193" s="47">
        <f>G112+G140+G169+G192</f>
        <v>758431.48999999987</v>
      </c>
      <c r="H193" s="47">
        <f>H112+H140+H169+H192</f>
        <v>445039.11000000004</v>
      </c>
      <c r="I193" s="47">
        <f>I112+I140+I169+I192</f>
        <v>0</v>
      </c>
      <c r="J193" s="47">
        <f>J112+J140+J192</f>
        <v>136734.91999999998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2086260.59+67292.58</f>
        <v>2153553.17</v>
      </c>
      <c r="G197" s="18">
        <f>17583.8+1023478.55</f>
        <v>1041062.3500000001</v>
      </c>
      <c r="H197" s="18">
        <f>93+21139.52+5853.76+10</f>
        <v>27096.28</v>
      </c>
      <c r="I197" s="18">
        <f>3482.38+2100.5+697.47+2023.49+2340+182.06+100+38.96+494.76+458.1+29759.83+582.69+16335.28+12621.83</f>
        <v>71217.350000000006</v>
      </c>
      <c r="J197" s="18">
        <f>1000+48.95+199.98+3464.08</f>
        <v>4713.01</v>
      </c>
      <c r="K197" s="18">
        <v>0</v>
      </c>
      <c r="L197" s="19">
        <f>SUM(F197:K197)</f>
        <v>3297642.1599999997</v>
      </c>
      <c r="M197" s="8"/>
      <c r="N197" s="266"/>
    </row>
    <row r="198" spans="1:14" s="3" customFormat="1" ht="12.2" customHeight="1" x14ac:dyDescent="0.15">
      <c r="A198" s="1" t="s">
        <v>439</v>
      </c>
      <c r="B198" s="2" t="s">
        <v>341</v>
      </c>
      <c r="C198" s="2" t="s">
        <v>291</v>
      </c>
      <c r="D198" s="2" t="s">
        <v>431</v>
      </c>
      <c r="E198" s="6">
        <v>1200</v>
      </c>
      <c r="F198" s="18">
        <f>341337.76+442951.16+11569.71+8116.5+75679.14</f>
        <v>879654.2699999999</v>
      </c>
      <c r="G198" s="18">
        <f>404399.86+4360.4+31035.8</f>
        <v>439796.06</v>
      </c>
      <c r="H198" s="18">
        <f>526.68+2356.68+140497.76+34793.3+780.73+0.63+1715</f>
        <v>180670.78</v>
      </c>
      <c r="I198" s="18">
        <f>367.83+2072.83+1804.98+2069.89</f>
        <v>6315.5299999999988</v>
      </c>
      <c r="J198" s="18">
        <f>399.05+738.09+2389.36+2579</f>
        <v>6105.5</v>
      </c>
      <c r="K198" s="18">
        <f>92.88+42885.38</f>
        <v>42978.259999999995</v>
      </c>
      <c r="L198" s="19">
        <f>SUM(F198:K198)</f>
        <v>1555520.4</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f>7946</f>
        <v>7946</v>
      </c>
      <c r="G200" s="18">
        <f>2006.98</f>
        <v>2006.98</v>
      </c>
      <c r="H200" s="18">
        <v>0</v>
      </c>
      <c r="I200" s="18">
        <v>0</v>
      </c>
      <c r="J200" s="18">
        <v>0</v>
      </c>
      <c r="K200" s="18">
        <v>0</v>
      </c>
      <c r="L200" s="19">
        <f>SUM(F200:K200)</f>
        <v>9952.98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266.67+74953.06+46370.92+19191.08+60381.94+287229.73+134141.81</f>
        <v>622535.21</v>
      </c>
      <c r="G202" s="18">
        <f>7695.82+37000.85+31360.07+28578.75+140694.41+78170.31</f>
        <v>323500.20999999996</v>
      </c>
      <c r="H202" s="18">
        <f>11788.33+1017.67+1606.03+6008.23+48867.43</f>
        <v>69287.69</v>
      </c>
      <c r="I202" s="18">
        <f>565.52+1799.99+117.63+1092.11+1167.91</f>
        <v>4743.16</v>
      </c>
      <c r="J202" s="18">
        <f>350+1489.08+388.34+1230.76</f>
        <v>3458.1800000000003</v>
      </c>
      <c r="K202" s="18">
        <f>139</f>
        <v>139</v>
      </c>
      <c r="L202" s="19">
        <f t="shared" ref="L202:L208" si="0">SUM(F202:K202)</f>
        <v>1023663.45</v>
      </c>
      <c r="M202" s="8"/>
      <c r="N202" s="266"/>
    </row>
    <row r="203" spans="1:14" s="3" customFormat="1" ht="12.2" customHeight="1" x14ac:dyDescent="0.15">
      <c r="A203" s="1" t="s">
        <v>443</v>
      </c>
      <c r="B203" s="2" t="s">
        <v>341</v>
      </c>
      <c r="C203" s="2" t="s">
        <v>295</v>
      </c>
      <c r="D203" s="2" t="s">
        <v>431</v>
      </c>
      <c r="E203" s="6">
        <v>2200</v>
      </c>
      <c r="F203" s="18">
        <f>4012.2+78553.02+8636.76+42759.51</f>
        <v>133961.49</v>
      </c>
      <c r="G203" s="18">
        <f>968.76+43113.6+21857.75</f>
        <v>65940.11</v>
      </c>
      <c r="H203" s="18">
        <f>7201.3+5943.57+8570+745+30443.9</f>
        <v>52903.770000000004</v>
      </c>
      <c r="I203" s="18">
        <f>113.24+424.94+8825.03+7063+64</f>
        <v>16490.21</v>
      </c>
      <c r="J203" s="18">
        <f>847.18+73773.11</f>
        <v>74620.289999999994</v>
      </c>
      <c r="K203" s="18">
        <v>0</v>
      </c>
      <c r="L203" s="19">
        <f t="shared" si="0"/>
        <v>343915.87</v>
      </c>
      <c r="M203" s="8"/>
      <c r="N203" s="266"/>
    </row>
    <row r="204" spans="1:14" s="3" customFormat="1" ht="12.2" customHeight="1" x14ac:dyDescent="0.15">
      <c r="A204" s="1" t="s">
        <v>444</v>
      </c>
      <c r="B204" s="2" t="s">
        <v>341</v>
      </c>
      <c r="C204" s="2" t="s">
        <v>296</v>
      </c>
      <c r="D204" s="2" t="s">
        <v>431</v>
      </c>
      <c r="E204" s="6">
        <v>2300</v>
      </c>
      <c r="F204" s="18">
        <f>4166.67+577.38+50+433.33</f>
        <v>5227.38</v>
      </c>
      <c r="G204" s="18">
        <f>362.93+33.15</f>
        <v>396.08</v>
      </c>
      <c r="H204" s="18">
        <f>4910.65+13426.69+241181+0.5</f>
        <v>259518.84</v>
      </c>
      <c r="I204" s="18">
        <f>1286.13</f>
        <v>1286.1300000000001</v>
      </c>
      <c r="J204" s="18">
        <v>0</v>
      </c>
      <c r="K204" s="18">
        <f>8103.88+1824.33</f>
        <v>9928.2099999999991</v>
      </c>
      <c r="L204" s="19">
        <f t="shared" si="0"/>
        <v>276356.64</v>
      </c>
      <c r="M204" s="8"/>
      <c r="N204" s="266"/>
    </row>
    <row r="205" spans="1:14" s="3" customFormat="1" ht="12.2" customHeight="1" x14ac:dyDescent="0.15">
      <c r="A205" s="1" t="s">
        <v>445</v>
      </c>
      <c r="B205" s="2" t="s">
        <v>341</v>
      </c>
      <c r="C205" s="2" t="s">
        <v>297</v>
      </c>
      <c r="D205" s="2" t="s">
        <v>431</v>
      </c>
      <c r="E205" s="6">
        <v>2400</v>
      </c>
      <c r="F205" s="18">
        <f>102791.52+89349.09+90139.15</f>
        <v>282279.76</v>
      </c>
      <c r="G205" s="18">
        <f>5097+130398.31</f>
        <v>135495.31</v>
      </c>
      <c r="H205" s="18">
        <f>1019+3439.21+1393.39</f>
        <v>5851.6</v>
      </c>
      <c r="I205" s="18">
        <f>104.24</f>
        <v>104.24</v>
      </c>
      <c r="J205" s="18">
        <f>199</f>
        <v>199</v>
      </c>
      <c r="K205" s="18">
        <f>1602</f>
        <v>1602</v>
      </c>
      <c r="L205" s="19">
        <f t="shared" si="0"/>
        <v>425531.91</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f>113896.99+18259.28</f>
        <v>132156.27000000002</v>
      </c>
      <c r="G207" s="18">
        <f>78905.61+12399.29</f>
        <v>91304.9</v>
      </c>
      <c r="H207" s="18">
        <f>240+12009.24+5832.26+689.01+4921.08+707.73+2487.63+11877.91+12810.88+6480+349.99+13843.56+597.98</f>
        <v>72847.26999999999</v>
      </c>
      <c r="I207" s="18">
        <f>19077.21+35151.18+82715.86+1021.12</f>
        <v>137965.37</v>
      </c>
      <c r="J207" s="18">
        <v>0</v>
      </c>
      <c r="K207" s="18">
        <v>0</v>
      </c>
      <c r="L207" s="19">
        <f t="shared" si="0"/>
        <v>434273.81</v>
      </c>
      <c r="M207" s="8"/>
      <c r="N207" s="266"/>
    </row>
    <row r="208" spans="1:14" s="3" customFormat="1" ht="12.2" customHeight="1" x14ac:dyDescent="0.15">
      <c r="A208" s="1" t="s">
        <v>448</v>
      </c>
      <c r="B208" s="2" t="s">
        <v>341</v>
      </c>
      <c r="C208" s="2" t="s">
        <v>300</v>
      </c>
      <c r="D208" s="2" t="s">
        <v>431</v>
      </c>
      <c r="E208" s="6">
        <v>2700</v>
      </c>
      <c r="F208" s="18">
        <f>124964.59+21483.33+950.05+28252.47</f>
        <v>175650.43999999997</v>
      </c>
      <c r="G208" s="18">
        <f>35229.83+3369.91+101.47+19573.15</f>
        <v>58274.360000000008</v>
      </c>
      <c r="H208" s="18">
        <f>851.04+59130.9+31707.81</f>
        <v>91689.75</v>
      </c>
      <c r="I208" s="18">
        <f>1622.44+48197.47</f>
        <v>49819.91</v>
      </c>
      <c r="J208" s="18">
        <f>7587.47+42065.54</f>
        <v>49653.01</v>
      </c>
      <c r="K208" s="18">
        <f>2977.46</f>
        <v>2977.46</v>
      </c>
      <c r="L208" s="19">
        <f t="shared" si="0"/>
        <v>428064.93</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4392963.9899999993</v>
      </c>
      <c r="G211" s="41">
        <f t="shared" si="1"/>
        <v>2157776.3600000003</v>
      </c>
      <c r="H211" s="41">
        <f t="shared" si="1"/>
        <v>759865.98</v>
      </c>
      <c r="I211" s="41">
        <f t="shared" si="1"/>
        <v>287941.90000000002</v>
      </c>
      <c r="J211" s="41">
        <f t="shared" si="1"/>
        <v>138748.99</v>
      </c>
      <c r="K211" s="41">
        <f t="shared" si="1"/>
        <v>57624.929999999993</v>
      </c>
      <c r="L211" s="41">
        <f t="shared" si="1"/>
        <v>7794922.1499999994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2195997.04+16175.06+64949.67</f>
        <v>2277121.77</v>
      </c>
      <c r="G215" s="18">
        <f>17583.8+1082204.67</f>
        <v>1099788.47</v>
      </c>
      <c r="H215" s="18">
        <f>93+24570+5406.54</f>
        <v>30069.54</v>
      </c>
      <c r="I215" s="18">
        <f>2912.81+2191.68+1219+296.73+4507.25+4909.22+6212.83+2479.63+423.47+3299.78+9679.4+1326.85+15974.01+23166.35+992.44+3023.73+408.84</f>
        <v>83024.01999999999</v>
      </c>
      <c r="J215" s="18">
        <f>1756.71+7749.73+6945.77+2449.77</f>
        <v>18901.98</v>
      </c>
      <c r="K215" s="18">
        <f>1580</f>
        <v>1580</v>
      </c>
      <c r="L215" s="19">
        <f>SUM(F215:K215)</f>
        <v>3510485.7800000003</v>
      </c>
      <c r="M215" s="8"/>
      <c r="N215" s="266"/>
    </row>
    <row r="216" spans="1:14" s="3" customFormat="1" ht="12.2" customHeight="1" x14ac:dyDescent="0.15">
      <c r="A216" s="1" t="s">
        <v>439</v>
      </c>
      <c r="B216" s="2" t="s">
        <v>346</v>
      </c>
      <c r="C216" s="2" t="s">
        <v>291</v>
      </c>
      <c r="D216" s="2" t="s">
        <v>431</v>
      </c>
      <c r="E216" s="6">
        <v>1200</v>
      </c>
      <c r="F216" s="18">
        <f>399830.34+446877.32+11166.89+8116.5+78667.94</f>
        <v>944658.99</v>
      </c>
      <c r="G216" s="18">
        <f>435912.02+4360.39+32261.5</f>
        <v>472533.91000000003</v>
      </c>
      <c r="H216" s="18">
        <f>1053.36+2274.63+135606.08+154261.08+753.55</f>
        <v>293948.69999999995</v>
      </c>
      <c r="I216" s="18">
        <f>355.03+3778.39+2938.9+1742.13+1568.21</f>
        <v>10382.66</v>
      </c>
      <c r="J216" s="18">
        <f>308.42+712.39+3160+623.83+3412.49</f>
        <v>8217.1299999999992</v>
      </c>
      <c r="K216" s="18">
        <f>89.65+41392.25</f>
        <v>41481.9</v>
      </c>
      <c r="L216" s="19">
        <f>SUM(F216:K216)</f>
        <v>1771223.2899999996</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f>28417+26024</f>
        <v>54441</v>
      </c>
      <c r="G218" s="18">
        <f>7177.48+8712.85</f>
        <v>15890.33</v>
      </c>
      <c r="H218" s="18">
        <f>7684</f>
        <v>7684</v>
      </c>
      <c r="I218" s="18">
        <f>1612.84+2350.95</f>
        <v>3963.79</v>
      </c>
      <c r="J218" s="18">
        <f>1793.12+12838.6</f>
        <v>14631.720000000001</v>
      </c>
      <c r="K218" s="18">
        <f>3554.48+5746.02+500</f>
        <v>9800.5</v>
      </c>
      <c r="L218" s="19">
        <f>SUM(F218:K218)</f>
        <v>106411.34</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266.67+129363+65298.9+10787.49+60381.94+60933.7+33535.45</f>
        <v>360567.15</v>
      </c>
      <c r="G220" s="18">
        <f>7695.82+63860.51+36394.16+28578.75+29847.3+19542.58</f>
        <v>185919.12</v>
      </c>
      <c r="H220" s="18">
        <f>11788.33+1017.67+1550.12+1472.96+12216.86</f>
        <v>28045.94</v>
      </c>
      <c r="I220" s="18">
        <f>189.8+2969.33+113.53+267.74+291.98</f>
        <v>3832.3800000000006</v>
      </c>
      <c r="J220" s="18">
        <f>625.4+365.06+97.09</f>
        <v>1087.55</v>
      </c>
      <c r="K220" s="18">
        <f>225</f>
        <v>225</v>
      </c>
      <c r="L220" s="19">
        <f t="shared" ref="L220:L226" si="2">SUM(F220:K220)</f>
        <v>579677.14</v>
      </c>
      <c r="M220" s="8"/>
      <c r="N220" s="266"/>
    </row>
    <row r="221" spans="1:14" s="3" customFormat="1" ht="12.2" customHeight="1" x14ac:dyDescent="0.15">
      <c r="A221" s="1" t="s">
        <v>443</v>
      </c>
      <c r="B221" s="2" t="s">
        <v>346</v>
      </c>
      <c r="C221" s="2" t="s">
        <v>295</v>
      </c>
      <c r="D221" s="2" t="s">
        <v>431</v>
      </c>
      <c r="E221" s="6">
        <v>2200</v>
      </c>
      <c r="F221" s="18">
        <f>4012.2+73434.11+9285.36+46477.73</f>
        <v>133209.4</v>
      </c>
      <c r="G221" s="18">
        <f>968.76+40903.12+23758.43</f>
        <v>65630.31</v>
      </c>
      <c r="H221" s="18">
        <f>6020.7+9223.57+7986.85+29383.94</f>
        <v>52615.06</v>
      </c>
      <c r="I221" s="18">
        <f>925.09+1113.46+5019.14+3159</f>
        <v>10216.69</v>
      </c>
      <c r="J221" s="18">
        <f>2986.61+71204.57</f>
        <v>74191.180000000008</v>
      </c>
      <c r="K221" s="18">
        <v>0</v>
      </c>
      <c r="L221" s="19">
        <f t="shared" si="2"/>
        <v>335862.64</v>
      </c>
      <c r="M221" s="8"/>
      <c r="N221" s="266"/>
    </row>
    <row r="222" spans="1:14" s="3" customFormat="1" ht="12.2" customHeight="1" x14ac:dyDescent="0.15">
      <c r="A222" s="1" t="s">
        <v>444</v>
      </c>
      <c r="B222" s="2" t="s">
        <v>346</v>
      </c>
      <c r="C222" s="2" t="s">
        <v>296</v>
      </c>
      <c r="D222" s="2" t="s">
        <v>431</v>
      </c>
      <c r="E222" s="6">
        <v>2300</v>
      </c>
      <c r="F222" s="18">
        <f>4166.67+577.38+50+433.33</f>
        <v>5227.38</v>
      </c>
      <c r="G222" s="18">
        <f>362.93+33.15</f>
        <v>396.08</v>
      </c>
      <c r="H222" s="18">
        <f>4910.65+13426.69+241181+0.5</f>
        <v>259518.84</v>
      </c>
      <c r="I222" s="18">
        <f>1286.13</f>
        <v>1286.1300000000001</v>
      </c>
      <c r="J222" s="18">
        <v>0</v>
      </c>
      <c r="K222" s="18">
        <f>8103.88+1824.33</f>
        <v>9928.2099999999991</v>
      </c>
      <c r="L222" s="19">
        <f t="shared" si="2"/>
        <v>276356.64</v>
      </c>
      <c r="M222" s="8"/>
      <c r="N222" s="266"/>
    </row>
    <row r="223" spans="1:14" s="3" customFormat="1" ht="12.2" customHeight="1" x14ac:dyDescent="0.15">
      <c r="A223" s="1" t="s">
        <v>445</v>
      </c>
      <c r="B223" s="2" t="s">
        <v>346</v>
      </c>
      <c r="C223" s="2" t="s">
        <v>297</v>
      </c>
      <c r="D223" s="2" t="s">
        <v>431</v>
      </c>
      <c r="E223" s="6">
        <v>2400</v>
      </c>
      <c r="F223" s="18">
        <f>110520.54+90594.36+90139.4</f>
        <v>291254.3</v>
      </c>
      <c r="G223" s="18">
        <f>1773+134544.07</f>
        <v>136317.07</v>
      </c>
      <c r="H223" s="18">
        <f>1780.49+3239.84+2267.09+651.33</f>
        <v>7938.75</v>
      </c>
      <c r="I223" s="18">
        <f>528.81</f>
        <v>528.80999999999995</v>
      </c>
      <c r="J223" s="18">
        <v>0</v>
      </c>
      <c r="K223" s="18">
        <f>660</f>
        <v>660</v>
      </c>
      <c r="L223" s="19">
        <f t="shared" si="2"/>
        <v>436698.93</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f>90795.1+31570.2</f>
        <v>122365.3</v>
      </c>
      <c r="G225" s="18">
        <f>62901.25+21438.31</f>
        <v>84339.56</v>
      </c>
      <c r="H225" s="18">
        <f>240+14355.92+5854.66+2048.1+8834.29+1584.17+4231.71+54134.12+17478.9+8536+1049.98+24188.21+1198.5</f>
        <v>143734.56</v>
      </c>
      <c r="I225" s="18">
        <f>15849.78+35776.45+112855.79+132.95+3063.35</f>
        <v>167678.32</v>
      </c>
      <c r="J225" s="18">
        <v>0</v>
      </c>
      <c r="K225" s="18">
        <v>0</v>
      </c>
      <c r="L225" s="19">
        <f t="shared" si="2"/>
        <v>518117.74</v>
      </c>
      <c r="M225" s="8"/>
      <c r="N225" s="266"/>
    </row>
    <row r="226" spans="1:14" s="3" customFormat="1" ht="12.2" customHeight="1" x14ac:dyDescent="0.15">
      <c r="A226" s="1" t="s">
        <v>448</v>
      </c>
      <c r="B226" s="2" t="s">
        <v>346</v>
      </c>
      <c r="C226" s="2" t="s">
        <v>300</v>
      </c>
      <c r="D226" s="2" t="s">
        <v>431</v>
      </c>
      <c r="E226" s="6">
        <v>2700</v>
      </c>
      <c r="F226" s="18">
        <f>124964.59+21483.33+6175.31+7695.26+28252.47</f>
        <v>188570.96</v>
      </c>
      <c r="G226" s="18">
        <f>35229.83+3369.91+659.57+817.15+19573.15</f>
        <v>59649.610000000008</v>
      </c>
      <c r="H226" s="18">
        <f>851.04+59130.9+31707.81</f>
        <v>91689.75</v>
      </c>
      <c r="I226" s="18">
        <f>1622.44+48197.47</f>
        <v>49819.91</v>
      </c>
      <c r="J226" s="18">
        <f>7587.47+42065.54</f>
        <v>49653.01</v>
      </c>
      <c r="K226" s="18">
        <f>2977.46</f>
        <v>2977.46</v>
      </c>
      <c r="L226" s="19">
        <f t="shared" si="2"/>
        <v>442360.7</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4377416.2499999991</v>
      </c>
      <c r="G229" s="41">
        <f>SUM(G215:G228)</f>
        <v>2120464.4600000004</v>
      </c>
      <c r="H229" s="41">
        <f>SUM(H215:H228)</f>
        <v>915245.1399999999</v>
      </c>
      <c r="I229" s="41">
        <f>SUM(I215:I228)</f>
        <v>330732.70999999996</v>
      </c>
      <c r="J229" s="41">
        <f>SUM(J215:J228)</f>
        <v>166682.57</v>
      </c>
      <c r="K229" s="41">
        <f t="shared" si="3"/>
        <v>66653.070000000007</v>
      </c>
      <c r="L229" s="41">
        <f t="shared" si="3"/>
        <v>7977194.1999999993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3205893.16+18386.19+85109.46</f>
        <v>3309388.81</v>
      </c>
      <c r="G233" s="18">
        <f>17583.8+1572780.73</f>
        <v>1590364.53</v>
      </c>
      <c r="H233" s="18">
        <f>93+29627.92+2864.02</f>
        <v>32584.94</v>
      </c>
      <c r="I233" s="18">
        <f>13840.3+534.53+2398.59+6284.99+1165.8+1340.79+7151.29+8881.27+16848.74+24455.98+635.59+771.09+1654.64</f>
        <v>85963.599999999991</v>
      </c>
      <c r="J233" s="18">
        <f>6026.87+3402.01+96.1+13464.62</f>
        <v>22989.600000000002</v>
      </c>
      <c r="K233" s="18">
        <f>4871</f>
        <v>4871</v>
      </c>
      <c r="L233" s="19">
        <f>SUM(F233:K233)</f>
        <v>5046162.4799999995</v>
      </c>
      <c r="M233" s="8"/>
      <c r="N233" s="266"/>
    </row>
    <row r="234" spans="1:14" s="3" customFormat="1" ht="12.2" customHeight="1" x14ac:dyDescent="0.15">
      <c r="A234" s="1" t="s">
        <v>439</v>
      </c>
      <c r="B234" s="2" t="s">
        <v>350</v>
      </c>
      <c r="C234" s="2" t="s">
        <v>291</v>
      </c>
      <c r="D234" s="2" t="s">
        <v>431</v>
      </c>
      <c r="E234" s="6">
        <v>1200</v>
      </c>
      <c r="F234" s="18">
        <f>341181.27+292856.44+14632.99</f>
        <v>648670.69999999995</v>
      </c>
      <c r="G234" s="18">
        <f>329609.21</f>
        <v>329609.21000000002</v>
      </c>
      <c r="H234" s="18">
        <f>1987.16+2980.65+177696.97+863916.17+987.45</f>
        <v>1047568.4</v>
      </c>
      <c r="I234" s="18">
        <f>465.22+4479.84+681+2282.88</f>
        <v>7908.9400000000005</v>
      </c>
      <c r="J234" s="18">
        <f>742.95+933.51+3417.44+290.72</f>
        <v>5384.62</v>
      </c>
      <c r="K234" s="18">
        <f>117.47+54240.03</f>
        <v>54357.5</v>
      </c>
      <c r="L234" s="19">
        <f>SUM(F234:K234)</f>
        <v>2093499.37</v>
      </c>
      <c r="M234" s="8"/>
      <c r="N234" s="266"/>
    </row>
    <row r="235" spans="1:14" s="3" customFormat="1" ht="12.2" customHeight="1" x14ac:dyDescent="0.15">
      <c r="A235" s="1" t="s">
        <v>440</v>
      </c>
      <c r="B235" s="2" t="s">
        <v>350</v>
      </c>
      <c r="C235" s="2" t="s">
        <v>292</v>
      </c>
      <c r="D235" s="2" t="s">
        <v>431</v>
      </c>
      <c r="E235" s="6">
        <v>1300</v>
      </c>
      <c r="F235" s="18">
        <v>0</v>
      </c>
      <c r="G235" s="18">
        <v>0</v>
      </c>
      <c r="H235" s="18">
        <v>98903.32</v>
      </c>
      <c r="I235" s="18">
        <v>0</v>
      </c>
      <c r="J235" s="18">
        <v>0</v>
      </c>
      <c r="K235" s="18">
        <v>0</v>
      </c>
      <c r="L235" s="19">
        <f>SUM(F235:K235)</f>
        <v>98903.32</v>
      </c>
      <c r="M235" s="8"/>
      <c r="N235" s="266"/>
    </row>
    <row r="236" spans="1:14" s="3" customFormat="1" ht="12.2" customHeight="1" x14ac:dyDescent="0.15">
      <c r="A236" s="1" t="s">
        <v>441</v>
      </c>
      <c r="B236" s="2" t="s">
        <v>350</v>
      </c>
      <c r="C236" s="2" t="s">
        <v>293</v>
      </c>
      <c r="D236" s="2" t="s">
        <v>431</v>
      </c>
      <c r="E236" s="6">
        <v>1400</v>
      </c>
      <c r="F236" s="18">
        <f>48171.77+78003.36+172203.57+8400</f>
        <v>306778.7</v>
      </c>
      <c r="G236" s="18">
        <f>12167.09+83769.41+2122.17</f>
        <v>98058.67</v>
      </c>
      <c r="H236" s="18">
        <f>3708.93+47918+2788.69+31441.72+612.08+1700+6573-0.02</f>
        <v>94742.399999999994</v>
      </c>
      <c r="I236" s="18">
        <f>11010.22+18009.23</f>
        <v>29019.449999999997</v>
      </c>
      <c r="J236" s="18">
        <f>17561+11936.5</f>
        <v>29497.5</v>
      </c>
      <c r="K236" s="18">
        <f>1494+5000+8191</f>
        <v>14685</v>
      </c>
      <c r="L236" s="19">
        <f>SUM(F236:K236)</f>
        <v>572781.72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266.66+215984.58+47912.73+65311.26+60381.94+60933.7+33535.45</f>
        <v>484326.32</v>
      </c>
      <c r="G238" s="18">
        <f>7695.81+130273.85+31240.12+28578.74+29847.27+19542.55</f>
        <v>247178.33999999997</v>
      </c>
      <c r="H238" s="18">
        <f>11788.34+2417+1782.67+1017.67+69+249+2031.26+1472.96+12216.86</f>
        <v>33044.759999999995</v>
      </c>
      <c r="I238" s="18">
        <f>2422.57+785+275.99+9947.13+2413.4+148.77+267.74+291.98</f>
        <v>16552.579999999998</v>
      </c>
      <c r="J238" s="18">
        <f>365.06+97.09</f>
        <v>462.15</v>
      </c>
      <c r="K238" s="18">
        <f>600+150</f>
        <v>750</v>
      </c>
      <c r="L238" s="19">
        <f t="shared" ref="L238:L244" si="4">SUM(F238:K238)</f>
        <v>782314.14999999991</v>
      </c>
      <c r="M238" s="8"/>
      <c r="N238" s="266"/>
    </row>
    <row r="239" spans="1:14" s="3" customFormat="1" ht="12.2" customHeight="1" x14ac:dyDescent="0.15">
      <c r="A239" s="1" t="s">
        <v>443</v>
      </c>
      <c r="B239" s="2" t="s">
        <v>350</v>
      </c>
      <c r="C239" s="2" t="s">
        <v>295</v>
      </c>
      <c r="D239" s="2" t="s">
        <v>431</v>
      </c>
      <c r="E239" s="6">
        <v>2200</v>
      </c>
      <c r="F239" s="18">
        <f>4012.2+77215.84+20689.69+96673.67</f>
        <v>198591.4</v>
      </c>
      <c r="G239" s="18">
        <f>968.76+48412.33+49417.51</f>
        <v>98798.6</v>
      </c>
      <c r="H239" s="18">
        <f>21882.3+38504.45</f>
        <v>60386.75</v>
      </c>
      <c r="I239" s="18">
        <f>3171.66+4277.16+36311.84</f>
        <v>43760.659999999996</v>
      </c>
      <c r="J239" s="18">
        <f>1917.38+1824.88+93305.82</f>
        <v>97048.08</v>
      </c>
      <c r="K239" s="18">
        <f>720</f>
        <v>720</v>
      </c>
      <c r="L239" s="19">
        <f t="shared" si="4"/>
        <v>499305.49</v>
      </c>
      <c r="M239" s="8"/>
      <c r="N239" s="266"/>
    </row>
    <row r="240" spans="1:14" s="3" customFormat="1" ht="12.2" customHeight="1" x14ac:dyDescent="0.15">
      <c r="A240" s="1" t="s">
        <v>444</v>
      </c>
      <c r="B240" s="2" t="s">
        <v>350</v>
      </c>
      <c r="C240" s="2" t="s">
        <v>296</v>
      </c>
      <c r="D240" s="2" t="s">
        <v>431</v>
      </c>
      <c r="E240" s="6">
        <v>2300</v>
      </c>
      <c r="F240" s="18">
        <f>4166.67+577.38+50+433.33</f>
        <v>5227.38</v>
      </c>
      <c r="G240" s="18">
        <f>362.93+33.15</f>
        <v>396.08</v>
      </c>
      <c r="H240" s="18">
        <f>4910.65+13426.69+241181+0.5</f>
        <v>259518.84</v>
      </c>
      <c r="I240" s="18">
        <f>1286.13</f>
        <v>1286.1300000000001</v>
      </c>
      <c r="J240" s="18">
        <v>0</v>
      </c>
      <c r="K240" s="18">
        <f>8103.88+1824.33</f>
        <v>9928.2099999999991</v>
      </c>
      <c r="L240" s="19">
        <f t="shared" si="4"/>
        <v>276356.64</v>
      </c>
      <c r="M240" s="8"/>
      <c r="N240" s="266"/>
    </row>
    <row r="241" spans="1:14" s="3" customFormat="1" ht="12.2" customHeight="1" x14ac:dyDescent="0.15">
      <c r="A241" s="1" t="s">
        <v>445</v>
      </c>
      <c r="B241" s="2" t="s">
        <v>350</v>
      </c>
      <c r="C241" s="2" t="s">
        <v>297</v>
      </c>
      <c r="D241" s="2" t="s">
        <v>431</v>
      </c>
      <c r="E241" s="6">
        <v>2400</v>
      </c>
      <c r="F241" s="18">
        <f>112039.45+91387.32+110750.66</f>
        <v>314177.43000000005</v>
      </c>
      <c r="G241" s="18">
        <f>145133.35</f>
        <v>145133.35</v>
      </c>
      <c r="H241" s="18">
        <f>532.43+15252.63+5209.85+4115.05+970.27</f>
        <v>26080.23</v>
      </c>
      <c r="I241" s="18">
        <f>1470.74</f>
        <v>1470.74</v>
      </c>
      <c r="J241" s="18">
        <f>1836.96</f>
        <v>1836.96</v>
      </c>
      <c r="K241" s="18">
        <f>1128+11793.63</f>
        <v>12921.63</v>
      </c>
      <c r="L241" s="19">
        <f t="shared" si="4"/>
        <v>501620.34</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f>225260.8+96889.02</f>
        <v>322149.82</v>
      </c>
      <c r="G243" s="18">
        <f>156056.14+65794.24</f>
        <v>221850.38</v>
      </c>
      <c r="H243" s="18">
        <f>371.2+15466.78+9973.99+1498.2+7015.2+29570.44+2473.09+9385.5+47494.71+28677.96+28295.39+5599.91+50764.87+6691.55</f>
        <v>243278.78999999995</v>
      </c>
      <c r="I243" s="18">
        <f>31744.98+60914.2+185164.59+351.43+16337.89</f>
        <v>294513.09000000003</v>
      </c>
      <c r="J243" s="18">
        <f>933.24+2441</f>
        <v>3374.24</v>
      </c>
      <c r="K243" s="18">
        <v>0</v>
      </c>
      <c r="L243" s="19">
        <f t="shared" si="4"/>
        <v>1085166.3199999998</v>
      </c>
      <c r="M243" s="8"/>
      <c r="N243" s="266"/>
    </row>
    <row r="244" spans="1:14" s="3" customFormat="1" ht="12.2" customHeight="1" x14ac:dyDescent="0.15">
      <c r="A244" s="1" t="s">
        <v>448</v>
      </c>
      <c r="B244" s="2" t="s">
        <v>350</v>
      </c>
      <c r="C244" s="2" t="s">
        <v>300</v>
      </c>
      <c r="D244" s="2" t="s">
        <v>431</v>
      </c>
      <c r="E244" s="6">
        <v>2700</v>
      </c>
      <c r="F244" s="18">
        <f>17015+38450.64+21483.33+12825.64+22230.74+8693.07</f>
        <v>120698.42000000001</v>
      </c>
      <c r="G244" s="18">
        <f>1876.59+10839.95+3369.91+1369.88+2360.64+6022.5</f>
        <v>25839.47</v>
      </c>
      <c r="H244" s="18">
        <f>261.86+59130.9+3332.66+23015.73+9756.25</f>
        <v>95497.4</v>
      </c>
      <c r="I244" s="18">
        <f>499.21+14829.99</f>
        <v>15329.199999999999</v>
      </c>
      <c r="J244" s="18">
        <f>7587.47+12943.24</f>
        <v>20530.71</v>
      </c>
      <c r="K244" s="18">
        <f>916.14</f>
        <v>916.14</v>
      </c>
      <c r="L244" s="19">
        <f t="shared" si="4"/>
        <v>278811.34000000003</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5710008.9800000004</v>
      </c>
      <c r="G247" s="41">
        <f t="shared" si="5"/>
        <v>2757228.6300000004</v>
      </c>
      <c r="H247" s="41">
        <f t="shared" si="5"/>
        <v>1991605.83</v>
      </c>
      <c r="I247" s="41">
        <f t="shared" si="5"/>
        <v>495804.39</v>
      </c>
      <c r="J247" s="41">
        <f t="shared" si="5"/>
        <v>181123.86</v>
      </c>
      <c r="K247" s="41">
        <f t="shared" si="5"/>
        <v>99149.48</v>
      </c>
      <c r="L247" s="41">
        <f t="shared" si="5"/>
        <v>11234921.17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14480389.219999999</v>
      </c>
      <c r="G257" s="41">
        <f t="shared" si="8"/>
        <v>7035469.4500000011</v>
      </c>
      <c r="H257" s="41">
        <f t="shared" si="8"/>
        <v>3666716.95</v>
      </c>
      <c r="I257" s="41">
        <f t="shared" si="8"/>
        <v>1114479</v>
      </c>
      <c r="J257" s="41">
        <f t="shared" si="8"/>
        <v>486555.42</v>
      </c>
      <c r="K257" s="41">
        <f t="shared" si="8"/>
        <v>223427.47999999998</v>
      </c>
      <c r="L257" s="41">
        <f t="shared" si="8"/>
        <v>27007037.519999996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200000</v>
      </c>
      <c r="L260" s="19">
        <f>SUM(F260:K260)</f>
        <v>200000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75700</v>
      </c>
      <c r="L261" s="19">
        <f>SUM(F261:K261)</f>
        <v>75700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79072</v>
      </c>
      <c r="L266" s="19">
        <f t="shared" si="9"/>
        <v>79072</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354772</v>
      </c>
      <c r="L270" s="41">
        <f t="shared" si="9"/>
        <v>354772</v>
      </c>
      <c r="N270" s="264"/>
    </row>
    <row r="271" spans="1:14" s="3" customFormat="1" ht="12.2" customHeight="1" thickTop="1" x14ac:dyDescent="0.2">
      <c r="A271" s="43" t="s">
        <v>464</v>
      </c>
      <c r="B271" s="40">
        <v>10</v>
      </c>
      <c r="C271" s="40">
        <v>18</v>
      </c>
      <c r="D271" s="39" t="s">
        <v>431</v>
      </c>
      <c r="E271" s="40"/>
      <c r="F271" s="42">
        <f t="shared" ref="F271:L271" si="11">F257+F270</f>
        <v>14480389.219999999</v>
      </c>
      <c r="G271" s="42">
        <f t="shared" si="11"/>
        <v>7035469.4500000011</v>
      </c>
      <c r="H271" s="42">
        <f t="shared" si="11"/>
        <v>3666716.95</v>
      </c>
      <c r="I271" s="42">
        <f t="shared" si="11"/>
        <v>1114479</v>
      </c>
      <c r="J271" s="42">
        <f t="shared" si="11"/>
        <v>486555.42</v>
      </c>
      <c r="K271" s="42">
        <f t="shared" si="11"/>
        <v>578199.48</v>
      </c>
      <c r="L271" s="42">
        <f t="shared" si="11"/>
        <v>27361809.519999996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0</v>
      </c>
      <c r="G276" s="18">
        <v>0</v>
      </c>
      <c r="H276" s="18">
        <v>0</v>
      </c>
      <c r="I276" s="18">
        <v>0</v>
      </c>
      <c r="J276" s="18">
        <f>649.83</f>
        <v>649.83000000000004</v>
      </c>
      <c r="K276" s="18">
        <v>0</v>
      </c>
      <c r="L276" s="19">
        <f>SUM(F276:K276)</f>
        <v>649.83000000000004</v>
      </c>
      <c r="M276" s="8"/>
      <c r="N276" s="266"/>
    </row>
    <row r="277" spans="1:14" s="3" customFormat="1" ht="12.2" customHeight="1" x14ac:dyDescent="0.15">
      <c r="A277" s="1" t="s">
        <v>439</v>
      </c>
      <c r="B277" s="2" t="s">
        <v>357</v>
      </c>
      <c r="C277" s="2" t="s">
        <v>291</v>
      </c>
      <c r="D277" s="2" t="s">
        <v>431</v>
      </c>
      <c r="E277" s="6">
        <v>1200</v>
      </c>
      <c r="F277" s="18">
        <f>1316.26+726.93+2657.73+45483+19957.67+29981.2+12353+18.02</f>
        <v>112493.81</v>
      </c>
      <c r="G277" s="18">
        <f>-134.28+46.88+55.59+107.87+8210.76</f>
        <v>8286.82</v>
      </c>
      <c r="H277" s="18">
        <f>185+375+165+199+250+335.05+470+165+290+531.82+2834.3+13970</f>
        <v>19770.169999999998</v>
      </c>
      <c r="I277" s="18">
        <f>446.52+80.42+34.06+99.95+150+1418.4+132.51+60+750.56+1961.88</f>
        <v>5134.3000000000011</v>
      </c>
      <c r="J277" s="18">
        <f>401.96</f>
        <v>401.96</v>
      </c>
      <c r="K277" s="18">
        <f>26+155.32+2400.11</f>
        <v>2581.4300000000003</v>
      </c>
      <c r="L277" s="19">
        <f>SUM(F277:K277)</f>
        <v>148668.48999999996</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0</v>
      </c>
      <c r="G279" s="18">
        <v>0</v>
      </c>
      <c r="H279" s="18">
        <f>865.04</f>
        <v>865.04</v>
      </c>
      <c r="I279" s="18">
        <v>0</v>
      </c>
      <c r="J279" s="18">
        <v>0</v>
      </c>
      <c r="K279" s="18">
        <v>0</v>
      </c>
      <c r="L279" s="19">
        <f>SUM(F279:K279)</f>
        <v>865.04</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f>349.27+30</f>
        <v>379.27</v>
      </c>
      <c r="I281" s="18">
        <v>0</v>
      </c>
      <c r="J281" s="18">
        <v>0</v>
      </c>
      <c r="K281" s="18">
        <v>0</v>
      </c>
      <c r="L281" s="19">
        <f t="shared" ref="L281:L287" si="12">SUM(F281:K281)</f>
        <v>379.27</v>
      </c>
      <c r="M281" s="8"/>
      <c r="N281" s="266"/>
    </row>
    <row r="282" spans="1:14" s="3" customFormat="1" ht="12.2" customHeight="1" x14ac:dyDescent="0.15">
      <c r="A282" s="1" t="s">
        <v>443</v>
      </c>
      <c r="B282" s="2" t="s">
        <v>357</v>
      </c>
      <c r="C282" s="2" t="s">
        <v>295</v>
      </c>
      <c r="D282" s="2" t="s">
        <v>431</v>
      </c>
      <c r="E282" s="6">
        <v>2200</v>
      </c>
      <c r="F282" s="18">
        <v>8895.82</v>
      </c>
      <c r="G282" s="18">
        <v>679.77</v>
      </c>
      <c r="H282" s="18">
        <f>666.67+4181.11+1033.33+1808.33</f>
        <v>7689.44</v>
      </c>
      <c r="I282" s="18">
        <v>400</v>
      </c>
      <c r="J282" s="18">
        <v>0</v>
      </c>
      <c r="K282" s="18">
        <f>307.27+141.15+71.54</f>
        <v>519.95999999999992</v>
      </c>
      <c r="L282" s="19">
        <f t="shared" si="12"/>
        <v>18184.989999999998</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121389.63</v>
      </c>
      <c r="G290" s="42">
        <f t="shared" si="13"/>
        <v>8966.59</v>
      </c>
      <c r="H290" s="42">
        <f t="shared" si="13"/>
        <v>28703.919999999998</v>
      </c>
      <c r="I290" s="42">
        <f t="shared" si="13"/>
        <v>5534.3000000000011</v>
      </c>
      <c r="J290" s="42">
        <f t="shared" si="13"/>
        <v>1051.79</v>
      </c>
      <c r="K290" s="42">
        <f t="shared" si="13"/>
        <v>3101.3900000000003</v>
      </c>
      <c r="L290" s="41">
        <f t="shared" si="13"/>
        <v>168747.61999999994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19649.78</f>
        <v>19649.78</v>
      </c>
      <c r="G295" s="18">
        <f>10242+949+1520+3449+48</f>
        <v>16208</v>
      </c>
      <c r="H295" s="18">
        <v>0</v>
      </c>
      <c r="I295" s="18">
        <v>0</v>
      </c>
      <c r="J295" s="18">
        <f>649.83</f>
        <v>649.83000000000004</v>
      </c>
      <c r="K295" s="18">
        <f>770.24+805.81</f>
        <v>1576.05</v>
      </c>
      <c r="L295" s="19">
        <f>SUM(F295:K295)</f>
        <v>38083.660000000003</v>
      </c>
      <c r="M295" s="8"/>
      <c r="N295" s="266"/>
    </row>
    <row r="296" spans="1:14" s="3" customFormat="1" ht="12.2" customHeight="1" x14ac:dyDescent="0.15">
      <c r="A296" s="1" t="s">
        <v>439</v>
      </c>
      <c r="B296" s="2" t="s">
        <v>358</v>
      </c>
      <c r="C296" s="2" t="s">
        <v>291</v>
      </c>
      <c r="D296" s="2" t="s">
        <v>431</v>
      </c>
      <c r="E296" s="6">
        <v>1200</v>
      </c>
      <c r="F296" s="18">
        <f>7946.55+37476.5+19957.67+955.01</f>
        <v>66335.73</v>
      </c>
      <c r="G296" s="18">
        <f>5035.75</f>
        <v>5035.75</v>
      </c>
      <c r="H296" s="18">
        <f>2834.3+13970</f>
        <v>16804.3</v>
      </c>
      <c r="I296" s="18">
        <f>750.56+1961.88</f>
        <v>2712.44</v>
      </c>
      <c r="J296" s="18">
        <f>401.96</f>
        <v>401.96</v>
      </c>
      <c r="K296" s="18">
        <f>155.32+1697.21</f>
        <v>1852.53</v>
      </c>
      <c r="L296" s="19">
        <f>SUM(F296:K296)</f>
        <v>93142.71</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f>11300</f>
        <v>11300</v>
      </c>
      <c r="G298" s="18">
        <v>0</v>
      </c>
      <c r="H298" s="18">
        <f>865.04</f>
        <v>865.04</v>
      </c>
      <c r="I298" s="18">
        <f>1099.79</f>
        <v>1099.79</v>
      </c>
      <c r="J298" s="18">
        <f>6921.9</f>
        <v>6921.9</v>
      </c>
      <c r="K298" s="18">
        <f>2280</f>
        <v>2280</v>
      </c>
      <c r="L298" s="19">
        <f>SUM(F298:K298)</f>
        <v>22466.730000000003</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f>349.27+30</f>
        <v>379.27</v>
      </c>
      <c r="I300" s="18"/>
      <c r="J300" s="18"/>
      <c r="K300" s="18"/>
      <c r="L300" s="19">
        <f t="shared" ref="L300:L306" si="14">SUM(F300:K300)</f>
        <v>379.27</v>
      </c>
      <c r="M300" s="8"/>
      <c r="N300" s="266"/>
    </row>
    <row r="301" spans="1:14" s="3" customFormat="1" ht="12.2" customHeight="1" x14ac:dyDescent="0.15">
      <c r="A301" s="1" t="s">
        <v>443</v>
      </c>
      <c r="B301" s="2" t="s">
        <v>358</v>
      </c>
      <c r="C301" s="2" t="s">
        <v>295</v>
      </c>
      <c r="D301" s="2" t="s">
        <v>431</v>
      </c>
      <c r="E301" s="6">
        <v>2200</v>
      </c>
      <c r="F301" s="18">
        <v>8895.82</v>
      </c>
      <c r="G301" s="18">
        <v>679.77</v>
      </c>
      <c r="H301" s="18">
        <f>666.67+4181.11+1033.33+1808.33</f>
        <v>7689.44</v>
      </c>
      <c r="I301" s="18">
        <v>400</v>
      </c>
      <c r="J301" s="18"/>
      <c r="K301" s="18">
        <f>307.27+141.15+71.54</f>
        <v>519.95999999999992</v>
      </c>
      <c r="L301" s="19">
        <f t="shared" si="14"/>
        <v>18184.989999999998</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106181.32999999999</v>
      </c>
      <c r="G309" s="42">
        <f t="shared" si="15"/>
        <v>21923.52</v>
      </c>
      <c r="H309" s="42">
        <f t="shared" si="15"/>
        <v>25738.05</v>
      </c>
      <c r="I309" s="42">
        <f t="shared" si="15"/>
        <v>4212.2299999999996</v>
      </c>
      <c r="J309" s="42">
        <f t="shared" si="15"/>
        <v>7973.69</v>
      </c>
      <c r="K309" s="42">
        <f t="shared" si="15"/>
        <v>6228.54</v>
      </c>
      <c r="L309" s="41">
        <f t="shared" si="15"/>
        <v>172257.36</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0</v>
      </c>
      <c r="J314" s="18">
        <f>649.83</f>
        <v>649.83000000000004</v>
      </c>
      <c r="K314" s="18">
        <v>0</v>
      </c>
      <c r="L314" s="19">
        <f>SUM(F314:K314)</f>
        <v>649.83000000000004</v>
      </c>
      <c r="M314" s="8"/>
      <c r="N314" s="266"/>
    </row>
    <row r="315" spans="1:14" s="3" customFormat="1" ht="12.2" customHeight="1" x14ac:dyDescent="0.15">
      <c r="A315" s="1" t="s">
        <v>439</v>
      </c>
      <c r="B315" s="2" t="s">
        <v>359</v>
      </c>
      <c r="C315" s="2" t="s">
        <v>291</v>
      </c>
      <c r="D315" s="2" t="s">
        <v>431</v>
      </c>
      <c r="E315" s="6">
        <v>1200</v>
      </c>
      <c r="F315" s="18">
        <f>37476.5+19957.67</f>
        <v>57434.17</v>
      </c>
      <c r="G315" s="18">
        <f>4375.59</f>
        <v>4375.59</v>
      </c>
      <c r="H315" s="18">
        <f>2834.3+13970</f>
        <v>16804.3</v>
      </c>
      <c r="I315" s="18">
        <f>750.56+1961.88</f>
        <v>2712.44</v>
      </c>
      <c r="J315" s="18">
        <f>401.96</f>
        <v>401.96</v>
      </c>
      <c r="K315" s="18">
        <f>155.32+1546.22</f>
        <v>1701.54</v>
      </c>
      <c r="L315" s="19">
        <f>SUM(F315:K315)</f>
        <v>83430</v>
      </c>
      <c r="M315" s="8"/>
      <c r="N315" s="266"/>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6"/>
    </row>
    <row r="317" spans="1:14" s="3" customFormat="1" ht="12.2" customHeight="1" x14ac:dyDescent="0.15">
      <c r="A317" s="1" t="s">
        <v>441</v>
      </c>
      <c r="B317" s="2" t="s">
        <v>359</v>
      </c>
      <c r="C317" s="2" t="s">
        <v>293</v>
      </c>
      <c r="D317" s="2" t="s">
        <v>431</v>
      </c>
      <c r="E317" s="6">
        <v>1400</v>
      </c>
      <c r="F317" s="18">
        <v>0</v>
      </c>
      <c r="G317" s="18">
        <v>0</v>
      </c>
      <c r="H317" s="18">
        <f>865.04</f>
        <v>865.04</v>
      </c>
      <c r="I317" s="18">
        <v>0</v>
      </c>
      <c r="J317" s="18">
        <v>0</v>
      </c>
      <c r="K317" s="18">
        <v>0</v>
      </c>
      <c r="L317" s="19">
        <f>SUM(F317:K317)</f>
        <v>865.04</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f>349.27+30</f>
        <v>379.27</v>
      </c>
      <c r="I319" s="18">
        <v>0</v>
      </c>
      <c r="J319" s="18">
        <v>0</v>
      </c>
      <c r="K319" s="18">
        <v>0</v>
      </c>
      <c r="L319" s="19">
        <f t="shared" ref="L319:L325" si="16">SUM(F319:K319)</f>
        <v>379.27</v>
      </c>
      <c r="M319" s="8"/>
      <c r="N319" s="266"/>
    </row>
    <row r="320" spans="1:14" s="3" customFormat="1" ht="12.2" customHeight="1" x14ac:dyDescent="0.15">
      <c r="A320" s="1" t="s">
        <v>443</v>
      </c>
      <c r="B320" s="2" t="s">
        <v>359</v>
      </c>
      <c r="C320" s="2" t="s">
        <v>295</v>
      </c>
      <c r="D320" s="2" t="s">
        <v>431</v>
      </c>
      <c r="E320" s="6">
        <v>2200</v>
      </c>
      <c r="F320" s="18">
        <v>8895.82</v>
      </c>
      <c r="G320" s="18">
        <v>679.77</v>
      </c>
      <c r="H320" s="18">
        <f>666.67+4181.11+1033.33+1808.33</f>
        <v>7689.44</v>
      </c>
      <c r="I320" s="18">
        <v>400</v>
      </c>
      <c r="J320" s="18">
        <v>0</v>
      </c>
      <c r="K320" s="18">
        <f>307.27+141.15+71.54</f>
        <v>519.95999999999992</v>
      </c>
      <c r="L320" s="19">
        <f t="shared" si="16"/>
        <v>18184.989999999998</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66329.989999999991</v>
      </c>
      <c r="G328" s="42">
        <f t="shared" si="17"/>
        <v>5055.3600000000006</v>
      </c>
      <c r="H328" s="42">
        <f t="shared" si="17"/>
        <v>25738.05</v>
      </c>
      <c r="I328" s="42">
        <f t="shared" si="17"/>
        <v>3112.44</v>
      </c>
      <c r="J328" s="42">
        <f t="shared" si="17"/>
        <v>1051.79</v>
      </c>
      <c r="K328" s="42">
        <f t="shared" si="17"/>
        <v>2221.5</v>
      </c>
      <c r="L328" s="41">
        <f t="shared" si="17"/>
        <v>103509.13</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v>525</v>
      </c>
      <c r="I332" s="18"/>
      <c r="J332" s="18"/>
      <c r="K332" s="18"/>
      <c r="L332" s="19">
        <f t="shared" ref="L332:L337" si="18">SUM(F332:K332)</f>
        <v>525</v>
      </c>
      <c r="M332" s="8"/>
      <c r="N332" s="266"/>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6"/>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6"/>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6"/>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525</v>
      </c>
      <c r="I337" s="41">
        <f t="shared" si="19"/>
        <v>0</v>
      </c>
      <c r="J337" s="41">
        <f t="shared" si="19"/>
        <v>0</v>
      </c>
      <c r="K337" s="41">
        <f t="shared" si="19"/>
        <v>0</v>
      </c>
      <c r="L337" s="41">
        <f t="shared" si="18"/>
        <v>525</v>
      </c>
      <c r="M337" s="8"/>
      <c r="N337" s="266"/>
    </row>
    <row r="338" spans="1:43" s="3" customFormat="1" ht="12.2" customHeight="1" thickTop="1" x14ac:dyDescent="0.15">
      <c r="A338" s="38" t="s">
        <v>468</v>
      </c>
      <c r="B338" s="40">
        <v>14</v>
      </c>
      <c r="C338" s="40">
        <v>7</v>
      </c>
      <c r="D338" s="39" t="s">
        <v>431</v>
      </c>
      <c r="E338" s="40"/>
      <c r="F338" s="41">
        <f t="shared" ref="F338:L338" si="20">F290+F309+F328+F337</f>
        <v>293900.94999999995</v>
      </c>
      <c r="G338" s="41">
        <f t="shared" si="20"/>
        <v>35945.47</v>
      </c>
      <c r="H338" s="41">
        <f t="shared" si="20"/>
        <v>80705.02</v>
      </c>
      <c r="I338" s="41">
        <f t="shared" si="20"/>
        <v>12858.970000000001</v>
      </c>
      <c r="J338" s="41">
        <f t="shared" si="20"/>
        <v>10077.27</v>
      </c>
      <c r="K338" s="41">
        <f t="shared" si="20"/>
        <v>11551.43</v>
      </c>
      <c r="L338" s="41">
        <f t="shared" si="20"/>
        <v>445039.10999999993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293900.94999999995</v>
      </c>
      <c r="G352" s="41">
        <f>G338</f>
        <v>35945.47</v>
      </c>
      <c r="H352" s="41">
        <f>H338</f>
        <v>80705.02</v>
      </c>
      <c r="I352" s="41">
        <f>I338</f>
        <v>12858.970000000001</v>
      </c>
      <c r="J352" s="41">
        <f>J338</f>
        <v>10077.27</v>
      </c>
      <c r="K352" s="47">
        <f>K338+K351</f>
        <v>11551.43</v>
      </c>
      <c r="L352" s="41">
        <f>L338+L351</f>
        <v>445039.10999999993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52034.06</v>
      </c>
      <c r="G358" s="18">
        <v>25794.16</v>
      </c>
      <c r="H358" s="18">
        <v>4510.18</v>
      </c>
      <c r="I358" s="18">
        <v>80221.929999999993</v>
      </c>
      <c r="J358" s="18">
        <v>7007.57</v>
      </c>
      <c r="K358" s="18">
        <v>73.28</v>
      </c>
      <c r="L358" s="13">
        <f>SUM(F358:K358)</f>
        <v>169641.18</v>
      </c>
      <c r="N358" s="264"/>
      <c r="R358" s="3"/>
      <c r="S358" s="3"/>
      <c r="T358" s="3"/>
      <c r="U358" s="3"/>
      <c r="V358" s="3"/>
    </row>
    <row r="359" spans="1:22" s="3" customFormat="1" ht="12.2" customHeight="1" x14ac:dyDescent="0.15">
      <c r="A359" s="1" t="s">
        <v>542</v>
      </c>
      <c r="B359" s="2" t="s">
        <v>366</v>
      </c>
      <c r="C359" s="6">
        <v>2</v>
      </c>
      <c r="D359" s="2" t="s">
        <v>431</v>
      </c>
      <c r="E359" s="6"/>
      <c r="F359" s="18">
        <v>70482.23</v>
      </c>
      <c r="G359" s="18">
        <v>34939.230000000003</v>
      </c>
      <c r="H359" s="18">
        <v>6109.22</v>
      </c>
      <c r="I359" s="18">
        <v>108663.93</v>
      </c>
      <c r="J359" s="18">
        <v>9492.0400000000009</v>
      </c>
      <c r="K359" s="18">
        <v>99.27</v>
      </c>
      <c r="L359" s="19">
        <f>SUM(F359:K359)</f>
        <v>229785.91999999998</v>
      </c>
      <c r="M359" s="8"/>
      <c r="N359" s="266"/>
    </row>
    <row r="360" spans="1:22" s="3" customFormat="1" ht="12.2" customHeight="1" x14ac:dyDescent="0.15">
      <c r="A360" s="3" t="s">
        <v>543</v>
      </c>
      <c r="B360" s="2" t="s">
        <v>366</v>
      </c>
      <c r="C360" s="6">
        <v>3</v>
      </c>
      <c r="D360" s="2" t="s">
        <v>431</v>
      </c>
      <c r="E360" s="6"/>
      <c r="F360" s="18">
        <v>105049.14</v>
      </c>
      <c r="G360" s="18">
        <v>52074.62</v>
      </c>
      <c r="H360" s="18">
        <v>9105.39</v>
      </c>
      <c r="I360" s="18">
        <f>161956.3-0.11</f>
        <v>161956.19</v>
      </c>
      <c r="J360" s="18">
        <v>14147.26</v>
      </c>
      <c r="K360" s="18">
        <v>147.94999999999999</v>
      </c>
      <c r="L360" s="19">
        <f>SUM(F360:K360)</f>
        <v>342480.55000000005</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227565.43</v>
      </c>
      <c r="G362" s="47">
        <f t="shared" si="22"/>
        <v>112808.01000000001</v>
      </c>
      <c r="H362" s="47">
        <f t="shared" si="22"/>
        <v>19724.79</v>
      </c>
      <c r="I362" s="47">
        <f t="shared" si="22"/>
        <v>350842.05</v>
      </c>
      <c r="J362" s="47">
        <f t="shared" si="22"/>
        <v>30646.870000000003</v>
      </c>
      <c r="K362" s="47">
        <f t="shared" si="22"/>
        <v>320.5</v>
      </c>
      <c r="L362" s="47">
        <f t="shared" si="22"/>
        <v>741907.65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I358-F368</f>
        <v>72536.75</v>
      </c>
      <c r="G367" s="18">
        <f>I359-G368</f>
        <v>98254.049999999988</v>
      </c>
      <c r="H367" s="18">
        <f>I360-H368</f>
        <v>146440.95000000001</v>
      </c>
      <c r="I367" s="56">
        <f>SUM(F367:H367)</f>
        <v>317231.75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7685.18</v>
      </c>
      <c r="G368" s="63">
        <v>10409.879999999999</v>
      </c>
      <c r="H368" s="63">
        <v>15515.24</v>
      </c>
      <c r="I368" s="56">
        <f>SUM(F368:H368)</f>
        <v>33610.299999999996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80221.929999999993</v>
      </c>
      <c r="G369" s="47">
        <f>SUM(G367:G368)</f>
        <v>108663.93</v>
      </c>
      <c r="H369" s="47">
        <f>SUM(H367:H368)</f>
        <v>161956.19</v>
      </c>
      <c r="I369" s="47">
        <f>SUM(I367:I368)</f>
        <v>350842.05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6"/>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6"/>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6"/>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6"/>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6"/>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6"/>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v>0</v>
      </c>
      <c r="G387" s="18">
        <v>0</v>
      </c>
      <c r="H387" s="18">
        <v>0</v>
      </c>
      <c r="I387" s="18">
        <v>0</v>
      </c>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v>0</v>
      </c>
      <c r="G388" s="18">
        <v>0</v>
      </c>
      <c r="H388" s="18">
        <v>0</v>
      </c>
      <c r="I388" s="18">
        <v>0</v>
      </c>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v>0</v>
      </c>
      <c r="G389" s="18">
        <f>28000+51072</f>
        <v>79072</v>
      </c>
      <c r="H389" s="18">
        <v>57662.92</v>
      </c>
      <c r="I389" s="18">
        <v>0</v>
      </c>
      <c r="J389" s="24" t="s">
        <v>288</v>
      </c>
      <c r="K389" s="24" t="s">
        <v>288</v>
      </c>
      <c r="L389" s="56">
        <f t="shared" si="25"/>
        <v>136734.91999999998</v>
      </c>
      <c r="M389" s="8"/>
      <c r="N389" s="266"/>
    </row>
    <row r="390" spans="1:14" s="3" customFormat="1" ht="12.2" customHeight="1" x14ac:dyDescent="0.15">
      <c r="A390" s="79" t="s">
        <v>553</v>
      </c>
      <c r="B390" s="2" t="s">
        <v>381</v>
      </c>
      <c r="C390" s="6">
        <v>4</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v>0</v>
      </c>
      <c r="G391" s="18">
        <v>0</v>
      </c>
      <c r="H391" s="18">
        <v>0</v>
      </c>
      <c r="I391" s="18">
        <v>0</v>
      </c>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v>0</v>
      </c>
      <c r="G392" s="18">
        <v>0</v>
      </c>
      <c r="H392" s="18">
        <v>0</v>
      </c>
      <c r="I392" s="18">
        <v>0</v>
      </c>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79072</v>
      </c>
      <c r="H393" s="139">
        <f>SUM(H387:H392)</f>
        <v>57662.92</v>
      </c>
      <c r="I393" s="65">
        <f>SUM(I387:I392)</f>
        <v>0</v>
      </c>
      <c r="J393" s="45" t="s">
        <v>288</v>
      </c>
      <c r="K393" s="45" t="s">
        <v>288</v>
      </c>
      <c r="L393" s="47">
        <f>SUM(L387:L392)</f>
        <v>136734.91999999998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v>0</v>
      </c>
      <c r="G396" s="18">
        <v>0</v>
      </c>
      <c r="H396" s="18">
        <v>0</v>
      </c>
      <c r="I396" s="18">
        <v>0</v>
      </c>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v>0</v>
      </c>
      <c r="G397" s="18">
        <v>0</v>
      </c>
      <c r="H397" s="18">
        <v>0</v>
      </c>
      <c r="I397" s="18">
        <v>0</v>
      </c>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v>0</v>
      </c>
      <c r="G399" s="18">
        <v>0</v>
      </c>
      <c r="H399" s="18">
        <v>0</v>
      </c>
      <c r="I399" s="18">
        <v>0</v>
      </c>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v>0</v>
      </c>
      <c r="G400" s="18">
        <v>0</v>
      </c>
      <c r="H400" s="18">
        <v>0</v>
      </c>
      <c r="I400" s="18">
        <v>0</v>
      </c>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v>0</v>
      </c>
      <c r="G403" s="18">
        <v>0</v>
      </c>
      <c r="H403" s="18">
        <v>0</v>
      </c>
      <c r="I403" s="18">
        <v>0</v>
      </c>
      <c r="J403" s="24" t="s">
        <v>288</v>
      </c>
      <c r="K403" s="24" t="s">
        <v>288</v>
      </c>
      <c r="L403" s="56">
        <f>SUM(F403:K403)</f>
        <v>0</v>
      </c>
      <c r="M403" s="8"/>
      <c r="N403" s="266"/>
    </row>
    <row r="404" spans="1:21" s="3" customFormat="1" ht="12.2" customHeight="1" x14ac:dyDescent="0.15">
      <c r="A404" s="110"/>
      <c r="B404" s="2" t="s">
        <v>381</v>
      </c>
      <c r="C404" s="6">
        <v>16</v>
      </c>
      <c r="D404" s="2" t="s">
        <v>432</v>
      </c>
      <c r="E404" s="6"/>
      <c r="F404" s="18">
        <v>0</v>
      </c>
      <c r="G404" s="18">
        <v>0</v>
      </c>
      <c r="H404" s="18">
        <v>0</v>
      </c>
      <c r="I404" s="18">
        <v>0</v>
      </c>
      <c r="J404" s="24" t="s">
        <v>288</v>
      </c>
      <c r="K404" s="24" t="s">
        <v>288</v>
      </c>
      <c r="L404" s="56">
        <f>SUM(F404:K404)</f>
        <v>0</v>
      </c>
      <c r="M404" s="8"/>
      <c r="N404" s="266"/>
    </row>
    <row r="405" spans="1:21" s="3" customFormat="1" ht="12.2" customHeight="1" x14ac:dyDescent="0.15">
      <c r="A405" s="110"/>
      <c r="B405" s="2" t="s">
        <v>381</v>
      </c>
      <c r="C405" s="6">
        <v>17</v>
      </c>
      <c r="D405" s="2" t="s">
        <v>432</v>
      </c>
      <c r="E405" s="6"/>
      <c r="F405" s="18">
        <v>0</v>
      </c>
      <c r="G405" s="18">
        <v>0</v>
      </c>
      <c r="H405" s="18">
        <v>0</v>
      </c>
      <c r="I405" s="18">
        <v>0</v>
      </c>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v>0</v>
      </c>
      <c r="G406" s="18">
        <v>0</v>
      </c>
      <c r="H406" s="18">
        <v>0</v>
      </c>
      <c r="I406" s="18">
        <v>0</v>
      </c>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79072</v>
      </c>
      <c r="H408" s="47">
        <f>H393+H401+H407</f>
        <v>57662.92</v>
      </c>
      <c r="I408" s="47">
        <f>I393+I401+I407</f>
        <v>0</v>
      </c>
      <c r="J408" s="24" t="s">
        <v>288</v>
      </c>
      <c r="K408" s="24" t="s">
        <v>288</v>
      </c>
      <c r="L408" s="47">
        <f>L393+L401+L407</f>
        <v>136734.91999999998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v>0</v>
      </c>
      <c r="G413" s="18">
        <v>0</v>
      </c>
      <c r="H413" s="18">
        <v>0</v>
      </c>
      <c r="I413" s="18">
        <v>0</v>
      </c>
      <c r="J413" s="18">
        <v>0</v>
      </c>
      <c r="K413" s="18">
        <v>0</v>
      </c>
      <c r="L413" s="56">
        <f t="shared" ref="L413:L418" si="27">SUM(F413:K413)</f>
        <v>0</v>
      </c>
      <c r="M413" s="8"/>
      <c r="N413" s="266"/>
    </row>
    <row r="414" spans="1:21" s="12" customFormat="1" ht="12.2" customHeight="1" thickBot="1" x14ac:dyDescent="0.25">
      <c r="A414" s="79" t="s">
        <v>551</v>
      </c>
      <c r="B414" s="6">
        <v>17</v>
      </c>
      <c r="C414" s="6">
        <v>2</v>
      </c>
      <c r="D414" s="2" t="s">
        <v>432</v>
      </c>
      <c r="E414" s="6"/>
      <c r="F414" s="18">
        <v>0</v>
      </c>
      <c r="G414" s="18">
        <v>0</v>
      </c>
      <c r="H414" s="18">
        <v>0</v>
      </c>
      <c r="I414" s="18">
        <v>0</v>
      </c>
      <c r="J414" s="18">
        <v>0</v>
      </c>
      <c r="K414" s="18">
        <v>0</v>
      </c>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554</v>
      </c>
      <c r="B417" s="6">
        <v>17</v>
      </c>
      <c r="C417" s="6">
        <v>5</v>
      </c>
      <c r="D417" s="2" t="s">
        <v>432</v>
      </c>
      <c r="E417" s="6"/>
      <c r="F417" s="18">
        <v>0</v>
      </c>
      <c r="G417" s="18">
        <v>0</v>
      </c>
      <c r="H417" s="18">
        <v>0</v>
      </c>
      <c r="I417" s="18">
        <v>0</v>
      </c>
      <c r="J417" s="18">
        <v>0</v>
      </c>
      <c r="K417" s="18">
        <v>0</v>
      </c>
      <c r="L417" s="56">
        <f t="shared" si="27"/>
        <v>0</v>
      </c>
      <c r="M417" s="8"/>
      <c r="N417" s="266"/>
    </row>
    <row r="418" spans="1:21" s="3" customFormat="1" ht="12.2" customHeight="1" thickBot="1" x14ac:dyDescent="0.2">
      <c r="A418" s="79" t="s">
        <v>555</v>
      </c>
      <c r="B418" s="6">
        <v>17</v>
      </c>
      <c r="C418" s="6">
        <v>6</v>
      </c>
      <c r="D418" s="2" t="s">
        <v>432</v>
      </c>
      <c r="E418" s="6"/>
      <c r="F418" s="18">
        <v>0</v>
      </c>
      <c r="G418" s="18">
        <v>0</v>
      </c>
      <c r="H418" s="18">
        <v>0</v>
      </c>
      <c r="I418" s="18">
        <v>0</v>
      </c>
      <c r="J418" s="18">
        <v>0</v>
      </c>
      <c r="K418" s="18">
        <v>0</v>
      </c>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v>0</v>
      </c>
      <c r="G421" s="18">
        <v>0</v>
      </c>
      <c r="H421" s="18">
        <v>0</v>
      </c>
      <c r="I421" s="18">
        <v>0</v>
      </c>
      <c r="J421" s="18">
        <v>0</v>
      </c>
      <c r="K421" s="18">
        <v>0</v>
      </c>
      <c r="L421" s="56">
        <f t="shared" ref="L421:L426" si="29">SUM(F421:K421)</f>
        <v>0</v>
      </c>
      <c r="M421" s="8"/>
      <c r="N421" s="266"/>
    </row>
    <row r="422" spans="1:21" s="3" customFormat="1" ht="12.2" customHeight="1" x14ac:dyDescent="0.15">
      <c r="A422" s="79" t="s">
        <v>557</v>
      </c>
      <c r="B422" s="6">
        <v>17</v>
      </c>
      <c r="C422" s="6">
        <v>9</v>
      </c>
      <c r="D422" s="2" t="s">
        <v>432</v>
      </c>
      <c r="E422" s="6"/>
      <c r="F422" s="18">
        <v>0</v>
      </c>
      <c r="G422" s="18">
        <v>0</v>
      </c>
      <c r="H422" s="18">
        <v>0</v>
      </c>
      <c r="I422" s="18">
        <v>0</v>
      </c>
      <c r="J422" s="18">
        <v>0</v>
      </c>
      <c r="K422" s="18">
        <v>42950</v>
      </c>
      <c r="L422" s="56">
        <f t="shared" si="29"/>
        <v>42950</v>
      </c>
      <c r="M422" s="8"/>
      <c r="N422" s="266"/>
    </row>
    <row r="423" spans="1:21" s="3" customFormat="1" ht="12.2" customHeight="1" x14ac:dyDescent="0.15">
      <c r="A423" s="79" t="s">
        <v>515</v>
      </c>
      <c r="B423" s="6">
        <v>17</v>
      </c>
      <c r="C423" s="6">
        <v>10</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558</v>
      </c>
      <c r="B424" s="6">
        <v>17</v>
      </c>
      <c r="C424" s="6">
        <v>11</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559</v>
      </c>
      <c r="B425" s="6">
        <v>17</v>
      </c>
      <c r="C425" s="6">
        <v>12</v>
      </c>
      <c r="D425" s="2" t="s">
        <v>432</v>
      </c>
      <c r="E425" s="6"/>
      <c r="F425" s="18">
        <v>0</v>
      </c>
      <c r="G425" s="18">
        <v>0</v>
      </c>
      <c r="H425" s="18">
        <v>0</v>
      </c>
      <c r="I425" s="18">
        <v>0</v>
      </c>
      <c r="J425" s="18">
        <v>0</v>
      </c>
      <c r="K425" s="18">
        <v>0</v>
      </c>
      <c r="L425" s="56">
        <f t="shared" si="29"/>
        <v>0</v>
      </c>
      <c r="M425" s="8"/>
      <c r="N425" s="266"/>
    </row>
    <row r="426" spans="1:21" s="3" customFormat="1" ht="12.2" customHeight="1" thickBot="1" x14ac:dyDescent="0.2">
      <c r="A426" s="79" t="s">
        <v>510</v>
      </c>
      <c r="B426" s="6">
        <v>17</v>
      </c>
      <c r="C426" s="6">
        <v>13</v>
      </c>
      <c r="D426" s="2" t="s">
        <v>432</v>
      </c>
      <c r="E426" s="6"/>
      <c r="F426" s="18">
        <v>0</v>
      </c>
      <c r="G426" s="18">
        <v>0</v>
      </c>
      <c r="H426" s="18">
        <v>0</v>
      </c>
      <c r="I426" s="18">
        <v>0</v>
      </c>
      <c r="J426" s="18">
        <v>0</v>
      </c>
      <c r="K426" s="18">
        <v>0</v>
      </c>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42950</v>
      </c>
      <c r="L427" s="47">
        <f t="shared" si="30"/>
        <v>42950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v>0</v>
      </c>
      <c r="G429" s="18">
        <v>0</v>
      </c>
      <c r="H429" s="18">
        <v>0</v>
      </c>
      <c r="I429" s="18">
        <v>0</v>
      </c>
      <c r="J429" s="18">
        <v>0</v>
      </c>
      <c r="K429" s="18">
        <v>0</v>
      </c>
      <c r="L429" s="56">
        <f>SUM(F429:K429)</f>
        <v>0</v>
      </c>
      <c r="M429" s="68"/>
      <c r="N429" s="227"/>
    </row>
    <row r="430" spans="1:21" s="58" customFormat="1" ht="12.2" customHeight="1" x14ac:dyDescent="0.15">
      <c r="A430" s="110"/>
      <c r="B430" s="6">
        <v>17</v>
      </c>
      <c r="C430" s="6">
        <v>16</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17</v>
      </c>
      <c r="D431" s="2" t="s">
        <v>432</v>
      </c>
      <c r="E431" s="6"/>
      <c r="F431" s="18">
        <v>0</v>
      </c>
      <c r="G431" s="18">
        <v>0</v>
      </c>
      <c r="H431" s="18">
        <v>0</v>
      </c>
      <c r="I431" s="18">
        <v>0</v>
      </c>
      <c r="J431" s="18">
        <v>0</v>
      </c>
      <c r="K431" s="18">
        <v>0</v>
      </c>
      <c r="L431" s="56">
        <f>SUM(F431:K431)</f>
        <v>0</v>
      </c>
      <c r="N431" s="264"/>
    </row>
    <row r="432" spans="1:21" s="3" customFormat="1" ht="12.2" customHeight="1" thickBot="1" x14ac:dyDescent="0.2">
      <c r="A432" s="110"/>
      <c r="B432" s="6">
        <v>17</v>
      </c>
      <c r="C432" s="6">
        <v>18</v>
      </c>
      <c r="D432" s="2" t="s">
        <v>432</v>
      </c>
      <c r="E432" s="6"/>
      <c r="F432" s="18">
        <v>0</v>
      </c>
      <c r="G432" s="18">
        <v>0</v>
      </c>
      <c r="H432" s="18">
        <v>0</v>
      </c>
      <c r="I432" s="18">
        <v>0</v>
      </c>
      <c r="J432" s="18">
        <v>0</v>
      </c>
      <c r="K432" s="18">
        <v>0</v>
      </c>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42950</v>
      </c>
      <c r="L434" s="47">
        <f t="shared" si="32"/>
        <v>42950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0</v>
      </c>
      <c r="G439" s="18">
        <v>0</v>
      </c>
      <c r="H439" s="18">
        <v>0</v>
      </c>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f>168758.76+106610.32+699048.25+530539.99+8814.92+73358.18</f>
        <v>1587130.42</v>
      </c>
      <c r="G440" s="18">
        <f>378512.11</f>
        <v>378512.11</v>
      </c>
      <c r="H440" s="18">
        <v>0</v>
      </c>
      <c r="I440" s="56">
        <f t="shared" si="33"/>
        <v>1965642.5299999998</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0</v>
      </c>
      <c r="G442" s="18">
        <v>0</v>
      </c>
      <c r="H442" s="18">
        <v>0</v>
      </c>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v>0</v>
      </c>
      <c r="G443" s="18">
        <v>0</v>
      </c>
      <c r="H443" s="18">
        <v>0</v>
      </c>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v>0</v>
      </c>
      <c r="G445" s="18">
        <v>0</v>
      </c>
      <c r="H445" s="18">
        <v>0</v>
      </c>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1587130.42</v>
      </c>
      <c r="G446" s="13">
        <f>SUM(G439:G445)</f>
        <v>378512.11</v>
      </c>
      <c r="H446" s="13">
        <f>SUM(H439:H445)</f>
        <v>0</v>
      </c>
      <c r="I446" s="13">
        <f>SUM(I439:I445)</f>
        <v>1965642.5299999998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0</v>
      </c>
      <c r="G448" s="18">
        <v>0</v>
      </c>
      <c r="H448" s="18">
        <v>0</v>
      </c>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0</v>
      </c>
      <c r="G449" s="18">
        <v>0</v>
      </c>
      <c r="H449" s="18">
        <v>0</v>
      </c>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v>0</v>
      </c>
      <c r="G450" s="18">
        <v>0</v>
      </c>
      <c r="H450" s="18">
        <v>0</v>
      </c>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v>0</v>
      </c>
      <c r="G451" s="18">
        <v>0</v>
      </c>
      <c r="H451" s="18">
        <v>0</v>
      </c>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1587130.42</v>
      </c>
      <c r="G459" s="18">
        <v>378512.11</v>
      </c>
      <c r="H459" s="18">
        <v>0</v>
      </c>
      <c r="I459" s="56">
        <f t="shared" si="34"/>
        <v>1965642.5299999998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1587130.42</v>
      </c>
      <c r="G460" s="83">
        <f>SUM(G454:G459)</f>
        <v>378512.11</v>
      </c>
      <c r="H460" s="83">
        <f>SUM(H454:H459)</f>
        <v>0</v>
      </c>
      <c r="I460" s="83">
        <f>SUM(I454:I459)</f>
        <v>1965642.5299999998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1587130.42</v>
      </c>
      <c r="G461" s="42">
        <f>G452+G460</f>
        <v>378512.11</v>
      </c>
      <c r="H461" s="42">
        <f>H452+H460</f>
        <v>0</v>
      </c>
      <c r="I461" s="42">
        <f>I452+I460</f>
        <v>1965642.5299999998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913202.75-0.1</f>
        <v>913202.65</v>
      </c>
      <c r="G465" s="18">
        <v>240800.54</v>
      </c>
      <c r="H465" s="18">
        <v>0</v>
      </c>
      <c r="I465" s="18">
        <v>0</v>
      </c>
      <c r="J465" s="18">
        <v>1871857.61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26912777.209999997</v>
      </c>
      <c r="G468" s="18">
        <f>G193</f>
        <v>758431.48999999987</v>
      </c>
      <c r="H468" s="18">
        <f>H193</f>
        <v>445039.11000000004</v>
      </c>
      <c r="I468" s="18">
        <v>0</v>
      </c>
      <c r="J468" s="18">
        <f>L408</f>
        <v>136734.91999999998</v>
      </c>
      <c r="K468" s="24" t="s">
        <v>288</v>
      </c>
      <c r="L468" s="24" t="s">
        <v>288</v>
      </c>
      <c r="N468" s="265"/>
    </row>
    <row r="469" spans="1:14" s="52" customFormat="1" ht="12.2" customHeight="1" x14ac:dyDescent="0.2">
      <c r="A469" s="93" t="s">
        <v>611</v>
      </c>
      <c r="B469" s="75">
        <v>19</v>
      </c>
      <c r="C469" s="80">
        <v>3</v>
      </c>
      <c r="D469" s="2" t="s">
        <v>432</v>
      </c>
      <c r="E469" s="80"/>
      <c r="F469" s="18">
        <v>0</v>
      </c>
      <c r="G469" s="18">
        <v>0</v>
      </c>
      <c r="H469" s="18">
        <v>0</v>
      </c>
      <c r="I469" s="18">
        <v>0</v>
      </c>
      <c r="J469" s="18">
        <v>0</v>
      </c>
      <c r="K469" s="24" t="s">
        <v>288</v>
      </c>
      <c r="L469" s="24" t="s">
        <v>288</v>
      </c>
      <c r="N469" s="265"/>
    </row>
    <row r="470" spans="1:14" s="52" customFormat="1" ht="12.2" customHeight="1" x14ac:dyDescent="0.2">
      <c r="A470" s="92" t="s">
        <v>425</v>
      </c>
      <c r="B470" s="75">
        <v>19</v>
      </c>
      <c r="C470" s="80">
        <v>4</v>
      </c>
      <c r="D470" s="2" t="s">
        <v>432</v>
      </c>
      <c r="E470" s="80"/>
      <c r="F470" s="53">
        <f>SUM(F468:F469)</f>
        <v>26912777.209999997</v>
      </c>
      <c r="G470" s="53">
        <f>SUM(G468:G469)</f>
        <v>758431.48999999987</v>
      </c>
      <c r="H470" s="53">
        <f>SUM(H468:H469)</f>
        <v>445039.11000000004</v>
      </c>
      <c r="I470" s="53">
        <f>SUM(I468:I469)</f>
        <v>0</v>
      </c>
      <c r="J470" s="53">
        <f>SUM(J468:J469)</f>
        <v>136734.91999999998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27361809.519999996</v>
      </c>
      <c r="G472" s="18">
        <f>L362</f>
        <v>741907.65</v>
      </c>
      <c r="H472" s="18">
        <f>L352</f>
        <v>445039.10999999993</v>
      </c>
      <c r="I472" s="18">
        <v>0</v>
      </c>
      <c r="J472" s="18">
        <f>L434</f>
        <v>42950</v>
      </c>
      <c r="K472" s="24" t="s">
        <v>288</v>
      </c>
      <c r="L472" s="24" t="s">
        <v>288</v>
      </c>
      <c r="N472" s="265"/>
    </row>
    <row r="473" spans="1:14" s="52" customFormat="1" ht="12.2" customHeight="1" x14ac:dyDescent="0.2">
      <c r="A473" s="93" t="s">
        <v>613</v>
      </c>
      <c r="B473" s="75">
        <v>19</v>
      </c>
      <c r="C473" s="80">
        <v>6</v>
      </c>
      <c r="D473" s="2" t="s">
        <v>432</v>
      </c>
      <c r="E473" s="80"/>
      <c r="F473" s="18">
        <v>0</v>
      </c>
      <c r="G473" s="18">
        <v>0</v>
      </c>
      <c r="H473" s="18">
        <v>0</v>
      </c>
      <c r="I473" s="18">
        <v>0</v>
      </c>
      <c r="J473" s="18">
        <v>0</v>
      </c>
      <c r="K473" s="24" t="s">
        <v>288</v>
      </c>
      <c r="L473" s="24" t="s">
        <v>288</v>
      </c>
      <c r="N473" s="265"/>
    </row>
    <row r="474" spans="1:14" s="52" customFormat="1" ht="12.2" customHeight="1" x14ac:dyDescent="0.2">
      <c r="A474" s="92" t="s">
        <v>426</v>
      </c>
      <c r="B474" s="75">
        <v>19</v>
      </c>
      <c r="C474" s="80">
        <v>7</v>
      </c>
      <c r="D474" s="2" t="s">
        <v>432</v>
      </c>
      <c r="E474" s="80"/>
      <c r="F474" s="53">
        <f>SUM(F472:F473)</f>
        <v>27361809.519999996</v>
      </c>
      <c r="G474" s="53">
        <f>SUM(G472:G473)</f>
        <v>741907.65</v>
      </c>
      <c r="H474" s="53">
        <f>SUM(H472:H473)</f>
        <v>445039.10999999993</v>
      </c>
      <c r="I474" s="53">
        <f>SUM(I472:I473)</f>
        <v>0</v>
      </c>
      <c r="J474" s="53">
        <f>SUM(J472:J473)</f>
        <v>42950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464170.33999999985</v>
      </c>
      <c r="G476" s="53">
        <f>(G465+G470)- G474</f>
        <v>257324.37999999989</v>
      </c>
      <c r="H476" s="53">
        <f>(H465+H470)- H474</f>
        <v>0</v>
      </c>
      <c r="I476" s="53">
        <f>(I465+I470)- I474</f>
        <v>0</v>
      </c>
      <c r="J476" s="53">
        <f>(J465+J470)- J474</f>
        <v>1965642.53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4027000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4.4000000000000004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1800000</v>
      </c>
      <c r="G495" s="18"/>
      <c r="H495" s="18"/>
      <c r="I495" s="18"/>
      <c r="J495" s="18"/>
      <c r="K495" s="53">
        <f>SUM(F495:J495)</f>
        <v>1800000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200000</v>
      </c>
      <c r="G497" s="18"/>
      <c r="H497" s="18"/>
      <c r="I497" s="18"/>
      <c r="J497" s="18"/>
      <c r="K497" s="53">
        <f t="shared" si="35"/>
        <v>200000</v>
      </c>
      <c r="L497" s="24" t="s">
        <v>288</v>
      </c>
      <c r="N497" s="265"/>
    </row>
    <row r="498" spans="1:14" s="52" customFormat="1" ht="12.2" customHeight="1" x14ac:dyDescent="0.2">
      <c r="A498" s="200" t="s">
        <v>622</v>
      </c>
      <c r="B498" s="201">
        <v>20</v>
      </c>
      <c r="C498" s="202">
        <v>9</v>
      </c>
      <c r="D498" s="203" t="s">
        <v>432</v>
      </c>
      <c r="E498" s="202"/>
      <c r="F498" s="204">
        <v>1600000</v>
      </c>
      <c r="G498" s="204"/>
      <c r="H498" s="204"/>
      <c r="I498" s="204"/>
      <c r="J498" s="204"/>
      <c r="K498" s="205">
        <f t="shared" si="35"/>
        <v>1600000</v>
      </c>
      <c r="L498" s="206" t="s">
        <v>288</v>
      </c>
      <c r="N498" s="265"/>
    </row>
    <row r="499" spans="1:14" s="52" customFormat="1" ht="12.2" customHeight="1" thickBot="1" x14ac:dyDescent="0.25">
      <c r="A499" s="22" t="s">
        <v>623</v>
      </c>
      <c r="B499" s="75">
        <v>20</v>
      </c>
      <c r="C499" s="115">
        <v>10</v>
      </c>
      <c r="D499" s="2" t="s">
        <v>432</v>
      </c>
      <c r="E499" s="115"/>
      <c r="F499" s="18">
        <v>598761</v>
      </c>
      <c r="G499" s="18"/>
      <c r="H499" s="18"/>
      <c r="I499" s="18"/>
      <c r="J499" s="18"/>
      <c r="K499" s="53">
        <f t="shared" si="35"/>
        <v>598761</v>
      </c>
      <c r="L499" s="24" t="s">
        <v>288</v>
      </c>
      <c r="N499" s="265"/>
    </row>
    <row r="500" spans="1:14" s="52" customFormat="1" ht="12.2" customHeight="1" thickTop="1" x14ac:dyDescent="0.2">
      <c r="A500" s="139" t="s">
        <v>624</v>
      </c>
      <c r="B500" s="44">
        <v>20</v>
      </c>
      <c r="C500" s="195">
        <v>11</v>
      </c>
      <c r="D500" s="39" t="s">
        <v>432</v>
      </c>
      <c r="E500" s="195"/>
      <c r="F500" s="42">
        <f>SUM(F498:F499)</f>
        <v>2198761</v>
      </c>
      <c r="G500" s="42">
        <f>SUM(G498:G499)</f>
        <v>0</v>
      </c>
      <c r="H500" s="42">
        <f>SUM(H498:H499)</f>
        <v>0</v>
      </c>
      <c r="I500" s="42">
        <f>SUM(I498:I499)</f>
        <v>0</v>
      </c>
      <c r="J500" s="42">
        <f>SUM(J498:J499)</f>
        <v>0</v>
      </c>
      <c r="K500" s="42">
        <f t="shared" si="35"/>
        <v>2198761</v>
      </c>
      <c r="L500" s="45" t="s">
        <v>288</v>
      </c>
      <c r="N500" s="265"/>
    </row>
    <row r="501" spans="1:14" s="52" customFormat="1" ht="12.2" customHeight="1" x14ac:dyDescent="0.2">
      <c r="A501" s="200" t="s">
        <v>651</v>
      </c>
      <c r="B501" s="201">
        <v>20</v>
      </c>
      <c r="C501" s="202">
        <v>12</v>
      </c>
      <c r="D501" s="203" t="s">
        <v>432</v>
      </c>
      <c r="E501" s="202"/>
      <c r="F501" s="204">
        <v>200000</v>
      </c>
      <c r="G501" s="204"/>
      <c r="H501" s="204"/>
      <c r="I501" s="204"/>
      <c r="J501" s="204"/>
      <c r="K501" s="205">
        <f t="shared" si="35"/>
        <v>200000</v>
      </c>
      <c r="L501" s="206" t="s">
        <v>288</v>
      </c>
      <c r="N501" s="265"/>
    </row>
    <row r="502" spans="1:14" s="52" customFormat="1" ht="12.2" customHeight="1" thickBot="1" x14ac:dyDescent="0.25">
      <c r="A502" s="22" t="s">
        <v>625</v>
      </c>
      <c r="B502" s="75">
        <v>20</v>
      </c>
      <c r="C502" s="115">
        <v>13</v>
      </c>
      <c r="D502" s="2" t="s">
        <v>432</v>
      </c>
      <c r="E502" s="115"/>
      <c r="F502" s="18">
        <v>67000</v>
      </c>
      <c r="G502" s="18"/>
      <c r="H502" s="18"/>
      <c r="I502" s="18"/>
      <c r="J502" s="18"/>
      <c r="K502" s="53">
        <f t="shared" si="35"/>
        <v>67000</v>
      </c>
      <c r="L502" s="24" t="s">
        <v>288</v>
      </c>
      <c r="N502" s="265"/>
    </row>
    <row r="503" spans="1:14" s="52" customFormat="1" ht="12.2" customHeight="1" thickTop="1" x14ac:dyDescent="0.2">
      <c r="A503" s="139" t="s">
        <v>626</v>
      </c>
      <c r="B503" s="44">
        <v>20</v>
      </c>
      <c r="C503" s="195">
        <v>14</v>
      </c>
      <c r="D503" s="39" t="s">
        <v>432</v>
      </c>
      <c r="E503" s="195"/>
      <c r="F503" s="42">
        <f>SUM(F501:F502)</f>
        <v>267000</v>
      </c>
      <c r="G503" s="42">
        <f>SUM(G501:G502)</f>
        <v>0</v>
      </c>
      <c r="H503" s="42">
        <f>SUM(H501:H502)</f>
        <v>0</v>
      </c>
      <c r="I503" s="42">
        <f>SUM(I501:I502)</f>
        <v>0</v>
      </c>
      <c r="J503" s="42">
        <f>SUM(J501:J502)</f>
        <v>0</v>
      </c>
      <c r="K503" s="42">
        <f t="shared" si="35"/>
        <v>267000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F198+F277-F557-F562-F567</f>
        <v>902474.99999999988</v>
      </c>
      <c r="G521" s="18">
        <f t="shared" ref="G521:K521" si="36">G198+G277-G557-G562-G567</f>
        <v>411883.69</v>
      </c>
      <c r="H521" s="18">
        <f t="shared" si="36"/>
        <v>195760.08000000002</v>
      </c>
      <c r="I521" s="18">
        <f t="shared" si="36"/>
        <v>6958.07</v>
      </c>
      <c r="J521" s="18">
        <f t="shared" si="36"/>
        <v>3928.46</v>
      </c>
      <c r="K521" s="18">
        <f t="shared" si="36"/>
        <v>45533.689999999995</v>
      </c>
      <c r="L521" s="88">
        <f>SUM(F521:K521)</f>
        <v>1566538.99</v>
      </c>
      <c r="N521" s="265"/>
    </row>
    <row r="522" spans="1:14" s="52" customFormat="1" ht="12.2" customHeight="1" x14ac:dyDescent="0.2">
      <c r="A522" s="22" t="s">
        <v>634</v>
      </c>
      <c r="B522" s="105">
        <v>21</v>
      </c>
      <c r="C522" s="115">
        <v>2</v>
      </c>
      <c r="D522" s="2" t="s">
        <v>432</v>
      </c>
      <c r="E522" s="115"/>
      <c r="F522" s="18">
        <f>F216+F296-F558-F563-F568</f>
        <v>924210.28</v>
      </c>
      <c r="G522" s="18">
        <f t="shared" ref="G522:K522" si="37">G216+G296-G558-G563-G568</f>
        <v>440947.77</v>
      </c>
      <c r="H522" s="18">
        <f t="shared" si="37"/>
        <v>310752.99999999994</v>
      </c>
      <c r="I522" s="18">
        <f t="shared" si="37"/>
        <v>11526.89</v>
      </c>
      <c r="J522" s="18">
        <f t="shared" si="37"/>
        <v>8619.0899999999983</v>
      </c>
      <c r="K522" s="18">
        <f t="shared" si="37"/>
        <v>43334.43</v>
      </c>
      <c r="L522" s="88">
        <f>SUM(F522:K522)</f>
        <v>1739391.46</v>
      </c>
      <c r="N522" s="265"/>
    </row>
    <row r="523" spans="1:14" s="52" customFormat="1" ht="12.2" customHeight="1" thickBot="1" x14ac:dyDescent="0.25">
      <c r="A523" s="22" t="s">
        <v>635</v>
      </c>
      <c r="B523" s="105">
        <v>21</v>
      </c>
      <c r="C523" s="115">
        <v>3</v>
      </c>
      <c r="D523" s="2" t="s">
        <v>432</v>
      </c>
      <c r="E523" s="115"/>
      <c r="F523" s="18">
        <f>F234+F315-F559-F564-F569</f>
        <v>706104.87</v>
      </c>
      <c r="G523" s="18">
        <f t="shared" ref="G523:K523" si="38">G234+G315-G559-G564-G569</f>
        <v>333984.80000000005</v>
      </c>
      <c r="H523" s="18">
        <f t="shared" si="38"/>
        <v>1064372.7</v>
      </c>
      <c r="I523" s="18">
        <f t="shared" si="38"/>
        <v>10621.380000000001</v>
      </c>
      <c r="J523" s="18">
        <f t="shared" si="38"/>
        <v>5786.58</v>
      </c>
      <c r="K523" s="18">
        <f t="shared" si="38"/>
        <v>56059.040000000001</v>
      </c>
      <c r="L523" s="88">
        <f>SUM(F523:K523)</f>
        <v>2176929.37</v>
      </c>
      <c r="N523" s="265"/>
    </row>
    <row r="524" spans="1:14" s="52" customFormat="1" ht="12.2" customHeight="1" thickTop="1" x14ac:dyDescent="0.2">
      <c r="A524" s="139" t="s">
        <v>63</v>
      </c>
      <c r="B524" s="107">
        <v>21</v>
      </c>
      <c r="C524" s="195">
        <v>4</v>
      </c>
      <c r="D524" s="196" t="s">
        <v>432</v>
      </c>
      <c r="E524" s="195"/>
      <c r="F524" s="108">
        <f>SUM(F521:F523)</f>
        <v>2532790.15</v>
      </c>
      <c r="G524" s="108">
        <f t="shared" ref="G524:L524" si="39">SUM(G521:G523)</f>
        <v>1186816.26</v>
      </c>
      <c r="H524" s="108">
        <f t="shared" si="39"/>
        <v>1570885.7799999998</v>
      </c>
      <c r="I524" s="108">
        <f t="shared" si="39"/>
        <v>29106.34</v>
      </c>
      <c r="J524" s="108">
        <f t="shared" si="39"/>
        <v>18334.129999999997</v>
      </c>
      <c r="K524" s="108">
        <f t="shared" si="39"/>
        <v>144927.16</v>
      </c>
      <c r="L524" s="89">
        <f t="shared" si="39"/>
        <v>5482859.8200000003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266.67+60381.94+213817.53+73412.2+134141.81</f>
        <v>482020.15</v>
      </c>
      <c r="G526" s="18">
        <f>7695.82+28578.75+140694.41+78170.31</f>
        <v>255139.29</v>
      </c>
      <c r="H526" s="18">
        <f>1606.03+1183.03+4825.22+48474.73+392.7</f>
        <v>56481.71</v>
      </c>
      <c r="I526" s="18">
        <f>117.63+1092.11+1167.91</f>
        <v>2377.6499999999996</v>
      </c>
      <c r="J526" s="18">
        <f>1489.08+388.34</f>
        <v>1877.4199999999998</v>
      </c>
      <c r="K526" s="18">
        <v>0</v>
      </c>
      <c r="L526" s="88">
        <f>SUM(F526:K526)</f>
        <v>797896.22000000009</v>
      </c>
      <c r="M526" s="8"/>
      <c r="N526" s="266"/>
    </row>
    <row r="527" spans="1:14" s="3" customFormat="1" ht="12.2" customHeight="1" x14ac:dyDescent="0.15">
      <c r="A527" s="22" t="s">
        <v>634</v>
      </c>
      <c r="B527" s="105">
        <v>21</v>
      </c>
      <c r="C527" s="115">
        <v>6</v>
      </c>
      <c r="D527" s="2" t="s">
        <v>432</v>
      </c>
      <c r="E527" s="115"/>
      <c r="F527" s="18">
        <f>266.67+60381.94+35636.26+25297.45+33535.45</f>
        <v>155117.76999999999</v>
      </c>
      <c r="G527" s="18">
        <f>7695.82+28578.75+29847.3+19542.58</f>
        <v>85664.45</v>
      </c>
      <c r="H527" s="18">
        <f>1550.12+290.02+1182.93+12118.68+98.18</f>
        <v>15239.93</v>
      </c>
      <c r="I527" s="18">
        <f>113.53+267.74+291.88</f>
        <v>673.15</v>
      </c>
      <c r="J527" s="18">
        <f>365.06+97.09</f>
        <v>462.15</v>
      </c>
      <c r="K527" s="18">
        <v>0</v>
      </c>
      <c r="L527" s="88">
        <f>SUM(F527:K527)</f>
        <v>257157.44999999995</v>
      </c>
      <c r="M527" s="8"/>
      <c r="N527" s="266"/>
    </row>
    <row r="528" spans="1:14" s="3" customFormat="1" ht="12.2" customHeight="1" thickBot="1" x14ac:dyDescent="0.2">
      <c r="A528" s="22" t="s">
        <v>635</v>
      </c>
      <c r="B528" s="118">
        <v>21</v>
      </c>
      <c r="C528" s="118">
        <v>7</v>
      </c>
      <c r="D528" s="2" t="s">
        <v>432</v>
      </c>
      <c r="E528" s="118"/>
      <c r="F528" s="18">
        <f>266.67+60381.94+35636.26+25297.45+33535.45</f>
        <v>155117.76999999999</v>
      </c>
      <c r="G528" s="18">
        <f>7695.82+28578.75+29847.3+19542.58</f>
        <v>85664.45</v>
      </c>
      <c r="H528" s="18">
        <f>2031.26+290.02+1182.93+12118.68+98.18</f>
        <v>15721.07</v>
      </c>
      <c r="I528" s="18">
        <f>148.77+267.74+291.88</f>
        <v>708.39</v>
      </c>
      <c r="J528" s="18">
        <f>365.06+97.09</f>
        <v>462.15</v>
      </c>
      <c r="K528" s="18">
        <v>0</v>
      </c>
      <c r="L528" s="88">
        <f>SUM(F528:K528)</f>
        <v>257673.83</v>
      </c>
      <c r="M528" s="8"/>
      <c r="N528" s="266"/>
    </row>
    <row r="529" spans="1:14" s="3" customFormat="1" ht="12.2" customHeight="1" thickTop="1" x14ac:dyDescent="0.15">
      <c r="A529" s="139" t="s">
        <v>65</v>
      </c>
      <c r="B529" s="107">
        <v>21</v>
      </c>
      <c r="C529" s="107">
        <v>8</v>
      </c>
      <c r="D529" s="158" t="s">
        <v>432</v>
      </c>
      <c r="E529" s="107"/>
      <c r="F529" s="89">
        <f>SUM(F526:F528)</f>
        <v>792255.69000000006</v>
      </c>
      <c r="G529" s="89">
        <f t="shared" ref="G529:L529" si="40">SUM(G526:G528)</f>
        <v>426468.19</v>
      </c>
      <c r="H529" s="89">
        <f t="shared" si="40"/>
        <v>87442.709999999992</v>
      </c>
      <c r="I529" s="89">
        <f t="shared" si="40"/>
        <v>3759.1899999999996</v>
      </c>
      <c r="J529" s="89">
        <f t="shared" si="40"/>
        <v>2801.72</v>
      </c>
      <c r="K529" s="89">
        <f t="shared" si="40"/>
        <v>0</v>
      </c>
      <c r="L529" s="89">
        <f t="shared" si="40"/>
        <v>1312727.5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44185.89</v>
      </c>
      <c r="G531" s="18">
        <v>21911.86</v>
      </c>
      <c r="H531" s="18">
        <v>51043.88</v>
      </c>
      <c r="I531" s="18">
        <v>0</v>
      </c>
      <c r="J531" s="18">
        <v>0</v>
      </c>
      <c r="K531" s="18">
        <v>0</v>
      </c>
      <c r="L531" s="88">
        <f>SUM(F531:K531)</f>
        <v>117141.63</v>
      </c>
      <c r="M531" s="8"/>
      <c r="N531" s="266"/>
    </row>
    <row r="532" spans="1:14" s="3" customFormat="1" ht="12.2" customHeight="1" x14ac:dyDescent="0.15">
      <c r="A532" s="22" t="s">
        <v>634</v>
      </c>
      <c r="B532" s="105">
        <v>21</v>
      </c>
      <c r="C532" s="105">
        <v>10</v>
      </c>
      <c r="D532" s="2" t="s">
        <v>432</v>
      </c>
      <c r="E532" s="105"/>
      <c r="F532" s="18">
        <v>44185.89</v>
      </c>
      <c r="G532" s="18">
        <v>21911.86</v>
      </c>
      <c r="H532" s="18">
        <v>51043.88</v>
      </c>
      <c r="I532" s="18">
        <v>0</v>
      </c>
      <c r="J532" s="18">
        <v>0</v>
      </c>
      <c r="K532" s="18">
        <v>0</v>
      </c>
      <c r="L532" s="88">
        <f>SUM(F532:K532)</f>
        <v>117141.63</v>
      </c>
      <c r="M532" s="8"/>
      <c r="N532" s="266"/>
    </row>
    <row r="533" spans="1:14" s="3" customFormat="1" ht="12.2" customHeight="1" thickBot="1" x14ac:dyDescent="0.2">
      <c r="A533" s="22" t="s">
        <v>635</v>
      </c>
      <c r="B533" s="105">
        <v>21</v>
      </c>
      <c r="C533" s="105">
        <v>11</v>
      </c>
      <c r="D533" s="2" t="s">
        <v>432</v>
      </c>
      <c r="E533" s="105"/>
      <c r="F533" s="18">
        <v>0</v>
      </c>
      <c r="G533" s="18">
        <v>0</v>
      </c>
      <c r="H533" s="18">
        <v>51043.88</v>
      </c>
      <c r="I533" s="18">
        <v>0</v>
      </c>
      <c r="J533" s="18">
        <v>0</v>
      </c>
      <c r="K533" s="18">
        <v>0</v>
      </c>
      <c r="L533" s="88">
        <f>SUM(F533:K533)</f>
        <v>51043.88</v>
      </c>
      <c r="M533" s="8"/>
      <c r="N533" s="266"/>
    </row>
    <row r="534" spans="1:14" s="3" customFormat="1" ht="12.2" customHeight="1" thickTop="1" x14ac:dyDescent="0.15">
      <c r="A534" s="139" t="s">
        <v>67</v>
      </c>
      <c r="B534" s="107">
        <v>21</v>
      </c>
      <c r="C534" s="107">
        <v>12</v>
      </c>
      <c r="D534" s="158" t="s">
        <v>432</v>
      </c>
      <c r="E534" s="107"/>
      <c r="F534" s="89">
        <f>SUM(F531:F533)</f>
        <v>88371.78</v>
      </c>
      <c r="G534" s="89">
        <f t="shared" ref="G534:L534" si="41">SUM(G531:G533)</f>
        <v>43823.72</v>
      </c>
      <c r="H534" s="89">
        <f t="shared" si="41"/>
        <v>153131.63999999998</v>
      </c>
      <c r="I534" s="89">
        <f t="shared" si="41"/>
        <v>0</v>
      </c>
      <c r="J534" s="89">
        <f t="shared" si="41"/>
        <v>0</v>
      </c>
      <c r="K534" s="89">
        <f t="shared" si="41"/>
        <v>0</v>
      </c>
      <c r="L534" s="89">
        <f t="shared" si="41"/>
        <v>285327.14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1447.43</v>
      </c>
      <c r="I536" s="18">
        <v>0</v>
      </c>
      <c r="J536" s="18">
        <v>0</v>
      </c>
      <c r="K536" s="18">
        <v>0</v>
      </c>
      <c r="L536" s="88">
        <f>SUM(F536:K536)</f>
        <v>1447.43</v>
      </c>
      <c r="M536" s="8"/>
      <c r="N536" s="266"/>
    </row>
    <row r="537" spans="1:14" s="3" customFormat="1" ht="12.2" customHeight="1" x14ac:dyDescent="0.15">
      <c r="A537" s="22" t="s">
        <v>634</v>
      </c>
      <c r="B537" s="105">
        <v>21</v>
      </c>
      <c r="C537" s="105">
        <v>14</v>
      </c>
      <c r="D537" s="2" t="s">
        <v>432</v>
      </c>
      <c r="E537" s="105"/>
      <c r="F537" s="18">
        <v>0</v>
      </c>
      <c r="G537" s="18">
        <v>0</v>
      </c>
      <c r="H537" s="18">
        <v>1447.43</v>
      </c>
      <c r="I537" s="18">
        <v>0</v>
      </c>
      <c r="J537" s="18">
        <v>0</v>
      </c>
      <c r="K537" s="18">
        <v>0</v>
      </c>
      <c r="L537" s="88">
        <f>SUM(F537:K537)</f>
        <v>1447.43</v>
      </c>
      <c r="M537" s="8"/>
      <c r="N537" s="266"/>
    </row>
    <row r="538" spans="1:14" s="3" customFormat="1" ht="12.2" customHeight="1" thickBot="1" x14ac:dyDescent="0.2">
      <c r="A538" s="22" t="s">
        <v>635</v>
      </c>
      <c r="B538" s="105">
        <v>21</v>
      </c>
      <c r="C538" s="105">
        <v>15</v>
      </c>
      <c r="D538" s="2" t="s">
        <v>432</v>
      </c>
      <c r="E538" s="105"/>
      <c r="F538" s="18">
        <v>0</v>
      </c>
      <c r="G538" s="18">
        <v>0</v>
      </c>
      <c r="H538" s="18">
        <v>1447.44</v>
      </c>
      <c r="I538" s="18">
        <v>0</v>
      </c>
      <c r="J538" s="18">
        <v>0</v>
      </c>
      <c r="K538" s="18">
        <v>0</v>
      </c>
      <c r="L538" s="88">
        <f>SUM(F538:K538)</f>
        <v>1447.44</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2">SUM(G536:G538)</f>
        <v>0</v>
      </c>
      <c r="H539" s="89">
        <f t="shared" si="42"/>
        <v>4342.3</v>
      </c>
      <c r="I539" s="89">
        <f t="shared" si="42"/>
        <v>0</v>
      </c>
      <c r="J539" s="89">
        <f t="shared" si="42"/>
        <v>0</v>
      </c>
      <c r="K539" s="89">
        <f t="shared" si="42"/>
        <v>0</v>
      </c>
      <c r="L539" s="89">
        <f t="shared" si="42"/>
        <v>4342.3</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21483.33</v>
      </c>
      <c r="G541" s="18">
        <v>3369.91</v>
      </c>
      <c r="H541" s="18">
        <v>59130.9</v>
      </c>
      <c r="I541" s="18">
        <v>0</v>
      </c>
      <c r="J541" s="18">
        <v>7587.47</v>
      </c>
      <c r="K541" s="18">
        <v>0</v>
      </c>
      <c r="L541" s="88">
        <f>SUM(F541:K541)</f>
        <v>91571.61</v>
      </c>
      <c r="M541" s="8"/>
      <c r="N541" s="266"/>
    </row>
    <row r="542" spans="1:14" s="3" customFormat="1" ht="12.2" customHeight="1" x14ac:dyDescent="0.15">
      <c r="A542" s="22" t="s">
        <v>634</v>
      </c>
      <c r="B542" s="105">
        <v>21</v>
      </c>
      <c r="C542" s="105">
        <v>18</v>
      </c>
      <c r="D542" s="2" t="s">
        <v>432</v>
      </c>
      <c r="E542" s="105"/>
      <c r="F542" s="18">
        <v>21183.33</v>
      </c>
      <c r="G542" s="18">
        <v>3369.91</v>
      </c>
      <c r="H542" s="18">
        <v>59130.9</v>
      </c>
      <c r="I542" s="18">
        <v>0</v>
      </c>
      <c r="J542" s="18">
        <v>7587.47</v>
      </c>
      <c r="K542" s="18">
        <v>0</v>
      </c>
      <c r="L542" s="88">
        <f>SUM(F542:K542)</f>
        <v>91271.61</v>
      </c>
      <c r="M542" s="8"/>
      <c r="N542" s="266"/>
    </row>
    <row r="543" spans="1:14" s="3" customFormat="1" ht="12.2" customHeight="1" thickBot="1" x14ac:dyDescent="0.2">
      <c r="A543" s="22" t="s">
        <v>635</v>
      </c>
      <c r="B543" s="105">
        <v>21</v>
      </c>
      <c r="C543" s="105">
        <v>19</v>
      </c>
      <c r="D543" s="2" t="s">
        <v>432</v>
      </c>
      <c r="E543" s="105"/>
      <c r="F543" s="18">
        <v>21483.34</v>
      </c>
      <c r="G543" s="18">
        <v>3369.91</v>
      </c>
      <c r="H543" s="18">
        <v>59130.9</v>
      </c>
      <c r="I543" s="18">
        <v>0</v>
      </c>
      <c r="J543" s="18">
        <v>7587.46</v>
      </c>
      <c r="K543" s="18">
        <v>0</v>
      </c>
      <c r="L543" s="88">
        <f>SUM(F543:K543)</f>
        <v>91571.61</v>
      </c>
      <c r="M543" s="8"/>
      <c r="N543" s="266"/>
    </row>
    <row r="544" spans="1:14" s="3" customFormat="1" ht="12.2" customHeight="1" thickTop="1" thickBot="1" x14ac:dyDescent="0.2">
      <c r="A544" s="130" t="s">
        <v>71</v>
      </c>
      <c r="B544" s="191">
        <v>21</v>
      </c>
      <c r="C544" s="191">
        <v>20</v>
      </c>
      <c r="D544" s="192" t="s">
        <v>432</v>
      </c>
      <c r="E544" s="191"/>
      <c r="F544" s="193">
        <f>SUM(F541:F543)</f>
        <v>64150</v>
      </c>
      <c r="G544" s="193">
        <f t="shared" ref="G544:L544" si="43">SUM(G541:G543)</f>
        <v>10109.73</v>
      </c>
      <c r="H544" s="193">
        <f t="shared" si="43"/>
        <v>177392.7</v>
      </c>
      <c r="I544" s="193">
        <f t="shared" si="43"/>
        <v>0</v>
      </c>
      <c r="J544" s="193">
        <f t="shared" si="43"/>
        <v>22762.400000000001</v>
      </c>
      <c r="K544" s="193">
        <f t="shared" si="43"/>
        <v>0</v>
      </c>
      <c r="L544" s="193">
        <f t="shared" si="43"/>
        <v>274414.83</v>
      </c>
      <c r="M544" s="8"/>
      <c r="N544" s="266"/>
    </row>
    <row r="545" spans="1:14" s="3" customFormat="1" ht="12.2" customHeight="1" thickTop="1" x14ac:dyDescent="0.15">
      <c r="A545" s="98" t="s">
        <v>72</v>
      </c>
      <c r="B545" s="107">
        <v>21</v>
      </c>
      <c r="C545" s="107">
        <v>21</v>
      </c>
      <c r="D545" s="158" t="s">
        <v>432</v>
      </c>
      <c r="E545" s="107"/>
      <c r="F545" s="89">
        <f>F524+F529+F534+F539+F544</f>
        <v>3477567.6199999996</v>
      </c>
      <c r="G545" s="89">
        <f t="shared" ref="G545:L545" si="44">G524+G529+G534+G539+G544</f>
        <v>1667217.9</v>
      </c>
      <c r="H545" s="89">
        <f t="shared" si="44"/>
        <v>1993195.1299999997</v>
      </c>
      <c r="I545" s="89">
        <f t="shared" si="44"/>
        <v>32865.53</v>
      </c>
      <c r="J545" s="89">
        <f t="shared" si="44"/>
        <v>43898.25</v>
      </c>
      <c r="K545" s="89">
        <f t="shared" si="44"/>
        <v>144927.16</v>
      </c>
      <c r="L545" s="89">
        <f t="shared" si="44"/>
        <v>7359671.5899999999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1566538.99</v>
      </c>
      <c r="G549" s="87">
        <f>L526</f>
        <v>797896.22000000009</v>
      </c>
      <c r="H549" s="87">
        <f>L531</f>
        <v>117141.63</v>
      </c>
      <c r="I549" s="87">
        <f>L536</f>
        <v>1447.43</v>
      </c>
      <c r="J549" s="87">
        <f>L541</f>
        <v>91571.61</v>
      </c>
      <c r="K549" s="87">
        <f>SUM(F549:J549)</f>
        <v>2574595.88</v>
      </c>
      <c r="L549" s="24" t="s">
        <v>288</v>
      </c>
      <c r="M549" s="8"/>
      <c r="N549" s="266"/>
    </row>
    <row r="550" spans="1:14" s="3" customFormat="1" ht="12.2" customHeight="1" x14ac:dyDescent="0.15">
      <c r="A550" s="22" t="s">
        <v>634</v>
      </c>
      <c r="B550" s="75">
        <v>21</v>
      </c>
      <c r="C550" s="75">
        <v>23</v>
      </c>
      <c r="D550" s="2" t="s">
        <v>432</v>
      </c>
      <c r="E550" s="75"/>
      <c r="F550" s="87">
        <f>L522</f>
        <v>1739391.46</v>
      </c>
      <c r="G550" s="87">
        <f>L527</f>
        <v>257157.44999999995</v>
      </c>
      <c r="H550" s="87">
        <f>L532</f>
        <v>117141.63</v>
      </c>
      <c r="I550" s="87">
        <f>L537</f>
        <v>1447.43</v>
      </c>
      <c r="J550" s="87">
        <f>L542</f>
        <v>91271.61</v>
      </c>
      <c r="K550" s="87">
        <f>SUM(F550:J550)</f>
        <v>2206409.58</v>
      </c>
      <c r="L550" s="24" t="s">
        <v>288</v>
      </c>
      <c r="M550" s="8"/>
      <c r="N550" s="266"/>
    </row>
    <row r="551" spans="1:14" s="3" customFormat="1" ht="12.2" customHeight="1" thickBot="1" x14ac:dyDescent="0.2">
      <c r="A551" s="22" t="s">
        <v>635</v>
      </c>
      <c r="B551" s="75">
        <v>21</v>
      </c>
      <c r="C551" s="75">
        <v>24</v>
      </c>
      <c r="D551" s="2" t="s">
        <v>432</v>
      </c>
      <c r="E551" s="75"/>
      <c r="F551" s="87">
        <f>L523</f>
        <v>2176929.37</v>
      </c>
      <c r="G551" s="87">
        <f>L528</f>
        <v>257673.83</v>
      </c>
      <c r="H551" s="87">
        <f>L533</f>
        <v>51043.88</v>
      </c>
      <c r="I551" s="87">
        <f>L538</f>
        <v>1447.44</v>
      </c>
      <c r="J551" s="87">
        <f>L543</f>
        <v>91571.61</v>
      </c>
      <c r="K551" s="87">
        <f>SUM(F551:J551)</f>
        <v>2578666.13</v>
      </c>
      <c r="L551" s="24" t="s">
        <v>288</v>
      </c>
      <c r="M551" s="8"/>
      <c r="N551" s="266"/>
    </row>
    <row r="552" spans="1:14" s="3" customFormat="1" ht="12.2" customHeight="1" thickTop="1" x14ac:dyDescent="0.15">
      <c r="A552" s="172" t="s">
        <v>340</v>
      </c>
      <c r="B552" s="44">
        <v>21</v>
      </c>
      <c r="C552" s="44">
        <v>25</v>
      </c>
      <c r="D552" s="39" t="s">
        <v>432</v>
      </c>
      <c r="E552" s="44"/>
      <c r="F552" s="89">
        <f t="shared" ref="F552:K552" si="45">SUM(F549:F551)</f>
        <v>5482859.8200000003</v>
      </c>
      <c r="G552" s="89">
        <f t="shared" si="45"/>
        <v>1312727.5</v>
      </c>
      <c r="H552" s="89">
        <f t="shared" si="45"/>
        <v>285327.14</v>
      </c>
      <c r="I552" s="89">
        <f t="shared" si="45"/>
        <v>4342.3</v>
      </c>
      <c r="J552" s="89">
        <f t="shared" si="45"/>
        <v>274414.83</v>
      </c>
      <c r="K552" s="89">
        <f t="shared" si="45"/>
        <v>7359671.5899999999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6"/>
    </row>
    <row r="558" spans="1:14" s="3" customFormat="1" ht="12.2" customHeight="1" x14ac:dyDescent="0.15">
      <c r="A558" s="22" t="s">
        <v>634</v>
      </c>
      <c r="B558" s="105">
        <v>22</v>
      </c>
      <c r="C558" s="115">
        <v>2</v>
      </c>
      <c r="D558" s="2" t="s">
        <v>432</v>
      </c>
      <c r="E558" s="115"/>
      <c r="F558" s="18">
        <v>0</v>
      </c>
      <c r="G558" s="18">
        <v>0</v>
      </c>
      <c r="H558" s="18">
        <v>0</v>
      </c>
      <c r="I558" s="18">
        <v>0</v>
      </c>
      <c r="J558" s="18">
        <v>0</v>
      </c>
      <c r="K558" s="18">
        <v>0</v>
      </c>
      <c r="L558" s="88">
        <f>SUM(F558:K558)</f>
        <v>0</v>
      </c>
      <c r="M558" s="8"/>
      <c r="N558" s="266"/>
    </row>
    <row r="559" spans="1:14" s="3" customFormat="1" ht="12.2" customHeight="1" thickBot="1" x14ac:dyDescent="0.2">
      <c r="A559" s="22" t="s">
        <v>635</v>
      </c>
      <c r="B559" s="105">
        <v>22</v>
      </c>
      <c r="C559" s="115">
        <v>3</v>
      </c>
      <c r="D559" s="2" t="s">
        <v>432</v>
      </c>
      <c r="E559" s="115"/>
      <c r="F559" s="18">
        <v>0</v>
      </c>
      <c r="G559" s="18">
        <v>0</v>
      </c>
      <c r="H559" s="18">
        <v>0</v>
      </c>
      <c r="I559" s="18">
        <v>0</v>
      </c>
      <c r="J559" s="18">
        <v>0</v>
      </c>
      <c r="K559" s="18">
        <v>0</v>
      </c>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6">SUM(F557:F559)</f>
        <v>0</v>
      </c>
      <c r="G560" s="108">
        <f t="shared" si="46"/>
        <v>0</v>
      </c>
      <c r="H560" s="108">
        <f t="shared" si="46"/>
        <v>0</v>
      </c>
      <c r="I560" s="108">
        <f t="shared" si="46"/>
        <v>0</v>
      </c>
      <c r="J560" s="108">
        <f t="shared" si="46"/>
        <v>0</v>
      </c>
      <c r="K560" s="108">
        <f t="shared" si="46"/>
        <v>0</v>
      </c>
      <c r="L560" s="89">
        <f t="shared" si="46"/>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f>8116.5+1316.26+1903.45+2657.73</f>
        <v>13993.94</v>
      </c>
      <c r="G562" s="18">
        <f>4360.4-134.28+46.88+726.93+55.59+107.87</f>
        <v>5163.3900000000003</v>
      </c>
      <c r="H562" s="18">
        <f>1715+185+375+165+199+250+335.05+470+165+290+531.82</f>
        <v>4680.87</v>
      </c>
      <c r="I562" s="18">
        <f>446.52+80.42+34.07+99.95+150+1418.4+132.51+60</f>
        <v>2421.87</v>
      </c>
      <c r="J562" s="18">
        <v>0</v>
      </c>
      <c r="K562" s="18">
        <f>26</f>
        <v>26</v>
      </c>
      <c r="L562" s="88">
        <f>SUM(F562:K562)</f>
        <v>26286.07</v>
      </c>
      <c r="M562" s="8"/>
      <c r="N562" s="266"/>
    </row>
    <row r="563" spans="1:14" s="3" customFormat="1" ht="12.2" customHeight="1" x14ac:dyDescent="0.15">
      <c r="A563" s="22" t="s">
        <v>634</v>
      </c>
      <c r="B563" s="105">
        <v>22</v>
      </c>
      <c r="C563" s="115">
        <v>6</v>
      </c>
      <c r="D563" s="2" t="s">
        <v>432</v>
      </c>
      <c r="E563" s="115"/>
      <c r="F563" s="18">
        <v>8116.5</v>
      </c>
      <c r="G563" s="18">
        <v>4360.3900000000003</v>
      </c>
      <c r="H563" s="18">
        <v>0</v>
      </c>
      <c r="I563" s="18">
        <v>0</v>
      </c>
      <c r="J563" s="18">
        <v>0</v>
      </c>
      <c r="K563" s="18">
        <v>0</v>
      </c>
      <c r="L563" s="88">
        <f>SUM(F563:K563)</f>
        <v>12476.89</v>
      </c>
      <c r="M563" s="8"/>
      <c r="N563" s="266"/>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7">SUM(F562:F564)</f>
        <v>22110.440000000002</v>
      </c>
      <c r="G565" s="89">
        <f t="shared" si="47"/>
        <v>9523.7800000000007</v>
      </c>
      <c r="H565" s="89">
        <f t="shared" si="47"/>
        <v>4680.87</v>
      </c>
      <c r="I565" s="89">
        <f t="shared" si="47"/>
        <v>2421.87</v>
      </c>
      <c r="J565" s="89">
        <f t="shared" si="47"/>
        <v>0</v>
      </c>
      <c r="K565" s="89">
        <f t="shared" si="47"/>
        <v>26</v>
      </c>
      <c r="L565" s="89">
        <f t="shared" si="47"/>
        <v>38762.959999999999</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f>75679.14</f>
        <v>75679.14</v>
      </c>
      <c r="G567" s="18">
        <v>31035.8</v>
      </c>
      <c r="H567" s="18">
        <v>0</v>
      </c>
      <c r="I567" s="18">
        <v>2069.89</v>
      </c>
      <c r="J567" s="18">
        <v>2579</v>
      </c>
      <c r="K567" s="18">
        <v>0</v>
      </c>
      <c r="L567" s="88">
        <f>SUM(F567:K567)</f>
        <v>111363.83</v>
      </c>
      <c r="M567" s="8"/>
      <c r="N567" s="266"/>
    </row>
    <row r="568" spans="1:14" s="3" customFormat="1" ht="12.2" customHeight="1" x14ac:dyDescent="0.15">
      <c r="A568" s="22" t="s">
        <v>634</v>
      </c>
      <c r="B568" s="105">
        <v>22</v>
      </c>
      <c r="C568" s="105">
        <v>10</v>
      </c>
      <c r="D568" s="2" t="s">
        <v>432</v>
      </c>
      <c r="E568" s="105"/>
      <c r="F568" s="18">
        <v>78667.94</v>
      </c>
      <c r="G568" s="18">
        <v>32261.5</v>
      </c>
      <c r="H568" s="18">
        <v>0</v>
      </c>
      <c r="I568" s="18">
        <v>1568.21</v>
      </c>
      <c r="J568" s="18">
        <v>0</v>
      </c>
      <c r="K568" s="18">
        <v>0</v>
      </c>
      <c r="L568" s="88">
        <f>SUM(F568:K568)</f>
        <v>112497.65000000001</v>
      </c>
      <c r="M568" s="8"/>
      <c r="N568" s="266"/>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154347.08000000002</v>
      </c>
      <c r="G570" s="193">
        <f t="shared" ref="G570:L570" si="48">SUM(G567:G569)</f>
        <v>63297.3</v>
      </c>
      <c r="H570" s="193">
        <f t="shared" si="48"/>
        <v>0</v>
      </c>
      <c r="I570" s="193">
        <f t="shared" si="48"/>
        <v>3638.1</v>
      </c>
      <c r="J570" s="193">
        <f t="shared" si="48"/>
        <v>2579</v>
      </c>
      <c r="K570" s="193">
        <f t="shared" si="48"/>
        <v>0</v>
      </c>
      <c r="L570" s="193">
        <f t="shared" si="48"/>
        <v>223861.48</v>
      </c>
      <c r="M570" s="8"/>
      <c r="N570" s="266"/>
    </row>
    <row r="571" spans="1:14" s="3" customFormat="1" ht="12.2" customHeight="1" thickTop="1" x14ac:dyDescent="0.15">
      <c r="A571" s="98" t="s">
        <v>88</v>
      </c>
      <c r="B571" s="107">
        <v>22</v>
      </c>
      <c r="C571" s="107">
        <v>13</v>
      </c>
      <c r="D571" s="158" t="s">
        <v>432</v>
      </c>
      <c r="E571" s="107"/>
      <c r="F571" s="89">
        <f>F560+F565+F570</f>
        <v>176457.52000000002</v>
      </c>
      <c r="G571" s="89">
        <f t="shared" ref="G571:L571" si="49">G560+G565+G570</f>
        <v>72821.08</v>
      </c>
      <c r="H571" s="89">
        <f t="shared" si="49"/>
        <v>4680.87</v>
      </c>
      <c r="I571" s="89">
        <f t="shared" si="49"/>
        <v>6059.9699999999993</v>
      </c>
      <c r="J571" s="89">
        <f t="shared" si="49"/>
        <v>2579</v>
      </c>
      <c r="K571" s="89">
        <f t="shared" si="49"/>
        <v>26</v>
      </c>
      <c r="L571" s="89">
        <f t="shared" si="49"/>
        <v>262624.44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v>0</v>
      </c>
      <c r="H575" s="18">
        <v>0</v>
      </c>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0</v>
      </c>
      <c r="H576" s="18">
        <v>0</v>
      </c>
      <c r="I576" s="87">
        <f t="shared" ref="I576:I587" si="50">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0</v>
      </c>
      <c r="I577" s="87">
        <f t="shared" si="50"/>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v>0</v>
      </c>
      <c r="I578" s="87">
        <f t="shared" si="50"/>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v>0</v>
      </c>
      <c r="H579" s="18">
        <v>0</v>
      </c>
      <c r="I579" s="87">
        <f t="shared" si="50"/>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v>0</v>
      </c>
      <c r="H580" s="18">
        <v>0</v>
      </c>
      <c r="I580" s="87">
        <f t="shared" si="50"/>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0</v>
      </c>
      <c r="I581" s="87">
        <f t="shared" si="50"/>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34793.9</v>
      </c>
      <c r="G582" s="18">
        <v>154261.07999999999</v>
      </c>
      <c r="H582" s="18">
        <v>863916.17</v>
      </c>
      <c r="I582" s="87">
        <f t="shared" si="50"/>
        <v>1052971.1499999999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v>0</v>
      </c>
      <c r="H583" s="18">
        <v>0</v>
      </c>
      <c r="I583" s="87">
        <f t="shared" si="50"/>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v>98903.32</v>
      </c>
      <c r="I584" s="87">
        <f t="shared" si="50"/>
        <v>98903.32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v>0</v>
      </c>
      <c r="G585" s="18">
        <v>0</v>
      </c>
      <c r="H585" s="18">
        <v>0</v>
      </c>
      <c r="I585" s="87">
        <f t="shared" si="50"/>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v>0</v>
      </c>
      <c r="I586" s="87">
        <f t="shared" si="50"/>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v>0</v>
      </c>
      <c r="H587" s="18">
        <v>0</v>
      </c>
      <c r="I587" s="87">
        <f t="shared" si="50"/>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165645.35999999999</v>
      </c>
      <c r="I591" s="18">
        <v>165645.37</v>
      </c>
      <c r="J591" s="18">
        <v>50967.78</v>
      </c>
      <c r="K591" s="104">
        <f t="shared" ref="K591:K597" si="51">SUM(H591:J591)</f>
        <v>382258.51</v>
      </c>
      <c r="L591" s="24" t="s">
        <v>288</v>
      </c>
      <c r="M591" s="8"/>
      <c r="N591" s="266"/>
    </row>
    <row r="592" spans="1:14" s="3" customFormat="1" ht="12.2" customHeight="1" x14ac:dyDescent="0.15">
      <c r="A592" s="3" t="s">
        <v>638</v>
      </c>
      <c r="B592" s="75">
        <v>23</v>
      </c>
      <c r="C592" s="75">
        <v>2</v>
      </c>
      <c r="D592" s="2" t="s">
        <v>432</v>
      </c>
      <c r="E592" s="75"/>
      <c r="F592" s="102">
        <v>2722</v>
      </c>
      <c r="G592" s="103" t="s">
        <v>97</v>
      </c>
      <c r="H592" s="18">
        <f>L541</f>
        <v>91571.61</v>
      </c>
      <c r="I592" s="18">
        <f>H592</f>
        <v>91571.61</v>
      </c>
      <c r="J592" s="18">
        <f>I592</f>
        <v>91571.61</v>
      </c>
      <c r="K592" s="104">
        <f t="shared" si="51"/>
        <v>274714.83</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f>17015+1876.59</f>
        <v>18891.59</v>
      </c>
      <c r="K593" s="104">
        <f t="shared" si="51"/>
        <v>18891.59</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8512.4</v>
      </c>
      <c r="J594" s="18">
        <f>24591.39+23015.73</f>
        <v>47607.119999999995</v>
      </c>
      <c r="K594" s="104">
        <f t="shared" si="51"/>
        <v>56119.519999999997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1051.52</v>
      </c>
      <c r="I595" s="18">
        <v>6834.88</v>
      </c>
      <c r="J595" s="18">
        <f>14195.53+3332.66</f>
        <v>17528.190000000002</v>
      </c>
      <c r="K595" s="104">
        <f t="shared" si="51"/>
        <v>25414.590000000004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51"/>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169796.44</v>
      </c>
      <c r="I597" s="18">
        <v>169796.44</v>
      </c>
      <c r="J597" s="18">
        <v>52245.05</v>
      </c>
      <c r="K597" s="104">
        <f t="shared" si="51"/>
        <v>391837.93</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428064.92999999993</v>
      </c>
      <c r="I598" s="108">
        <f>SUM(I591:I597)</f>
        <v>442360.7</v>
      </c>
      <c r="J598" s="108">
        <f>SUM(J591:J597)</f>
        <v>278811.34000000003</v>
      </c>
      <c r="K598" s="108">
        <f>SUM(K591:K597)</f>
        <v>1149236.97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J211+J290</f>
        <v>139800.78</v>
      </c>
      <c r="I604" s="18">
        <f>J229+J309</f>
        <v>174656.26</v>
      </c>
      <c r="J604" s="18">
        <f>J328+J247</f>
        <v>182175.65</v>
      </c>
      <c r="K604" s="104">
        <f>SUM(H604:J604)</f>
        <v>496632.69000000006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139800.78</v>
      </c>
      <c r="I605" s="108">
        <f>SUM(I602:I604)</f>
        <v>174656.26</v>
      </c>
      <c r="J605" s="108">
        <f>SUM(J602:J604)</f>
        <v>182175.65</v>
      </c>
      <c r="K605" s="108">
        <f>SUM(K602:K604)</f>
        <v>496632.69000000006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2">SUM(F611:F613)</f>
        <v>0</v>
      </c>
      <c r="G614" s="108">
        <f t="shared" si="52"/>
        <v>0</v>
      </c>
      <c r="H614" s="108">
        <f t="shared" si="52"/>
        <v>0</v>
      </c>
      <c r="I614" s="108">
        <f t="shared" si="52"/>
        <v>0</v>
      </c>
      <c r="J614" s="108">
        <f t="shared" si="52"/>
        <v>0</v>
      </c>
      <c r="K614" s="108">
        <f t="shared" si="52"/>
        <v>0</v>
      </c>
      <c r="L614" s="89">
        <f t="shared" si="52"/>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5916138.2799999993</v>
      </c>
      <c r="H617" s="109">
        <f>SUM(F52)</f>
        <v>5916138.2799999993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2297441.5099999998</v>
      </c>
      <c r="H618" s="109">
        <f>SUM(G52)</f>
        <v>2297441.5099999998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1380255.06</v>
      </c>
      <c r="H619" s="109">
        <f>SUM(H52)</f>
        <v>1380255.06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1965642.5299999998</v>
      </c>
      <c r="H621" s="109">
        <f>SUM(J52)</f>
        <v>1965642.5299999998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464170.3400000002</v>
      </c>
      <c r="H622" s="109">
        <f>F476</f>
        <v>464170.33999999985</v>
      </c>
      <c r="I622" s="121" t="s">
        <v>101</v>
      </c>
      <c r="J622" s="109">
        <f t="shared" ref="J622:J655" si="53">G622-H622</f>
        <v>0</v>
      </c>
      <c r="K622" s="109"/>
      <c r="L622" s="109"/>
      <c r="M622" s="8"/>
    </row>
    <row r="623" spans="1:14" s="3" customFormat="1" ht="12.2" customHeight="1" x14ac:dyDescent="0.15">
      <c r="A623" s="97"/>
      <c r="B623" s="105"/>
      <c r="C623" s="119"/>
      <c r="D623" s="119"/>
      <c r="E623" s="119"/>
      <c r="F623" s="119" t="s">
        <v>866</v>
      </c>
      <c r="G623" s="109">
        <f>G51</f>
        <v>257324.37999999989</v>
      </c>
      <c r="H623" s="109">
        <f>G476</f>
        <v>257324.37999999989</v>
      </c>
      <c r="I623" s="121" t="s">
        <v>102</v>
      </c>
      <c r="J623" s="109">
        <f t="shared" si="53"/>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3"/>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3"/>
        <v>0</v>
      </c>
      <c r="K625" s="109"/>
      <c r="L625" s="109"/>
      <c r="M625" s="8"/>
    </row>
    <row r="626" spans="1:13" s="3" customFormat="1" ht="12.2" customHeight="1" x14ac:dyDescent="0.15">
      <c r="A626" s="22"/>
      <c r="B626" s="105"/>
      <c r="C626" s="105"/>
      <c r="D626" s="105"/>
      <c r="E626" s="105"/>
      <c r="F626" s="120" t="s">
        <v>869</v>
      </c>
      <c r="G626" s="109">
        <f>J51</f>
        <v>1965642.5299999998</v>
      </c>
      <c r="H626" s="109">
        <f>J476</f>
        <v>1965642.53</v>
      </c>
      <c r="I626" s="140" t="s">
        <v>105</v>
      </c>
      <c r="J626" s="109">
        <f t="shared" si="53"/>
        <v>0</v>
      </c>
      <c r="K626" s="85"/>
      <c r="L626" s="88"/>
      <c r="M626" s="8"/>
    </row>
    <row r="627" spans="1:13" s="3" customFormat="1" ht="12.2" customHeight="1" x14ac:dyDescent="0.15">
      <c r="A627" s="22"/>
      <c r="B627" s="105"/>
      <c r="C627" s="105"/>
      <c r="D627" s="105"/>
      <c r="E627" s="105"/>
      <c r="F627" s="120" t="s">
        <v>658</v>
      </c>
      <c r="G627" s="109">
        <f>F193</f>
        <v>26912777.209999997</v>
      </c>
      <c r="H627" s="104">
        <f>SUM(F468)</f>
        <v>26912777.209999997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758431.48999999987</v>
      </c>
      <c r="H628" s="104">
        <f>SUM(G468)</f>
        <v>758431.48999999987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445039.11000000004</v>
      </c>
      <c r="H629" s="104">
        <f>SUM(H468)</f>
        <v>445039.11000000004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136734.91999999998</v>
      </c>
      <c r="H631" s="104">
        <f>SUM(J468)</f>
        <v>136734.91999999998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27361809.519999996</v>
      </c>
      <c r="H632" s="104">
        <f>SUM(F472)</f>
        <v>27361809.519999996</v>
      </c>
      <c r="I632" s="140" t="s">
        <v>111</v>
      </c>
      <c r="J632" s="109">
        <f t="shared" si="53"/>
        <v>0</v>
      </c>
      <c r="K632" s="85"/>
      <c r="L632" s="88"/>
      <c r="M632" s="8"/>
    </row>
    <row r="633" spans="1:13" s="3" customFormat="1" ht="12.2" customHeight="1" x14ac:dyDescent="0.15">
      <c r="A633" s="22"/>
      <c r="B633" s="105"/>
      <c r="C633" s="105"/>
      <c r="D633" s="105"/>
      <c r="E633" s="105"/>
      <c r="F633" s="120" t="s">
        <v>395</v>
      </c>
      <c r="G633" s="109">
        <f>SUM(L352)</f>
        <v>445039.10999999993</v>
      </c>
      <c r="H633" s="104">
        <f>SUM(H472)</f>
        <v>445039.10999999993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350842.05</v>
      </c>
      <c r="H634" s="104">
        <f>I369</f>
        <v>350842.05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741907.65</v>
      </c>
      <c r="H635" s="104">
        <f>SUM(G472)</f>
        <v>741907.65</v>
      </c>
      <c r="I635" s="140" t="s">
        <v>114</v>
      </c>
      <c r="J635" s="109">
        <f t="shared" si="53"/>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3"/>
        <v>0</v>
      </c>
      <c r="K636" s="85"/>
      <c r="L636" s="88"/>
      <c r="M636" s="168"/>
    </row>
    <row r="637" spans="1:13" s="3" customFormat="1" ht="12.2" customHeight="1" x14ac:dyDescent="0.15">
      <c r="A637" s="161"/>
      <c r="B637" s="162"/>
      <c r="C637" s="162"/>
      <c r="D637" s="162"/>
      <c r="E637" s="162"/>
      <c r="F637" s="163" t="s">
        <v>477</v>
      </c>
      <c r="G637" s="151">
        <f>SUM(L408)</f>
        <v>136734.91999999998</v>
      </c>
      <c r="H637" s="164">
        <f>SUM(J468)</f>
        <v>136734.91999999998</v>
      </c>
      <c r="I637" s="165" t="s">
        <v>110</v>
      </c>
      <c r="J637" s="151">
        <f t="shared" si="53"/>
        <v>0</v>
      </c>
      <c r="K637" s="166"/>
      <c r="L637" s="167"/>
      <c r="M637" s="8"/>
    </row>
    <row r="638" spans="1:13" s="3" customFormat="1" ht="12.2" customHeight="1" x14ac:dyDescent="0.15">
      <c r="A638" s="161"/>
      <c r="B638" s="162"/>
      <c r="C638" s="162"/>
      <c r="D638" s="162"/>
      <c r="E638" s="162"/>
      <c r="F638" s="163" t="s">
        <v>478</v>
      </c>
      <c r="G638" s="151">
        <f>SUM(L434)</f>
        <v>42950</v>
      </c>
      <c r="H638" s="164">
        <f>SUM(J472)</f>
        <v>42950</v>
      </c>
      <c r="I638" s="165" t="s">
        <v>117</v>
      </c>
      <c r="J638" s="151">
        <f t="shared" si="53"/>
        <v>0</v>
      </c>
      <c r="K638" s="166"/>
      <c r="L638" s="167"/>
      <c r="M638" s="8"/>
    </row>
    <row r="639" spans="1:13" s="3" customFormat="1" ht="12.2" customHeight="1" x14ac:dyDescent="0.15">
      <c r="A639" s="22"/>
      <c r="B639" s="105"/>
      <c r="C639" s="105"/>
      <c r="D639" s="105"/>
      <c r="E639" s="105"/>
      <c r="F639" s="120" t="s">
        <v>118</v>
      </c>
      <c r="G639" s="109">
        <f>SUM(F446)</f>
        <v>1587130.42</v>
      </c>
      <c r="H639" s="104">
        <f>SUM(F461)</f>
        <v>1587130.42</v>
      </c>
      <c r="I639" s="140" t="s">
        <v>841</v>
      </c>
      <c r="J639" s="109">
        <f t="shared" si="53"/>
        <v>0</v>
      </c>
      <c r="K639" s="85"/>
      <c r="L639" s="88"/>
      <c r="M639" s="8"/>
    </row>
    <row r="640" spans="1:13" s="3" customFormat="1" ht="12.2" customHeight="1" x14ac:dyDescent="0.15">
      <c r="A640" s="22"/>
      <c r="B640" s="105"/>
      <c r="C640" s="105"/>
      <c r="D640" s="105"/>
      <c r="E640" s="105"/>
      <c r="F640" s="120" t="s">
        <v>119</v>
      </c>
      <c r="G640" s="109">
        <f>SUM(G446)</f>
        <v>378512.11</v>
      </c>
      <c r="H640" s="104">
        <f>SUM(G461)</f>
        <v>378512.11</v>
      </c>
      <c r="I640" s="140" t="s">
        <v>842</v>
      </c>
      <c r="J640" s="109">
        <f t="shared" si="53"/>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3"/>
        <v>0</v>
      </c>
      <c r="K641" s="85"/>
      <c r="L641" s="88"/>
      <c r="M641" s="8"/>
    </row>
    <row r="642" spans="1:13" s="3" customFormat="1" ht="12.2" customHeight="1" x14ac:dyDescent="0.15">
      <c r="A642" s="22"/>
      <c r="B642" s="105"/>
      <c r="C642" s="105"/>
      <c r="D642" s="105"/>
      <c r="E642" s="105"/>
      <c r="F642" s="120" t="s">
        <v>121</v>
      </c>
      <c r="G642" s="109">
        <f>SUM(I446)</f>
        <v>1965642.5299999998</v>
      </c>
      <c r="H642" s="104">
        <f>SUM(I461)</f>
        <v>1965642.5299999998</v>
      </c>
      <c r="I642" s="140" t="s">
        <v>844</v>
      </c>
      <c r="J642" s="109">
        <f t="shared" si="53"/>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3"/>
        <v>0</v>
      </c>
      <c r="K643" s="85"/>
      <c r="L643" s="88"/>
      <c r="M643" s="8"/>
    </row>
    <row r="644" spans="1:13" s="3" customFormat="1" ht="12.2" customHeight="1" x14ac:dyDescent="0.15">
      <c r="A644" s="22"/>
      <c r="B644" s="105"/>
      <c r="C644" s="105"/>
      <c r="D644" s="105"/>
      <c r="E644" s="105"/>
      <c r="F644" s="120" t="s">
        <v>663</v>
      </c>
      <c r="G644" s="109">
        <f>J96</f>
        <v>57662.92</v>
      </c>
      <c r="H644" s="104">
        <f>H408</f>
        <v>57662.92</v>
      </c>
      <c r="I644" s="140" t="s">
        <v>480</v>
      </c>
      <c r="J644" s="109">
        <f t="shared" si="53"/>
        <v>0</v>
      </c>
      <c r="K644" s="85"/>
      <c r="L644" s="88"/>
      <c r="M644" s="8"/>
    </row>
    <row r="645" spans="1:13" s="3" customFormat="1" ht="12.2" customHeight="1" x14ac:dyDescent="0.15">
      <c r="A645" s="22"/>
      <c r="B645" s="105"/>
      <c r="C645" s="105"/>
      <c r="D645" s="105"/>
      <c r="E645" s="105"/>
      <c r="F645" s="120" t="s">
        <v>664</v>
      </c>
      <c r="G645" s="109">
        <f>J183</f>
        <v>79072</v>
      </c>
      <c r="H645" s="104">
        <f>G408</f>
        <v>79072</v>
      </c>
      <c r="I645" s="140" t="s">
        <v>481</v>
      </c>
      <c r="J645" s="109">
        <f t="shared" si="53"/>
        <v>0</v>
      </c>
      <c r="K645" s="85"/>
      <c r="L645" s="88"/>
      <c r="M645" s="8"/>
    </row>
    <row r="646" spans="1:13" s="3" customFormat="1" ht="12.2" customHeight="1" x14ac:dyDescent="0.15">
      <c r="A646" s="22"/>
      <c r="B646" s="105"/>
      <c r="C646" s="105"/>
      <c r="D646" s="105"/>
      <c r="E646" s="105"/>
      <c r="F646" s="120" t="s">
        <v>662</v>
      </c>
      <c r="G646" s="109">
        <f>J193</f>
        <v>136734.91999999998</v>
      </c>
      <c r="H646" s="104">
        <f>L408</f>
        <v>136734.91999999998</v>
      </c>
      <c r="I646" s="140" t="s">
        <v>477</v>
      </c>
      <c r="J646" s="109">
        <f t="shared" si="53"/>
        <v>0</v>
      </c>
      <c r="K646" s="85"/>
      <c r="L646" s="88"/>
      <c r="M646" s="8"/>
    </row>
    <row r="647" spans="1:13" s="3" customFormat="1" ht="12.2" customHeight="1" x14ac:dyDescent="0.15">
      <c r="A647" s="22"/>
      <c r="B647" s="105"/>
      <c r="C647" s="105"/>
      <c r="D647" s="105"/>
      <c r="E647" s="105"/>
      <c r="F647" s="120" t="s">
        <v>51</v>
      </c>
      <c r="G647" s="109">
        <f>K598</f>
        <v>1149236.97</v>
      </c>
      <c r="H647" s="104">
        <f>L208+L226+L244</f>
        <v>1149236.97</v>
      </c>
      <c r="I647" s="140" t="s">
        <v>396</v>
      </c>
      <c r="J647" s="109">
        <f t="shared" si="53"/>
        <v>0</v>
      </c>
      <c r="K647" s="85"/>
      <c r="L647" s="88"/>
      <c r="M647" s="8"/>
    </row>
    <row r="648" spans="1:13" s="3" customFormat="1" ht="12.2" customHeight="1" x14ac:dyDescent="0.15">
      <c r="A648" s="22"/>
      <c r="B648" s="105"/>
      <c r="C648" s="105"/>
      <c r="D648" s="105"/>
      <c r="E648" s="105"/>
      <c r="F648" s="120" t="s">
        <v>52</v>
      </c>
      <c r="G648" s="109">
        <f>K605</f>
        <v>496632.69000000006</v>
      </c>
      <c r="H648" s="104">
        <f>(J257+J338)-(J255+J336)</f>
        <v>496632.69</v>
      </c>
      <c r="I648" s="140" t="s">
        <v>699</v>
      </c>
      <c r="J648" s="109">
        <f t="shared" si="53"/>
        <v>0</v>
      </c>
      <c r="K648" s="85"/>
      <c r="L648" s="88"/>
      <c r="M648" s="8"/>
    </row>
    <row r="649" spans="1:13" s="3" customFormat="1" ht="12.2" customHeight="1" x14ac:dyDescent="0.15">
      <c r="A649" s="22"/>
      <c r="B649" s="105"/>
      <c r="C649" s="105"/>
      <c r="D649" s="105"/>
      <c r="E649" s="105"/>
      <c r="F649" s="120" t="s">
        <v>387</v>
      </c>
      <c r="G649" s="109">
        <f>L208</f>
        <v>428064.93</v>
      </c>
      <c r="H649" s="104">
        <f>H598</f>
        <v>428064.92999999993</v>
      </c>
      <c r="I649" s="140" t="s">
        <v>388</v>
      </c>
      <c r="J649" s="109">
        <f t="shared" si="53"/>
        <v>0</v>
      </c>
      <c r="K649" s="85"/>
      <c r="L649" s="88"/>
      <c r="M649" s="8"/>
    </row>
    <row r="650" spans="1:13" s="3" customFormat="1" ht="12.2" customHeight="1" x14ac:dyDescent="0.15">
      <c r="A650" s="22"/>
      <c r="B650" s="105"/>
      <c r="C650" s="105"/>
      <c r="D650" s="105"/>
      <c r="E650" s="105"/>
      <c r="F650" s="120" t="s">
        <v>392</v>
      </c>
      <c r="G650" s="109">
        <f>L226</f>
        <v>442360.7</v>
      </c>
      <c r="H650" s="104">
        <f>I598</f>
        <v>442360.7</v>
      </c>
      <c r="I650" s="140" t="s">
        <v>389</v>
      </c>
      <c r="J650" s="109">
        <f t="shared" si="53"/>
        <v>0</v>
      </c>
      <c r="K650" s="85"/>
      <c r="L650" s="88"/>
      <c r="M650" s="8"/>
    </row>
    <row r="651" spans="1:13" s="3" customFormat="1" ht="12.2" customHeight="1" x14ac:dyDescent="0.15">
      <c r="A651" s="22"/>
      <c r="B651" s="105"/>
      <c r="C651" s="105"/>
      <c r="D651" s="105"/>
      <c r="E651" s="105"/>
      <c r="F651" s="120" t="s">
        <v>393</v>
      </c>
      <c r="G651" s="109">
        <f>L244</f>
        <v>278811.34000000003</v>
      </c>
      <c r="H651" s="104">
        <f>J598</f>
        <v>278811.34000000003</v>
      </c>
      <c r="I651" s="140" t="s">
        <v>390</v>
      </c>
      <c r="J651" s="109">
        <f t="shared" si="53"/>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3"/>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3"/>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3"/>
        <v>0</v>
      </c>
      <c r="K654" s="85"/>
      <c r="L654" s="88"/>
      <c r="M654" s="8"/>
    </row>
    <row r="655" spans="1:13" s="3" customFormat="1" ht="12.2" customHeight="1" x14ac:dyDescent="0.15">
      <c r="A655" s="22"/>
      <c r="B655" s="105"/>
      <c r="C655" s="105"/>
      <c r="D655" s="105"/>
      <c r="E655" s="105"/>
      <c r="F655" s="120" t="s">
        <v>668</v>
      </c>
      <c r="G655" s="109">
        <f>J179+J181</f>
        <v>79072</v>
      </c>
      <c r="H655" s="104">
        <f>K266+K347</f>
        <v>79072</v>
      </c>
      <c r="I655" s="140" t="s">
        <v>400</v>
      </c>
      <c r="J655" s="109">
        <f t="shared" si="53"/>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8133310.9499999993</v>
      </c>
      <c r="G660" s="19">
        <f>(L229+L309+L359)</f>
        <v>8379237.4799999995</v>
      </c>
      <c r="H660" s="19">
        <f>(L247+L328+L360)</f>
        <v>11680910.850000001</v>
      </c>
      <c r="I660" s="19">
        <f>SUM(F660:H660)</f>
        <v>28193459.280000001</v>
      </c>
      <c r="J660" s="13"/>
      <c r="K660" s="13"/>
      <c r="L660" s="13"/>
      <c r="M660" s="9"/>
    </row>
    <row r="661" spans="1:13" s="3" customFormat="1" ht="12.2" customHeight="1" x14ac:dyDescent="0.2">
      <c r="A661" s="1" t="s">
        <v>127</v>
      </c>
      <c r="F661" s="19">
        <f>(L358/IF(SUM(L358:L360)=0,1,SUM(L358:L360))*(SUM(G97:G110)))</f>
        <v>143409.47514259271</v>
      </c>
      <c r="G661" s="19">
        <f>(L359/IF(SUM(L358:L360)=0,1,SUM(L358:L360))*(SUM(G97:G110)))</f>
        <v>194254.00237346732</v>
      </c>
      <c r="H661" s="19">
        <f>(L360/IF(SUM(L358:L360)=0,1,SUM(L358:L360))*(SUM(G97:G110)))</f>
        <v>289522.6024839399</v>
      </c>
      <c r="I661" s="19">
        <f>SUM(F661:H661)</f>
        <v>627186.07999999984</v>
      </c>
      <c r="J661"/>
      <c r="K661" s="13"/>
      <c r="L661" s="13"/>
      <c r="M661" s="9"/>
    </row>
    <row r="662" spans="1:13" s="3" customFormat="1" ht="12.2" customHeight="1" x14ac:dyDescent="0.2">
      <c r="A662" s="1" t="s">
        <v>128</v>
      </c>
      <c r="F662" s="19">
        <f>(L208+L287)-(J208+J287)</f>
        <v>378411.92</v>
      </c>
      <c r="G662" s="19">
        <f>(L226+L306)-(J226+J306)</f>
        <v>392707.69</v>
      </c>
      <c r="H662" s="19">
        <f>(L244+L325)-(J244+J325)</f>
        <v>258280.63000000003</v>
      </c>
      <c r="I662" s="19">
        <f>SUM(F662:H662)</f>
        <v>1029400.24</v>
      </c>
      <c r="J662"/>
      <c r="K662" s="13"/>
      <c r="L662" s="13"/>
      <c r="M662" s="8"/>
    </row>
    <row r="663" spans="1:13" s="3" customFormat="1" ht="12.2" customHeight="1" x14ac:dyDescent="0.15">
      <c r="A663" s="198" t="s">
        <v>129</v>
      </c>
      <c r="B663" s="169"/>
      <c r="C663" s="169"/>
      <c r="D663" s="169"/>
      <c r="E663" s="169"/>
      <c r="F663" s="199">
        <f>SUM(F575:F587)+SUM(H602:H604)+SUM(L611)</f>
        <v>174594.68</v>
      </c>
      <c r="G663" s="199">
        <f>SUM(G575:G587)+SUM(I602:I604)+L612</f>
        <v>328917.33999999997</v>
      </c>
      <c r="H663" s="199">
        <f>SUM(H575:H587)+SUM(J602:J604)+L613</f>
        <v>1144995.1399999999</v>
      </c>
      <c r="I663" s="19">
        <f>SUM(F663:H663)</f>
        <v>1648507.16</v>
      </c>
      <c r="J663" s="13"/>
      <c r="K663" s="13"/>
      <c r="L663" s="13"/>
      <c r="M663" s="9"/>
    </row>
    <row r="664" spans="1:13" s="3" customFormat="1" ht="12.2" customHeight="1" x14ac:dyDescent="0.15">
      <c r="A664" s="1" t="s">
        <v>130</v>
      </c>
      <c r="F664" s="19">
        <f>F660-SUM(F661:F663)</f>
        <v>7436894.8748574071</v>
      </c>
      <c r="G664" s="19">
        <f>G660-SUM(G661:G663)</f>
        <v>7463358.4476265321</v>
      </c>
      <c r="H664" s="19">
        <f>H660-SUM(H661:H663)</f>
        <v>9988112.4775160626</v>
      </c>
      <c r="I664" s="19">
        <f>I660-SUM(I661:I663)</f>
        <v>24888365.800000001</v>
      </c>
      <c r="J664" s="13"/>
      <c r="K664" s="13"/>
      <c r="L664" s="13"/>
      <c r="M664" s="9"/>
    </row>
    <row r="665" spans="1:13" s="3" customFormat="1" ht="12.2" customHeight="1" x14ac:dyDescent="0.2">
      <c r="A665" s="1" t="s">
        <v>131</v>
      </c>
      <c r="F665" s="246">
        <v>512.07000000000005</v>
      </c>
      <c r="G665" s="247">
        <v>494.28</v>
      </c>
      <c r="H665" s="247">
        <v>647.67999999999995</v>
      </c>
      <c r="I665" s="19">
        <f>SUM(F665:H665)</f>
        <v>1654.03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14523.2</v>
      </c>
      <c r="G667" s="19">
        <f>ROUND(G664/G665,2)</f>
        <v>15099.45</v>
      </c>
      <c r="H667" s="19">
        <f>ROUND(H664/H665,2)</f>
        <v>15421.37</v>
      </c>
      <c r="I667" s="19">
        <f>ROUND(I664/I665,2)</f>
        <v>15047.11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-15.17</v>
      </c>
      <c r="I670" s="19">
        <f>SUM(F670:H670)</f>
        <v>-15.17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14523.2</v>
      </c>
      <c r="G672" s="19">
        <f>ROUND((G664+G669)/(G665+G670),2)</f>
        <v>15099.45</v>
      </c>
      <c r="H672" s="19">
        <f>ROUND((H664+H669)/(H665+H670),2)</f>
        <v>15791.23</v>
      </c>
      <c r="I672" s="19">
        <f>ROUND((I664+I669)/(I665+I670),2)</f>
        <v>15186.39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BOW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7759713.5300000003</v>
      </c>
      <c r="C9" s="229">
        <f>'DOE25'!G197+'DOE25'!G215+'DOE25'!G233+'DOE25'!G276+'DOE25'!G295+'DOE25'!G314</f>
        <v>3747423.3500000006</v>
      </c>
    </row>
    <row r="10" spans="1:3" x14ac:dyDescent="0.2">
      <c r="A10" t="s">
        <v>775</v>
      </c>
      <c r="B10" s="240">
        <v>7430003.7000000002</v>
      </c>
      <c r="C10" s="240">
        <v>3605993.05</v>
      </c>
    </row>
    <row r="11" spans="1:3" x14ac:dyDescent="0.2">
      <c r="A11" t="s">
        <v>776</v>
      </c>
      <c r="B11" s="240">
        <f>9506.48+20246.66</f>
        <v>29753.14</v>
      </c>
      <c r="C11" s="240">
        <f>2522.19+8828.3</f>
        <v>11350.49</v>
      </c>
    </row>
    <row r="12" spans="1:3" x14ac:dyDescent="0.2">
      <c r="A12" t="s">
        <v>777</v>
      </c>
      <c r="B12" s="240">
        <f>34413.31*3+91386.66+105330.1</f>
        <v>299956.69</v>
      </c>
      <c r="C12" s="240">
        <f>35348.68+45891.04+16280.03*3</f>
        <v>130079.81</v>
      </c>
    </row>
    <row r="13" spans="1:3" x14ac:dyDescent="0.2">
      <c r="A13" t="str">
        <f>IF(B9=B13,IF(C9=C13,"Check Total OK","Check Total Error"),"Check Total Error")</f>
        <v>Check Total OK</v>
      </c>
      <c r="B13" s="231">
        <f>SUM(B10:B12)</f>
        <v>7759713.5300000003</v>
      </c>
      <c r="C13" s="231">
        <f>SUM(C10:C12)</f>
        <v>3747423.35</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2709247.67</v>
      </c>
      <c r="C18" s="229">
        <f>'DOE25'!G198+'DOE25'!G216+'DOE25'!G234+'DOE25'!G277+'DOE25'!G296+'DOE25'!G315</f>
        <v>1259637.3400000001</v>
      </c>
    </row>
    <row r="19" spans="1:3" x14ac:dyDescent="0.2">
      <c r="A19" t="s">
        <v>775</v>
      </c>
      <c r="B19" s="240">
        <f>370545.61+45483-45069.61+397762.61-45069.61+336101</f>
        <v>1059753</v>
      </c>
      <c r="C19" s="240">
        <f>235403.07+3479.45-22771.25+185942.06-22771.25+159312.39</f>
        <v>538594.47</v>
      </c>
    </row>
    <row r="20" spans="1:3" x14ac:dyDescent="0.2">
      <c r="A20" t="s">
        <v>776</v>
      </c>
      <c r="B20" s="240">
        <v>1559355.45</v>
      </c>
      <c r="C20" s="240">
        <v>675500.37</v>
      </c>
    </row>
    <row r="21" spans="1:3" x14ac:dyDescent="0.2">
      <c r="A21" t="s">
        <v>777</v>
      </c>
      <c r="B21" s="240">
        <f>45069.61*2</f>
        <v>90139.22</v>
      </c>
      <c r="C21" s="240">
        <f>22771.25*2</f>
        <v>45542.5</v>
      </c>
    </row>
    <row r="22" spans="1:3" x14ac:dyDescent="0.2">
      <c r="A22" t="str">
        <f>IF(B18=B22,IF(C18=C22,"Check Total OK","Check Total Error"),"Check Total Error")</f>
        <v>Check Total OK</v>
      </c>
      <c r="B22" s="231">
        <f>SUM(B19:B21)</f>
        <v>2709247.6700000004</v>
      </c>
      <c r="C22" s="231">
        <f>SUM(C19:C21)</f>
        <v>1259637.3399999999</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380465.7</v>
      </c>
      <c r="C36" s="235">
        <f>'DOE25'!G200+'DOE25'!G218+'DOE25'!G236+'DOE25'!G279+'DOE25'!G298+'DOE25'!G317</f>
        <v>115955.98</v>
      </c>
    </row>
    <row r="37" spans="1:3" x14ac:dyDescent="0.2">
      <c r="A37" t="s">
        <v>775</v>
      </c>
      <c r="B37" s="240">
        <v>202960.77</v>
      </c>
      <c r="C37" s="240">
        <v>47174.89</v>
      </c>
    </row>
    <row r="38" spans="1:3" x14ac:dyDescent="0.2">
      <c r="A38" t="s">
        <v>776</v>
      </c>
      <c r="B38" s="240">
        <v>101489.43</v>
      </c>
      <c r="C38" s="240">
        <v>31449.93</v>
      </c>
    </row>
    <row r="39" spans="1:3" x14ac:dyDescent="0.2">
      <c r="A39" t="s">
        <v>777</v>
      </c>
      <c r="B39" s="240">
        <v>76015.5</v>
      </c>
      <c r="C39" s="240">
        <v>37331.160000000003</v>
      </c>
    </row>
    <row r="40" spans="1:3" x14ac:dyDescent="0.2">
      <c r="A40" t="str">
        <f>IF(B36=B40,IF(C36=C40,"Check Total OK","Check Total Error"),"Check Total Error")</f>
        <v>Check Total OK</v>
      </c>
      <c r="B40" s="231">
        <f>SUM(B37:B39)</f>
        <v>380465.69999999995</v>
      </c>
      <c r="C40" s="231">
        <f>SUM(C37:C39)</f>
        <v>115955.98000000001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5" sqref="F3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BOW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18062582.84</v>
      </c>
      <c r="D5" s="20">
        <f>SUM('DOE25'!L197:L200)+SUM('DOE25'!L215:L218)+SUM('DOE25'!L233:L236)-F5-G5-H5</f>
        <v>17362083.630000003</v>
      </c>
      <c r="E5" s="243"/>
      <c r="F5" s="244">
        <f>286167.17+67117.5+27035.5+39983.82</f>
        <v>420303.99</v>
      </c>
      <c r="G5" s="53">
        <f>SUM('DOE25'!J197:J200)+SUM('DOE25'!J215:J218)+SUM('DOE25'!J233:J236)</f>
        <v>110441.06</v>
      </c>
      <c r="H5" s="53">
        <f>SUM('DOE25'!K197:K200)+SUM('DOE25'!K215:K218)+SUM('DOE25'!K233:K236)</f>
        <v>169754.16</v>
      </c>
      <c r="I5" s="256"/>
    </row>
    <row r="6" spans="1:9" x14ac:dyDescent="0.2">
      <c r="A6" s="32">
        <v>2100</v>
      </c>
      <c r="B6" t="s">
        <v>796</v>
      </c>
      <c r="C6" s="276">
        <f t="shared" si="0"/>
        <v>2385654.7399999998</v>
      </c>
      <c r="D6" s="20">
        <f>'DOE25'!L202+'DOE25'!L220+'DOE25'!L238-F6-G6-H6</f>
        <v>2280377.73</v>
      </c>
      <c r="E6" s="243"/>
      <c r="F6" s="244">
        <f>36121.6+63033.53</f>
        <v>99155.13</v>
      </c>
      <c r="G6" s="53">
        <f>'DOE25'!J202+'DOE25'!J220+'DOE25'!J238</f>
        <v>5007.88</v>
      </c>
      <c r="H6" s="53">
        <f>'DOE25'!K202+'DOE25'!K220+'DOE25'!K238</f>
        <v>1114</v>
      </c>
      <c r="I6" s="256"/>
    </row>
    <row r="7" spans="1:9" x14ac:dyDescent="0.2">
      <c r="A7" s="32">
        <v>2200</v>
      </c>
      <c r="B7" t="s">
        <v>821</v>
      </c>
      <c r="C7" s="276">
        <f t="shared" si="0"/>
        <v>1179084</v>
      </c>
      <c r="D7" s="20">
        <f>'DOE25'!L203+'DOE25'!L221+'DOE25'!L239-F7-G7-H7</f>
        <v>932504.45</v>
      </c>
      <c r="E7" s="243"/>
      <c r="F7" s="244">
        <v>0</v>
      </c>
      <c r="G7" s="53">
        <f>'DOE25'!J203+'DOE25'!J221+'DOE25'!J239</f>
        <v>245859.55</v>
      </c>
      <c r="H7" s="53">
        <f>'DOE25'!K203+'DOE25'!K221+'DOE25'!K239</f>
        <v>720</v>
      </c>
      <c r="I7" s="256"/>
    </row>
    <row r="8" spans="1:9" x14ac:dyDescent="0.2">
      <c r="A8" s="32">
        <v>2300</v>
      </c>
      <c r="B8" t="s">
        <v>797</v>
      </c>
      <c r="C8" s="276">
        <f t="shared" si="0"/>
        <v>552941.81000000006</v>
      </c>
      <c r="D8" s="243"/>
      <c r="E8" s="20">
        <f>'DOE25'!L204+'DOE25'!L222+'DOE25'!L240-F8-G8-H8-D9-D11</f>
        <v>523157.18000000005</v>
      </c>
      <c r="F8" s="244">
        <v>0</v>
      </c>
      <c r="G8" s="53">
        <f>'DOE25'!J204+'DOE25'!J222+'DOE25'!J240</f>
        <v>0</v>
      </c>
      <c r="H8" s="53">
        <f>'DOE25'!K204+'DOE25'!K222+'DOE25'!K240</f>
        <v>29784.629999999997</v>
      </c>
      <c r="I8" s="256"/>
    </row>
    <row r="9" spans="1:9" ht="14.25" x14ac:dyDescent="0.2">
      <c r="A9" s="32">
        <v>2310</v>
      </c>
      <c r="B9" s="185" t="s">
        <v>890</v>
      </c>
      <c r="C9" s="276">
        <f t="shared" si="0"/>
        <v>39385.760000000002</v>
      </c>
      <c r="D9" s="244">
        <v>39385.760000000002</v>
      </c>
      <c r="E9" s="243"/>
      <c r="F9" s="253"/>
      <c r="G9" s="253"/>
      <c r="H9" s="253"/>
      <c r="I9" s="256"/>
    </row>
    <row r="10" spans="1:9" ht="14.25" x14ac:dyDescent="0.2">
      <c r="A10" s="32">
        <v>2317</v>
      </c>
      <c r="B10" s="185" t="s">
        <v>891</v>
      </c>
      <c r="C10" s="276">
        <f t="shared" si="0"/>
        <v>12140</v>
      </c>
      <c r="D10" s="243"/>
      <c r="E10" s="244">
        <v>12140</v>
      </c>
      <c r="F10" s="253"/>
      <c r="G10" s="253"/>
      <c r="H10" s="253"/>
      <c r="I10" s="256"/>
    </row>
    <row r="11" spans="1:9" ht="14.25" x14ac:dyDescent="0.2">
      <c r="A11" s="32">
        <v>2321</v>
      </c>
      <c r="B11" s="185" t="s">
        <v>892</v>
      </c>
      <c r="C11" s="276">
        <f t="shared" si="0"/>
        <v>236742.35</v>
      </c>
      <c r="D11" s="244">
        <v>236742.35</v>
      </c>
      <c r="E11" s="243"/>
      <c r="F11" s="253"/>
      <c r="G11" s="253"/>
      <c r="H11" s="253"/>
      <c r="I11" s="256"/>
    </row>
    <row r="12" spans="1:9" x14ac:dyDescent="0.2">
      <c r="A12" s="32">
        <v>2400</v>
      </c>
      <c r="B12" t="s">
        <v>711</v>
      </c>
      <c r="C12" s="276">
        <f t="shared" si="0"/>
        <v>1363851.18</v>
      </c>
      <c r="D12" s="20">
        <f>'DOE25'!L205+'DOE25'!L223+'DOE25'!L241-F12-G12-H12</f>
        <v>1346631.59</v>
      </c>
      <c r="E12" s="243"/>
      <c r="F12" s="244">
        <v>0</v>
      </c>
      <c r="G12" s="53">
        <f>'DOE25'!J205+'DOE25'!J223+'DOE25'!J241</f>
        <v>2035.96</v>
      </c>
      <c r="H12" s="53">
        <f>'DOE25'!K205+'DOE25'!K223+'DOE25'!K241</f>
        <v>15183.63</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2037557.8699999999</v>
      </c>
      <c r="D14" s="20">
        <f>'DOE25'!L207+'DOE25'!L225+'DOE25'!L243-F14-G14-H14</f>
        <v>1975761.63</v>
      </c>
      <c r="E14" s="243"/>
      <c r="F14" s="244">
        <v>58422</v>
      </c>
      <c r="G14" s="53">
        <f>'DOE25'!J207+'DOE25'!J225+'DOE25'!J243</f>
        <v>3374.24</v>
      </c>
      <c r="H14" s="53">
        <f>'DOE25'!K207+'DOE25'!K225+'DOE25'!K243</f>
        <v>0</v>
      </c>
      <c r="I14" s="256"/>
    </row>
    <row r="15" spans="1:9" x14ac:dyDescent="0.2">
      <c r="A15" s="32">
        <v>2700</v>
      </c>
      <c r="B15" t="s">
        <v>799</v>
      </c>
      <c r="C15" s="276">
        <f t="shared" si="0"/>
        <v>1149236.97</v>
      </c>
      <c r="D15" s="20">
        <f>'DOE25'!L208+'DOE25'!L226+'DOE25'!L244-F15-G15-H15</f>
        <v>780799.17999999993</v>
      </c>
      <c r="E15" s="243"/>
      <c r="F15" s="244">
        <f>34180+168175+39375</f>
        <v>241730</v>
      </c>
      <c r="G15" s="53">
        <f>'DOE25'!J208+'DOE25'!J226+'DOE25'!J244</f>
        <v>119836.73000000001</v>
      </c>
      <c r="H15" s="53">
        <f>'DOE25'!K208+'DOE25'!K226+'DOE25'!K244</f>
        <v>6871.06</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275700</v>
      </c>
      <c r="D25" s="243"/>
      <c r="E25" s="243"/>
      <c r="F25" s="255"/>
      <c r="G25" s="253"/>
      <c r="H25" s="253"/>
      <c r="I25" s="254">
        <f>'DOE25'!L260+'DOE25'!L261+'DOE25'!L341+'DOE25'!L342</f>
        <v>275700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424675.9</v>
      </c>
      <c r="D29" s="284">
        <f>'DOE25'!L358+'DOE25'!L359+'DOE25'!L360-'DOE25'!I367-F29-G29-H29</f>
        <v>393708.53</v>
      </c>
      <c r="E29" s="243"/>
      <c r="F29" s="244">
        <v>0</v>
      </c>
      <c r="G29" s="53">
        <f>'DOE25'!J358+'DOE25'!J359+'DOE25'!J360</f>
        <v>30646.870000000003</v>
      </c>
      <c r="H29" s="53">
        <f>'DOE25'!K358+'DOE25'!K359+'DOE25'!K360</f>
        <v>320.5</v>
      </c>
      <c r="I29" s="256"/>
    </row>
    <row r="30" spans="1:9" x14ac:dyDescent="0.2">
      <c r="A30" s="32"/>
      <c r="C30" s="277"/>
      <c r="D30" s="20"/>
      <c r="E30" s="281"/>
      <c r="F30" s="271"/>
      <c r="G30" s="53"/>
      <c r="H30" s="53"/>
      <c r="I30" s="256"/>
    </row>
    <row r="31" spans="1:9" x14ac:dyDescent="0.2">
      <c r="A31" s="32" t="s">
        <v>818</v>
      </c>
      <c r="B31" t="s">
        <v>817</v>
      </c>
      <c r="C31" s="276">
        <f>SUM(D31:I31)</f>
        <v>444514.10999999993</v>
      </c>
      <c r="D31" s="20">
        <f>'DOE25'!L290+'DOE25'!L309+'DOE25'!L328+'DOE25'!L333+'DOE25'!L334+'DOE25'!L335-F31-G31-H31</f>
        <v>422885.40999999992</v>
      </c>
      <c r="E31" s="243"/>
      <c r="F31" s="244">
        <v>0</v>
      </c>
      <c r="G31" s="53">
        <f>'DOE25'!J290+'DOE25'!J309+'DOE25'!J328+'DOE25'!J333+'DOE25'!J334+'DOE25'!J335</f>
        <v>10077.27</v>
      </c>
      <c r="H31" s="53">
        <f>'DOE25'!K290+'DOE25'!K309+'DOE25'!K328+'DOE25'!K333+'DOE25'!K334+'DOE25'!K335</f>
        <v>11551.43</v>
      </c>
      <c r="I31" s="256"/>
    </row>
    <row r="32" spans="1:9" ht="12" thickBot="1" x14ac:dyDescent="0.25">
      <c r="C32" s="277"/>
      <c r="G32" s="251"/>
      <c r="H32" s="251"/>
      <c r="I32" s="258"/>
    </row>
    <row r="33" spans="1:9" ht="12" thickTop="1" x14ac:dyDescent="0.2">
      <c r="B33" t="s">
        <v>809</v>
      </c>
      <c r="D33" s="245">
        <f t="shared" ref="D33:I33" si="1">SUM(D5:D31)</f>
        <v>25770880.260000005</v>
      </c>
      <c r="E33" s="245">
        <f t="shared" si="1"/>
        <v>535297.18000000005</v>
      </c>
      <c r="F33" s="245">
        <f t="shared" si="1"/>
        <v>819611.12</v>
      </c>
      <c r="G33" s="245">
        <f t="shared" si="1"/>
        <v>527279.56000000006</v>
      </c>
      <c r="H33" s="245">
        <f t="shared" si="1"/>
        <v>235299.41</v>
      </c>
      <c r="I33" s="245">
        <f t="shared" si="1"/>
        <v>275700</v>
      </c>
    </row>
    <row r="35" spans="1:9" ht="12" thickBot="1" x14ac:dyDescent="0.25">
      <c r="B35" s="251" t="s">
        <v>831</v>
      </c>
      <c r="D35" s="252">
        <f>E33</f>
        <v>535297.18000000005</v>
      </c>
      <c r="E35" s="248"/>
    </row>
    <row r="36" spans="1:9" ht="12" thickTop="1" x14ac:dyDescent="0.2">
      <c r="B36" t="s">
        <v>810</v>
      </c>
      <c r="D36" s="20">
        <f>D33</f>
        <v>25770880.260000005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3.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BOW SCHOOL DISTRICT</v>
      </c>
      <c r="B2" s="126">
        <f>'DOE25'!B2</f>
        <v>57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7963669.7699999996</v>
      </c>
      <c r="G4" s="303">
        <f>'DOE25'!L211+'DOE25'!L290</f>
        <v>7963669.7699999996</v>
      </c>
      <c r="H4" s="304">
        <f>F4-G4</f>
        <v>0</v>
      </c>
      <c r="I4" s="310" t="str">
        <f>IF(H4=0,"","Does not match DOE25 page 7 and 11 Totals!!")</f>
        <v/>
      </c>
      <c r="N4"/>
    </row>
    <row r="5" spans="1:18" x14ac:dyDescent="0.2">
      <c r="A5" s="21" t="s">
        <v>959</v>
      </c>
      <c r="B5" s="305">
        <f>IFERROR(VLOOKUP(A5,'School Tables'!$C$3:$D$368,2,FALSE),"")</f>
        <v>20680</v>
      </c>
      <c r="C5" s="297" t="str">
        <f>IFERROR(INDEX('School Tables'!$B$3:$B$368,MATCH('School Level Expenditures'!B5,'School Tables'!$D$3:$D$368,0)),"")</f>
        <v>Bow</v>
      </c>
      <c r="D5" s="294">
        <f>'DOE25'!L211</f>
        <v>7794922.1499999994</v>
      </c>
      <c r="E5" s="294">
        <f>'DOE25'!L290</f>
        <v>168747.61999999994</v>
      </c>
      <c r="F5" s="313">
        <f>D5+E5</f>
        <v>7963669.7699999996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8149451.5599999996</v>
      </c>
      <c r="G24" s="303">
        <f>'DOE25'!L229+'DOE25'!L309</f>
        <v>8149451.5599999996</v>
      </c>
      <c r="H24" s="304">
        <f>F24-G24</f>
        <v>0</v>
      </c>
      <c r="I24" s="310" t="str">
        <f>IF(H24=0,"","Does not match DOE25 page 8 and 12 Totals!!")</f>
        <v/>
      </c>
      <c r="N24"/>
    </row>
    <row r="25" spans="1:14" x14ac:dyDescent="0.2">
      <c r="A25" s="21" t="s">
        <v>958</v>
      </c>
      <c r="B25" s="305">
        <f>IFERROR(VLOOKUP(A25,'School Tables'!$I$3:$J$80,2,FALSE),"")</f>
        <v>20675</v>
      </c>
      <c r="C25" s="297" t="str">
        <f t="array" ref="C25">IFERROR(INDEX('School Tables'!$H$3:$H$80,MATCH('School Level Expenditures'!B25,'School Tables'!$J$3:$J$80,0)),"")</f>
        <v>Bow</v>
      </c>
      <c r="D25" s="294">
        <f>'DOE25'!L229</f>
        <v>7977194.1999999993</v>
      </c>
      <c r="E25" s="294">
        <f>'DOE25'!L309</f>
        <v>172257.36</v>
      </c>
      <c r="F25" s="308">
        <f>D25+E25</f>
        <v>8149451.5599999996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11338430.300000001</v>
      </c>
      <c r="G36" s="303">
        <f>'DOE25'!L247+'DOE25'!L328</f>
        <v>11338430.300000001</v>
      </c>
      <c r="H36" s="304">
        <f>F36-G36</f>
        <v>0</v>
      </c>
      <c r="I36" s="310" t="str">
        <f>IF(H36=0,"","Does not match DOE25 page 9 and 13 Totals!!")</f>
        <v/>
      </c>
      <c r="N36"/>
    </row>
    <row r="37" spans="1:14" x14ac:dyDescent="0.2">
      <c r="A37" s="21" t="s">
        <v>960</v>
      </c>
      <c r="B37" s="305">
        <f>IFERROR(VLOOKUP(A37,'School Tables'!$O$3:$P$122,2,FALSE),"")</f>
        <v>27375</v>
      </c>
      <c r="C37" s="297" t="str">
        <f t="array" ref="C37">IFERROR(INDEX('School Tables'!$N$3:$N$122,MATCH('School Level Expenditures'!B37,'School Tables'!$P$3:$P$122,0)),"")</f>
        <v>Bow</v>
      </c>
      <c r="D37" s="294">
        <f>'DOE25'!L247</f>
        <v>11234921.17</v>
      </c>
      <c r="E37" s="294">
        <f>'DOE25'!L328</f>
        <v>103509.13</v>
      </c>
      <c r="F37" s="308">
        <f>D37+E37</f>
        <v>11338430.300000001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VBEVXC6aNlua5eliiAmNaO0hwi6gWwj9+y4PsKK1mR3zgaTfXCd7//bd/6RH+UZNKNF7pOIuxOJJwx+u+TNCg==" saltValue="dhwZmkiHf2UGGdnPvfaraw=="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BOW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2134693.8899999997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1965642.5299999998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3404907.96</v>
      </c>
      <c r="D11" s="95">
        <f>'DOE25'!G12</f>
        <v>2292523.4</v>
      </c>
      <c r="E11" s="95">
        <f>'DOE25'!H12</f>
        <v>1331406.52</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123193.29</v>
      </c>
      <c r="D13" s="95">
        <f>'DOE25'!G14</f>
        <v>4918.1099999999997</v>
      </c>
      <c r="E13" s="95">
        <f>'DOE25'!H14</f>
        <v>48848.54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253343.14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5916138.2799999993</v>
      </c>
      <c r="D18" s="41">
        <f>SUM(D8:D17)</f>
        <v>2297441.5099999998</v>
      </c>
      <c r="E18" s="41">
        <f>SUM(E8:E17)</f>
        <v>1380255.06</v>
      </c>
      <c r="F18" s="41">
        <f>SUM(F8:F17)</f>
        <v>0</v>
      </c>
      <c r="G18" s="41">
        <f>SUM(G8:G17)</f>
        <v>1965642.5299999998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3646647.23</v>
      </c>
      <c r="D21" s="95">
        <f>'DOE25'!G22</f>
        <v>2008124.67</v>
      </c>
      <c r="E21" s="95">
        <f>'DOE25'!H22</f>
        <v>1374066.01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719665.84</v>
      </c>
      <c r="D23" s="95">
        <f>'DOE25'!G24</f>
        <v>6000.47</v>
      </c>
      <c r="E23" s="95">
        <f>'DOE25'!H24</f>
        <v>6189.05</v>
      </c>
      <c r="F23" s="95">
        <f>'DOE25'!I24</f>
        <v>0</v>
      </c>
      <c r="G23" s="95">
        <f>'DOE25'!J24</f>
        <v>0</v>
      </c>
      <c r="H23" s="124"/>
      <c r="I23" s="124"/>
    </row>
    <row r="24" spans="1:9" x14ac:dyDescent="0.2">
      <c r="A24" s="1" t="s">
        <v>153</v>
      </c>
      <c r="B24" s="6">
        <v>430</v>
      </c>
      <c r="C24" s="95">
        <f>'DOE25'!F25</f>
        <v>1180412.8500000001</v>
      </c>
      <c r="D24" s="95">
        <f>'DOE25'!G25</f>
        <v>3403.16</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-95063.98000000001</v>
      </c>
      <c r="D28" s="95">
        <f>'DOE25'!G29</f>
        <v>0</v>
      </c>
      <c r="E28" s="95">
        <f>'DOE25'!H29</f>
        <v>0</v>
      </c>
      <c r="F28" s="95">
        <f>'DOE25'!I29</f>
        <v>0</v>
      </c>
      <c r="G28" s="24" t="s">
        <v>288</v>
      </c>
      <c r="H28" s="124"/>
      <c r="I28" s="124"/>
    </row>
    <row r="29" spans="1:9" x14ac:dyDescent="0.2">
      <c r="A29" s="1" t="s">
        <v>158</v>
      </c>
      <c r="B29" s="6">
        <v>480</v>
      </c>
      <c r="C29" s="95">
        <f>'DOE25'!F30</f>
        <v>306</v>
      </c>
      <c r="D29" s="95">
        <f>'DOE25'!G30</f>
        <v>22588.83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5451967.9399999995</v>
      </c>
      <c r="D31" s="41">
        <f>SUM(D21:D30)</f>
        <v>2040117.13</v>
      </c>
      <c r="E31" s="41">
        <f>SUM(E21:E30)</f>
        <v>1380255.06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253343.14</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257324.37999999989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1965642.5299999998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210827.20000000019</v>
      </c>
      <c r="D49" s="24" t="s">
        <v>288</v>
      </c>
      <c r="E49" s="24" t="s">
        <v>288</v>
      </c>
      <c r="F49" s="24" t="s">
        <v>288</v>
      </c>
      <c r="G49" s="24" t="s">
        <v>288</v>
      </c>
      <c r="H49" s="124"/>
      <c r="I49" s="124"/>
    </row>
    <row r="50" spans="1:9" ht="12.75" thickTop="1" thickBot="1" x14ac:dyDescent="0.25">
      <c r="A50" s="38" t="s">
        <v>884</v>
      </c>
      <c r="B50" s="48"/>
      <c r="C50" s="41">
        <f>SUM(C34:C49)</f>
        <v>464170.3400000002</v>
      </c>
      <c r="D50" s="41">
        <f>SUM(D34:D49)</f>
        <v>257324.37999999989</v>
      </c>
      <c r="E50" s="41">
        <f>SUM(E34:E49)</f>
        <v>0</v>
      </c>
      <c r="F50" s="41">
        <f>SUM(F34:F49)</f>
        <v>0</v>
      </c>
      <c r="G50" s="41">
        <f>SUM(G34:G49)</f>
        <v>1965642.5299999998</v>
      </c>
      <c r="H50" s="124"/>
      <c r="I50" s="124"/>
    </row>
    <row r="51" spans="1:9" ht="12" thickTop="1" x14ac:dyDescent="0.2">
      <c r="A51" s="38" t="s">
        <v>885</v>
      </c>
      <c r="B51" s="2"/>
      <c r="C51" s="41">
        <f>C50+C31</f>
        <v>5916138.2799999993</v>
      </c>
      <c r="D51" s="41">
        <f>D50+D31</f>
        <v>2297441.5099999998</v>
      </c>
      <c r="E51" s="41">
        <f>E50+E31</f>
        <v>1380255.06</v>
      </c>
      <c r="F51" s="41">
        <f>F50+F31</f>
        <v>0</v>
      </c>
      <c r="G51" s="41">
        <f>G50+G31</f>
        <v>1965642.5299999998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16942745</v>
      </c>
      <c r="D56" s="95">
        <f>'DOE25'!G60</f>
        <v>0</v>
      </c>
      <c r="E56" s="95">
        <f>'DOE25'!H60</f>
        <v>0</v>
      </c>
      <c r="F56" s="95">
        <f>'DOE25'!I60</f>
        <v>0</v>
      </c>
      <c r="G56" s="95">
        <f>'DOE25'!J60</f>
        <v>0</v>
      </c>
      <c r="H56"/>
      <c r="I56"/>
    </row>
    <row r="57" spans="1:9" x14ac:dyDescent="0.2">
      <c r="A57" s="1" t="s">
        <v>164</v>
      </c>
      <c r="B57" s="6" t="s">
        <v>165</v>
      </c>
      <c r="C57" s="95">
        <f>'DOE25'!F79</f>
        <v>2916069.58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11414.48</v>
      </c>
      <c r="D59" s="95">
        <f>'DOE25'!G96</f>
        <v>0</v>
      </c>
      <c r="E59" s="95">
        <f>'DOE25'!H96</f>
        <v>0</v>
      </c>
      <c r="F59" s="95">
        <f>'DOE25'!I96</f>
        <v>0</v>
      </c>
      <c r="G59" s="95">
        <f>'DOE25'!J96</f>
        <v>57662.92</v>
      </c>
      <c r="H59"/>
      <c r="I59"/>
    </row>
    <row r="60" spans="1:9" x14ac:dyDescent="0.2">
      <c r="A60" s="1" t="s">
        <v>170</v>
      </c>
      <c r="B60" s="118" t="s">
        <v>171</v>
      </c>
      <c r="C60" s="24" t="s">
        <v>288</v>
      </c>
      <c r="D60" s="95">
        <f>'DOE25'!G97</f>
        <v>627186.07999999996</v>
      </c>
      <c r="E60" s="24" t="s">
        <v>288</v>
      </c>
      <c r="F60" s="24" t="s">
        <v>288</v>
      </c>
      <c r="G60" s="24" t="s">
        <v>288</v>
      </c>
      <c r="H60"/>
      <c r="I60"/>
    </row>
    <row r="61" spans="1:9" ht="12" thickBot="1" x14ac:dyDescent="0.25">
      <c r="A61" s="1" t="s">
        <v>172</v>
      </c>
      <c r="B61" s="118" t="s">
        <v>173</v>
      </c>
      <c r="C61" s="95">
        <f>SUM('DOE25'!F98:F110)</f>
        <v>373361.31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3300845.37</v>
      </c>
      <c r="D62" s="130">
        <f>SUM(D57:D61)</f>
        <v>627186.07999999996</v>
      </c>
      <c r="E62" s="130">
        <f>SUM(E57:E61)</f>
        <v>0</v>
      </c>
      <c r="F62" s="130">
        <f>SUM(F57:F61)</f>
        <v>0</v>
      </c>
      <c r="G62" s="130">
        <f>SUM(G57:G61)</f>
        <v>57662.92</v>
      </c>
      <c r="H62"/>
      <c r="I62"/>
    </row>
    <row r="63" spans="1:9" ht="12" thickTop="1" x14ac:dyDescent="0.2">
      <c r="A63" s="29" t="s">
        <v>175</v>
      </c>
      <c r="B63" s="6"/>
      <c r="C63" s="22">
        <f>C56+C62</f>
        <v>20243590.370000001</v>
      </c>
      <c r="D63" s="22">
        <f>D56+D62</f>
        <v>627186.07999999996</v>
      </c>
      <c r="E63" s="22">
        <f>E56+E62</f>
        <v>0</v>
      </c>
      <c r="F63" s="22">
        <f>F56+F62</f>
        <v>0</v>
      </c>
      <c r="G63" s="22">
        <f>G56+G62</f>
        <v>57662.92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3761294.9</v>
      </c>
      <c r="D66" s="24" t="s">
        <v>288</v>
      </c>
      <c r="E66" s="24" t="s">
        <v>288</v>
      </c>
      <c r="F66" s="24" t="s">
        <v>288</v>
      </c>
      <c r="G66" s="24" t="s">
        <v>288</v>
      </c>
      <c r="H66"/>
      <c r="I66"/>
    </row>
    <row r="67" spans="1:9" x14ac:dyDescent="0.2">
      <c r="A67" s="1" t="s">
        <v>770</v>
      </c>
      <c r="B67" s="6">
        <v>3112</v>
      </c>
      <c r="C67" s="95">
        <f>'DOE25'!F118</f>
        <v>2173420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3912.18</v>
      </c>
      <c r="D69" s="95">
        <f>'DOE25'!G120</f>
        <v>0</v>
      </c>
      <c r="E69" s="95">
        <f>'DOE25'!H120</f>
        <v>0</v>
      </c>
      <c r="F69" s="95">
        <f>'DOE25'!I120</f>
        <v>0</v>
      </c>
      <c r="G69" s="95">
        <f>'DOE25'!J120</f>
        <v>0</v>
      </c>
      <c r="H69"/>
      <c r="I69"/>
    </row>
    <row r="70" spans="1:9" ht="12" thickTop="1" x14ac:dyDescent="0.2">
      <c r="A70" s="29" t="s">
        <v>252</v>
      </c>
      <c r="B70" s="2"/>
      <c r="C70" s="139">
        <f>SUM(C66:C69)</f>
        <v>5938627.0800000001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67289.929999999993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94688.44</v>
      </c>
      <c r="D74" s="24"/>
      <c r="E74" s="24"/>
      <c r="F74" s="24"/>
      <c r="G74" s="24"/>
      <c r="H74"/>
      <c r="I74"/>
    </row>
    <row r="75" spans="1:9" x14ac:dyDescent="0.2">
      <c r="A75" s="1" t="s">
        <v>256</v>
      </c>
      <c r="B75" s="6">
        <v>3230</v>
      </c>
      <c r="C75" s="95">
        <f>'DOE25'!F126</f>
        <v>346476.1</v>
      </c>
      <c r="D75" s="24" t="s">
        <v>288</v>
      </c>
      <c r="E75" s="24" t="s">
        <v>288</v>
      </c>
      <c r="F75" s="24" t="s">
        <v>288</v>
      </c>
      <c r="G75" s="24" t="s">
        <v>288</v>
      </c>
      <c r="H75"/>
      <c r="I75"/>
    </row>
    <row r="76" spans="1:9" x14ac:dyDescent="0.2">
      <c r="A76" s="1" t="s">
        <v>257</v>
      </c>
      <c r="B76" s="6" t="s">
        <v>179</v>
      </c>
      <c r="C76" s="95">
        <f>SUM('DOE25'!F127:F130)</f>
        <v>7183.2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38835.57</v>
      </c>
      <c r="E77" s="95">
        <f>SUM('DOE25'!H131:H135)</f>
        <v>0</v>
      </c>
      <c r="F77" s="95">
        <f>SUM('DOE25'!I131:I135)</f>
        <v>0</v>
      </c>
      <c r="G77" s="95">
        <f>SUM('DOE25'!J131:J135)</f>
        <v>0</v>
      </c>
      <c r="H77"/>
      <c r="I77"/>
    </row>
    <row r="78" spans="1:9" ht="12.75" thickTop="1" thickBot="1" x14ac:dyDescent="0.25">
      <c r="A78" s="29" t="s">
        <v>259</v>
      </c>
      <c r="B78" s="6"/>
      <c r="C78" s="130">
        <f>SUM(C72:C77)</f>
        <v>515637.67</v>
      </c>
      <c r="D78" s="130">
        <f>SUM(D72:D77)</f>
        <v>38835.57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6454264.75</v>
      </c>
      <c r="D81" s="130">
        <f>SUM(D79:D80)+D78+D70</f>
        <v>38835.57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171972.09</v>
      </c>
      <c r="D88" s="95">
        <f>SUM('DOE25'!G153:G161)</f>
        <v>92409.84</v>
      </c>
      <c r="E88" s="95">
        <f>SUM('DOE25'!H153:H161)</f>
        <v>445039.11000000004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171972.09</v>
      </c>
      <c r="D91" s="131">
        <f>SUM(D85:D90)</f>
        <v>92409.84</v>
      </c>
      <c r="E91" s="131">
        <f>SUM(E85:E90)</f>
        <v>445039.11000000004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79072</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42950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42950</v>
      </c>
      <c r="D103" s="86">
        <f>SUM(D93:D102)</f>
        <v>0</v>
      </c>
      <c r="E103" s="86">
        <f>SUM(E93:E102)</f>
        <v>0</v>
      </c>
      <c r="F103" s="86">
        <f>SUM(F93:F102)</f>
        <v>0</v>
      </c>
      <c r="G103" s="86">
        <f>SUM(G93:G102)</f>
        <v>79072</v>
      </c>
    </row>
    <row r="104" spans="1:7" ht="12.75" thickTop="1" thickBot="1" x14ac:dyDescent="0.25">
      <c r="A104" s="33" t="s">
        <v>761</v>
      </c>
      <c r="C104" s="86">
        <f>C63+C81+C91+C103</f>
        <v>26912777.210000001</v>
      </c>
      <c r="D104" s="86">
        <f>D63+D81+D91+D103</f>
        <v>758431.48999999987</v>
      </c>
      <c r="E104" s="86">
        <f>E63+E81+E91+E103</f>
        <v>445039.11000000004</v>
      </c>
      <c r="F104" s="86">
        <f>F63+F81+F91+F103</f>
        <v>0</v>
      </c>
      <c r="G104" s="86">
        <f>G63+G81+G103</f>
        <v>136734.91999999998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11854290.419999998</v>
      </c>
      <c r="D109" s="24" t="s">
        <v>288</v>
      </c>
      <c r="E109" s="95">
        <f>('DOE25'!L276)+('DOE25'!L295)+('DOE25'!L314)</f>
        <v>39383.320000000007</v>
      </c>
      <c r="F109" s="24" t="s">
        <v>288</v>
      </c>
      <c r="G109" s="24" t="s">
        <v>288</v>
      </c>
    </row>
    <row r="110" spans="1:7" x14ac:dyDescent="0.2">
      <c r="A110" t="s">
        <v>198</v>
      </c>
      <c r="B110" s="32" t="s">
        <v>199</v>
      </c>
      <c r="C110" s="95">
        <f>('DOE25'!L198)+('DOE25'!L216)+('DOE25'!L234)</f>
        <v>5420243.0599999996</v>
      </c>
      <c r="D110" s="24" t="s">
        <v>288</v>
      </c>
      <c r="E110" s="95">
        <f>('DOE25'!L277)+('DOE25'!L296)+('DOE25'!L315)</f>
        <v>325241.19999999995</v>
      </c>
      <c r="F110" s="24" t="s">
        <v>288</v>
      </c>
      <c r="G110" s="24" t="s">
        <v>288</v>
      </c>
    </row>
    <row r="111" spans="1:7" x14ac:dyDescent="0.2">
      <c r="A111" t="s">
        <v>200</v>
      </c>
      <c r="B111" s="32" t="s">
        <v>165</v>
      </c>
      <c r="C111" s="95">
        <f>('DOE25'!L199)+('DOE25'!L217)+('DOE25'!L235)</f>
        <v>98903.32</v>
      </c>
      <c r="D111" s="24" t="s">
        <v>288</v>
      </c>
      <c r="E111" s="95">
        <f>('DOE25'!L278)+('DOE25'!L297)+('DOE25'!L316)</f>
        <v>0</v>
      </c>
      <c r="F111" s="24" t="s">
        <v>288</v>
      </c>
      <c r="G111" s="24" t="s">
        <v>288</v>
      </c>
    </row>
    <row r="112" spans="1:7" x14ac:dyDescent="0.2">
      <c r="A112" t="s">
        <v>201</v>
      </c>
      <c r="B112" s="32" t="s">
        <v>167</v>
      </c>
      <c r="C112" s="95">
        <f>('DOE25'!L200)+('DOE25'!L218)+('DOE25'!L236)</f>
        <v>689146.03999999992</v>
      </c>
      <c r="D112" s="24" t="s">
        <v>288</v>
      </c>
      <c r="E112" s="95">
        <f>+('DOE25'!L279)+('DOE25'!L298)+('DOE25'!L317)</f>
        <v>24196.810000000005</v>
      </c>
      <c r="F112" s="24" t="s">
        <v>288</v>
      </c>
      <c r="G112" s="24" t="s">
        <v>288</v>
      </c>
    </row>
    <row r="113" spans="1:7" x14ac:dyDescent="0.2">
      <c r="A113" t="s">
        <v>202</v>
      </c>
      <c r="B113" s="32" t="s">
        <v>169</v>
      </c>
      <c r="C113" s="95">
        <f>'DOE25'!L250</f>
        <v>0</v>
      </c>
      <c r="D113" s="24" t="s">
        <v>288</v>
      </c>
      <c r="E113" s="95">
        <f>+'DOE25'!L332</f>
        <v>525</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18062582.839999996</v>
      </c>
      <c r="D115" s="86">
        <f>SUM(D109:D114)</f>
        <v>0</v>
      </c>
      <c r="E115" s="86">
        <f>SUM(E109:E114)</f>
        <v>389346.32999999996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2385654.7399999998</v>
      </c>
      <c r="D118" s="24" t="s">
        <v>288</v>
      </c>
      <c r="E118" s="95">
        <f>+('DOE25'!L281)+('DOE25'!L300)+('DOE25'!L319)</f>
        <v>1137.81</v>
      </c>
      <c r="F118" s="24" t="s">
        <v>288</v>
      </c>
      <c r="G118" s="24" t="s">
        <v>288</v>
      </c>
    </row>
    <row r="119" spans="1:7" x14ac:dyDescent="0.2">
      <c r="A119" t="s">
        <v>208</v>
      </c>
      <c r="B119" s="32" t="s">
        <v>209</v>
      </c>
      <c r="C119" s="95">
        <f>('DOE25'!L203)+('DOE25'!L221)+('DOE25'!L239)</f>
        <v>1179084</v>
      </c>
      <c r="D119" s="24" t="s">
        <v>288</v>
      </c>
      <c r="E119" s="95">
        <f>+('DOE25'!L282)+('DOE25'!L301)+('DOE25'!L320)</f>
        <v>54554.969999999994</v>
      </c>
      <c r="F119" s="24" t="s">
        <v>288</v>
      </c>
      <c r="G119" s="24" t="s">
        <v>288</v>
      </c>
    </row>
    <row r="120" spans="1:7" x14ac:dyDescent="0.2">
      <c r="A120" t="s">
        <v>210</v>
      </c>
      <c r="B120" s="32" t="s">
        <v>211</v>
      </c>
      <c r="C120" s="95">
        <f>('DOE25'!L204)+('DOE25'!L222)+('DOE25'!L240)</f>
        <v>829069.92</v>
      </c>
      <c r="D120" s="24" t="s">
        <v>288</v>
      </c>
      <c r="E120" s="95">
        <f>+('DOE25'!L283)+('DOE25'!L302)+('DOE25'!L321)</f>
        <v>0</v>
      </c>
      <c r="F120" s="24" t="s">
        <v>288</v>
      </c>
      <c r="G120" s="24" t="s">
        <v>288</v>
      </c>
    </row>
    <row r="121" spans="1:7" x14ac:dyDescent="0.2">
      <c r="A121" t="s">
        <v>212</v>
      </c>
      <c r="B121" s="32" t="s">
        <v>213</v>
      </c>
      <c r="C121" s="95">
        <f>('DOE25'!L205)+('DOE25'!L223)+('DOE25'!L241)</f>
        <v>1363851.18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2037557.8699999999</v>
      </c>
      <c r="D123" s="24" t="s">
        <v>288</v>
      </c>
      <c r="E123" s="95">
        <f>+('DOE25'!L286)+('DOE25'!L305)+('DOE25'!L324)</f>
        <v>0</v>
      </c>
      <c r="F123" s="24" t="s">
        <v>288</v>
      </c>
      <c r="G123" s="24" t="s">
        <v>288</v>
      </c>
    </row>
    <row r="124" spans="1:7" x14ac:dyDescent="0.2">
      <c r="A124" t="s">
        <v>218</v>
      </c>
      <c r="B124" s="32" t="s">
        <v>219</v>
      </c>
      <c r="C124" s="95">
        <f>('DOE25'!L208)+('DOE25'!L226)+('DOE25'!L244+'DOE25'!L254)</f>
        <v>1149236.97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741907.65</v>
      </c>
      <c r="E127" s="24" t="s">
        <v>288</v>
      </c>
      <c r="F127" s="24" t="s">
        <v>288</v>
      </c>
      <c r="G127" s="24" t="s">
        <v>288</v>
      </c>
    </row>
    <row r="128" spans="1:7" ht="12.75" thickTop="1" thickBot="1" x14ac:dyDescent="0.25">
      <c r="A128" s="33" t="s">
        <v>226</v>
      </c>
      <c r="C128" s="86">
        <f>SUM(C118:C127)</f>
        <v>8944454.6799999997</v>
      </c>
      <c r="D128" s="86">
        <f>SUM(D118:D127)</f>
        <v>741907.65</v>
      </c>
      <c r="E128" s="86">
        <f>SUM(E118:E127)</f>
        <v>55692.779999999992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200000</v>
      </c>
      <c r="D131" s="24" t="s">
        <v>288</v>
      </c>
      <c r="E131" s="129">
        <f>'DOE25'!L341</f>
        <v>0</v>
      </c>
      <c r="F131" s="24" t="s">
        <v>288</v>
      </c>
      <c r="G131" s="24" t="s">
        <v>288</v>
      </c>
    </row>
    <row r="132" spans="1:7" x14ac:dyDescent="0.2">
      <c r="A132" t="s">
        <v>230</v>
      </c>
      <c r="B132" s="32">
        <v>5120</v>
      </c>
      <c r="C132" s="95">
        <f>'DOE25'!L261</f>
        <v>75700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42950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136734.91999999998</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-57662.919999999984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354772</v>
      </c>
      <c r="D144" s="141">
        <f>SUM(D130:D143)</f>
        <v>0</v>
      </c>
      <c r="E144" s="141">
        <f>SUM(E130:E143)</f>
        <v>0</v>
      </c>
      <c r="F144" s="141">
        <f>SUM(F130:F143)</f>
        <v>0</v>
      </c>
      <c r="G144" s="141">
        <f>SUM(G130:G143)</f>
        <v>42950</v>
      </c>
    </row>
    <row r="145" spans="1:9" ht="12.75" thickTop="1" thickBot="1" x14ac:dyDescent="0.25">
      <c r="A145" s="33" t="s">
        <v>244</v>
      </c>
      <c r="C145" s="86">
        <f>(C115+C128+C144)</f>
        <v>27361809.519999996</v>
      </c>
      <c r="D145" s="86">
        <f>(D115+D128+D144)</f>
        <v>741907.65</v>
      </c>
      <c r="E145" s="86">
        <f>(E115+E128+E144)</f>
        <v>445039.10999999993</v>
      </c>
      <c r="F145" s="86">
        <f>(F115+F128+F144)</f>
        <v>0</v>
      </c>
      <c r="G145" s="86">
        <f>(G115+G128+G144)</f>
        <v>42950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7/1/2006</v>
      </c>
      <c r="C152" s="152">
        <f>'DOE25'!G491</f>
        <v>0</v>
      </c>
      <c r="D152" s="152">
        <f>'DOE25'!H491</f>
        <v>0</v>
      </c>
      <c r="E152" s="152">
        <f>'DOE25'!I491</f>
        <v>0</v>
      </c>
      <c r="F152" s="152">
        <f>'DOE25'!J491</f>
        <v>0</v>
      </c>
      <c r="G152" s="24" t="s">
        <v>288</v>
      </c>
    </row>
    <row r="153" spans="1:9" x14ac:dyDescent="0.2">
      <c r="A153" s="136" t="s">
        <v>29</v>
      </c>
      <c r="B153" s="152" t="str">
        <f>'DOE25'!F492</f>
        <v>7/1/2026</v>
      </c>
      <c r="C153" s="152">
        <f>'DOE25'!G492</f>
        <v>0</v>
      </c>
      <c r="D153" s="152">
        <f>'DOE25'!H492</f>
        <v>0</v>
      </c>
      <c r="E153" s="152">
        <f>'DOE25'!I492</f>
        <v>0</v>
      </c>
      <c r="F153" s="152">
        <f>'DOE25'!J492</f>
        <v>0</v>
      </c>
      <c r="G153" s="24" t="s">
        <v>288</v>
      </c>
    </row>
    <row r="154" spans="1:9" x14ac:dyDescent="0.2">
      <c r="A154" s="136" t="s">
        <v>30</v>
      </c>
      <c r="B154" s="137">
        <f>'DOE25'!F493</f>
        <v>4027000</v>
      </c>
      <c r="C154" s="137">
        <f>'DOE25'!G493</f>
        <v>0</v>
      </c>
      <c r="D154" s="137">
        <f>'DOE25'!H493</f>
        <v>0</v>
      </c>
      <c r="E154" s="137">
        <f>'DOE25'!I493</f>
        <v>0</v>
      </c>
      <c r="F154" s="137">
        <f>'DOE25'!J493</f>
        <v>0</v>
      </c>
      <c r="G154" s="24" t="s">
        <v>288</v>
      </c>
    </row>
    <row r="155" spans="1:9" x14ac:dyDescent="0.2">
      <c r="A155" s="136" t="s">
        <v>31</v>
      </c>
      <c r="B155" s="137">
        <f>'DOE25'!F494</f>
        <v>4.4000000000000004</v>
      </c>
      <c r="C155" s="137">
        <f>'DOE25'!G494</f>
        <v>0</v>
      </c>
      <c r="D155" s="137">
        <f>'DOE25'!H494</f>
        <v>0</v>
      </c>
      <c r="E155" s="137">
        <f>'DOE25'!I494</f>
        <v>0</v>
      </c>
      <c r="F155" s="137">
        <f>'DOE25'!J494</f>
        <v>0</v>
      </c>
      <c r="G155" s="24" t="s">
        <v>288</v>
      </c>
    </row>
    <row r="156" spans="1:9" x14ac:dyDescent="0.2">
      <c r="A156" s="22" t="s">
        <v>32</v>
      </c>
      <c r="B156" s="137">
        <f>'DOE25'!F495</f>
        <v>1800000</v>
      </c>
      <c r="C156" s="137">
        <f>'DOE25'!G495</f>
        <v>0</v>
      </c>
      <c r="D156" s="137">
        <f>'DOE25'!H495</f>
        <v>0</v>
      </c>
      <c r="E156" s="137">
        <f>'DOE25'!I495</f>
        <v>0</v>
      </c>
      <c r="F156" s="137">
        <f>'DOE25'!J495</f>
        <v>0</v>
      </c>
      <c r="G156" s="138">
        <f>SUM(B156:F156)</f>
        <v>1800000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200000</v>
      </c>
      <c r="C158" s="137">
        <f>'DOE25'!G497</f>
        <v>0</v>
      </c>
      <c r="D158" s="137">
        <f>'DOE25'!H497</f>
        <v>0</v>
      </c>
      <c r="E158" s="137">
        <f>'DOE25'!I497</f>
        <v>0</v>
      </c>
      <c r="F158" s="137">
        <f>'DOE25'!J497</f>
        <v>0</v>
      </c>
      <c r="G158" s="138">
        <f t="shared" si="0"/>
        <v>200000</v>
      </c>
    </row>
    <row r="159" spans="1:9" x14ac:dyDescent="0.2">
      <c r="A159" s="22" t="s">
        <v>35</v>
      </c>
      <c r="B159" s="137">
        <f>'DOE25'!F498</f>
        <v>1600000</v>
      </c>
      <c r="C159" s="137">
        <f>'DOE25'!G498</f>
        <v>0</v>
      </c>
      <c r="D159" s="137">
        <f>'DOE25'!H498</f>
        <v>0</v>
      </c>
      <c r="E159" s="137">
        <f>'DOE25'!I498</f>
        <v>0</v>
      </c>
      <c r="F159" s="137">
        <f>'DOE25'!J498</f>
        <v>0</v>
      </c>
      <c r="G159" s="138">
        <f t="shared" si="0"/>
        <v>1600000</v>
      </c>
    </row>
    <row r="160" spans="1:9" x14ac:dyDescent="0.2">
      <c r="A160" s="22" t="s">
        <v>36</v>
      </c>
      <c r="B160" s="137">
        <f>'DOE25'!F499</f>
        <v>598761</v>
      </c>
      <c r="C160" s="137">
        <f>'DOE25'!G499</f>
        <v>0</v>
      </c>
      <c r="D160" s="137">
        <f>'DOE25'!H499</f>
        <v>0</v>
      </c>
      <c r="E160" s="137">
        <f>'DOE25'!I499</f>
        <v>0</v>
      </c>
      <c r="F160" s="137">
        <f>'DOE25'!J499</f>
        <v>0</v>
      </c>
      <c r="G160" s="138">
        <f t="shared" si="0"/>
        <v>598761</v>
      </c>
    </row>
    <row r="161" spans="1:7" x14ac:dyDescent="0.2">
      <c r="A161" s="22" t="s">
        <v>37</v>
      </c>
      <c r="B161" s="137">
        <f>'DOE25'!F500</f>
        <v>2198761</v>
      </c>
      <c r="C161" s="137">
        <f>'DOE25'!G500</f>
        <v>0</v>
      </c>
      <c r="D161" s="137">
        <f>'DOE25'!H500</f>
        <v>0</v>
      </c>
      <c r="E161" s="137">
        <f>'DOE25'!I500</f>
        <v>0</v>
      </c>
      <c r="F161" s="137">
        <f>'DOE25'!J500</f>
        <v>0</v>
      </c>
      <c r="G161" s="138">
        <f t="shared" si="0"/>
        <v>2198761</v>
      </c>
    </row>
    <row r="162" spans="1:7" x14ac:dyDescent="0.2">
      <c r="A162" s="22" t="s">
        <v>38</v>
      </c>
      <c r="B162" s="137">
        <f>'DOE25'!F501</f>
        <v>200000</v>
      </c>
      <c r="C162" s="137">
        <f>'DOE25'!G501</f>
        <v>0</v>
      </c>
      <c r="D162" s="137">
        <f>'DOE25'!H501</f>
        <v>0</v>
      </c>
      <c r="E162" s="137">
        <f>'DOE25'!I501</f>
        <v>0</v>
      </c>
      <c r="F162" s="137">
        <f>'DOE25'!J501</f>
        <v>0</v>
      </c>
      <c r="G162" s="138">
        <f t="shared" si="0"/>
        <v>200000</v>
      </c>
    </row>
    <row r="163" spans="1:7" x14ac:dyDescent="0.2">
      <c r="A163" s="22" t="s">
        <v>39</v>
      </c>
      <c r="B163" s="137">
        <f>'DOE25'!F502</f>
        <v>67000</v>
      </c>
      <c r="C163" s="137">
        <f>'DOE25'!G502</f>
        <v>0</v>
      </c>
      <c r="D163" s="137">
        <f>'DOE25'!H502</f>
        <v>0</v>
      </c>
      <c r="E163" s="137">
        <f>'DOE25'!I502</f>
        <v>0</v>
      </c>
      <c r="F163" s="137">
        <f>'DOE25'!J502</f>
        <v>0</v>
      </c>
      <c r="G163" s="138">
        <f t="shared" si="0"/>
        <v>67000</v>
      </c>
    </row>
    <row r="164" spans="1:7" x14ac:dyDescent="0.2">
      <c r="A164" s="22" t="s">
        <v>246</v>
      </c>
      <c r="B164" s="137">
        <f>'DOE25'!F503</f>
        <v>267000</v>
      </c>
      <c r="C164" s="137">
        <f>'DOE25'!G503</f>
        <v>0</v>
      </c>
      <c r="D164" s="137">
        <f>'DOE25'!H503</f>
        <v>0</v>
      </c>
      <c r="E164" s="137">
        <f>'DOE25'!I503</f>
        <v>0</v>
      </c>
      <c r="F164" s="137">
        <f>'DOE25'!J503</f>
        <v>0</v>
      </c>
      <c r="G164" s="138">
        <f t="shared" si="0"/>
        <v>267000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BOW SCHOOL DISTRICT</v>
      </c>
    </row>
    <row r="3" spans="1:4" x14ac:dyDescent="0.2">
      <c r="B3" s="188" t="s">
        <v>1602</v>
      </c>
    </row>
    <row r="4" spans="1:4" x14ac:dyDescent="0.2">
      <c r="B4" t="s">
        <v>61</v>
      </c>
      <c r="C4" s="179">
        <f>IF('DOE25'!F665+'DOE25'!F670=0,0,ROUND('DOE25'!F672,0))</f>
        <v>14523</v>
      </c>
    </row>
    <row r="5" spans="1:4" x14ac:dyDescent="0.2">
      <c r="B5" t="s">
        <v>700</v>
      </c>
      <c r="C5" s="179">
        <f>IF('DOE25'!G665+'DOE25'!G670=0,0,ROUND('DOE25'!G672,0))</f>
        <v>15099</v>
      </c>
    </row>
    <row r="6" spans="1:4" x14ac:dyDescent="0.2">
      <c r="B6" t="s">
        <v>62</v>
      </c>
      <c r="C6" s="179">
        <f>IF('DOE25'!H665+'DOE25'!H670=0,0,ROUND('DOE25'!H672,0))</f>
        <v>15791</v>
      </c>
    </row>
    <row r="7" spans="1:4" x14ac:dyDescent="0.2">
      <c r="B7" t="s">
        <v>701</v>
      </c>
      <c r="C7" s="179">
        <f>IF('DOE25'!I665+'DOE25'!I670=0,0,ROUND('DOE25'!I672,0))</f>
        <v>15186</v>
      </c>
    </row>
    <row r="9" spans="1:4" x14ac:dyDescent="0.2">
      <c r="A9" s="187" t="s">
        <v>94</v>
      </c>
      <c r="B9" s="188" t="s">
        <v>1603</v>
      </c>
      <c r="C9" s="181" t="s">
        <v>720</v>
      </c>
      <c r="D9" s="181" t="s">
        <v>721</v>
      </c>
    </row>
    <row r="10" spans="1:4" x14ac:dyDescent="0.2">
      <c r="A10">
        <v>1100</v>
      </c>
      <c r="B10" t="s">
        <v>702</v>
      </c>
      <c r="C10" s="179">
        <f>ROUND('DOE25'!L197+'DOE25'!L215+'DOE25'!L233+'DOE25'!L276+'DOE25'!L295+'DOE25'!L314,0)</f>
        <v>11893674</v>
      </c>
      <c r="D10" s="182">
        <f>ROUND((C10/$C$28)*100,1)</f>
        <v>43</v>
      </c>
    </row>
    <row r="11" spans="1:4" x14ac:dyDescent="0.2">
      <c r="A11">
        <v>1200</v>
      </c>
      <c r="B11" t="s">
        <v>703</v>
      </c>
      <c r="C11" s="179">
        <f>ROUND('DOE25'!L198+'DOE25'!L216+'DOE25'!L234+'DOE25'!L277+'DOE25'!L296+'DOE25'!L315,0)</f>
        <v>5745484</v>
      </c>
      <c r="D11" s="182">
        <f>ROUND((C11/$C$28)*100,1)</f>
        <v>20.8</v>
      </c>
    </row>
    <row r="12" spans="1:4" x14ac:dyDescent="0.2">
      <c r="A12">
        <v>1300</v>
      </c>
      <c r="B12" t="s">
        <v>704</v>
      </c>
      <c r="C12" s="179">
        <f>ROUND('DOE25'!L199+'DOE25'!L217+'DOE25'!L235+'DOE25'!L278+'DOE25'!L297+'DOE25'!L316,0)</f>
        <v>98903</v>
      </c>
      <c r="D12" s="182">
        <f>ROUND((C12/$C$28)*100,1)</f>
        <v>0.4</v>
      </c>
    </row>
    <row r="13" spans="1:4" x14ac:dyDescent="0.2">
      <c r="A13">
        <v>1400</v>
      </c>
      <c r="B13" t="s">
        <v>705</v>
      </c>
      <c r="C13" s="179">
        <f>ROUND('DOE25'!L200+'DOE25'!L218+'DOE25'!L236+'DOE25'!L279+'DOE25'!L298+'DOE25'!L317,0)</f>
        <v>713343</v>
      </c>
      <c r="D13" s="182">
        <f>ROUND((C13/$C$28)*100,1)</f>
        <v>2.6</v>
      </c>
    </row>
    <row r="14" spans="1:4" x14ac:dyDescent="0.2">
      <c r="D14" s="182"/>
    </row>
    <row r="15" spans="1:4" x14ac:dyDescent="0.2">
      <c r="A15">
        <v>2100</v>
      </c>
      <c r="B15" t="s">
        <v>706</v>
      </c>
      <c r="C15" s="179">
        <f>ROUND('DOE25'!L202+'DOE25'!L220+'DOE25'!L238+'DOE25'!L281+'DOE25'!L300+'DOE25'!L319,0)</f>
        <v>2386793</v>
      </c>
      <c r="D15" s="182">
        <f t="shared" ref="D15:D27" si="0">ROUND((C15/$C$28)*100,1)</f>
        <v>8.6</v>
      </c>
    </row>
    <row r="16" spans="1:4" x14ac:dyDescent="0.2">
      <c r="A16">
        <v>2200</v>
      </c>
      <c r="B16" t="s">
        <v>707</v>
      </c>
      <c r="C16" s="179">
        <f>ROUND('DOE25'!L203+'DOE25'!L221+'DOE25'!L239+'DOE25'!L282+'DOE25'!L301+'DOE25'!L320,0)</f>
        <v>1233639</v>
      </c>
      <c r="D16" s="182">
        <f t="shared" si="0"/>
        <v>4.5</v>
      </c>
    </row>
    <row r="17" spans="1:4" x14ac:dyDescent="0.2">
      <c r="A17" s="183" t="s">
        <v>723</v>
      </c>
      <c r="B17" t="s">
        <v>738</v>
      </c>
      <c r="C17" s="179">
        <f>ROUND('DOE25'!L204+'DOE25'!L209+'DOE25'!L222+'DOE25'!L227+'DOE25'!L240+'DOE25'!L245+'DOE25'!L283+'DOE25'!L288+'DOE25'!L302+'DOE25'!L307+'DOE25'!L321+'DOE25'!L326,0)</f>
        <v>829070</v>
      </c>
      <c r="D17" s="182">
        <f t="shared" si="0"/>
        <v>3</v>
      </c>
    </row>
    <row r="18" spans="1:4" x14ac:dyDescent="0.2">
      <c r="A18">
        <v>2400</v>
      </c>
      <c r="B18" t="s">
        <v>711</v>
      </c>
      <c r="C18" s="179">
        <f>ROUND('DOE25'!L205+'DOE25'!L223+'DOE25'!L241+'DOE25'!L284+'DOE25'!L303+'DOE25'!L322,0)</f>
        <v>1363851</v>
      </c>
      <c r="D18" s="182">
        <f t="shared" si="0"/>
        <v>4.9000000000000004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2037558</v>
      </c>
      <c r="D20" s="182">
        <f t="shared" si="0"/>
        <v>7.4</v>
      </c>
    </row>
    <row r="21" spans="1:4" x14ac:dyDescent="0.2">
      <c r="A21">
        <v>2700</v>
      </c>
      <c r="B21" t="s">
        <v>710</v>
      </c>
      <c r="C21" s="179">
        <f>ROUND('DOE25'!L208+'DOE25'!L226+'DOE25'!L244+'DOE25'!L287+'DOE25'!L306+'DOE25'!L325,0)</f>
        <v>1149237</v>
      </c>
      <c r="D21" s="182">
        <f t="shared" si="0"/>
        <v>4.2</v>
      </c>
    </row>
    <row r="22" spans="1:4" x14ac:dyDescent="0.2">
      <c r="A22">
        <v>2900</v>
      </c>
      <c r="B22" t="s">
        <v>712</v>
      </c>
      <c r="C22" s="179">
        <v>0</v>
      </c>
      <c r="D22" s="182">
        <f t="shared" si="0"/>
        <v>0</v>
      </c>
    </row>
    <row r="23" spans="1:4" x14ac:dyDescent="0.2">
      <c r="A23">
        <v>1500</v>
      </c>
      <c r="B23" t="s">
        <v>714</v>
      </c>
      <c r="C23" s="179">
        <f>ROUND('DOE25'!L250+'DOE25'!L332,0)</f>
        <v>525</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75700</v>
      </c>
      <c r="D25" s="182">
        <f t="shared" si="0"/>
        <v>0.3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114721.92000000004</v>
      </c>
      <c r="D27" s="182">
        <f t="shared" si="0"/>
        <v>0.4</v>
      </c>
    </row>
    <row r="28" spans="1:4" x14ac:dyDescent="0.2">
      <c r="B28" s="187" t="s">
        <v>719</v>
      </c>
      <c r="C28" s="180">
        <f>SUM(C10:C27)</f>
        <v>27642498.920000002</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27642498.920000002</v>
      </c>
    </row>
    <row r="31" spans="1:4" x14ac:dyDescent="0.2">
      <c r="B31" s="33"/>
      <c r="C31" s="180"/>
    </row>
    <row r="32" spans="1:4" x14ac:dyDescent="0.2">
      <c r="A32">
        <v>5100</v>
      </c>
      <c r="B32" s="33" t="s">
        <v>726</v>
      </c>
      <c r="C32" s="180">
        <f>ROUND('DOE25'!L260+'DOE25'!L341,0)</f>
        <v>200000</v>
      </c>
    </row>
    <row r="34" spans="1:4" x14ac:dyDescent="0.2">
      <c r="A34" s="187" t="s">
        <v>94</v>
      </c>
      <c r="B34" s="188" t="s">
        <v>1604</v>
      </c>
      <c r="C34" s="181" t="s">
        <v>720</v>
      </c>
      <c r="D34" s="181" t="s">
        <v>721</v>
      </c>
    </row>
    <row r="35" spans="1:4" x14ac:dyDescent="0.2">
      <c r="A35">
        <v>1100</v>
      </c>
      <c r="B35" s="185" t="s">
        <v>727</v>
      </c>
      <c r="C35" s="179">
        <f>ROUND('DOE25'!F60+'DOE25'!G60+'DOE25'!H60+'DOE25'!I60+'DOE25'!J60,0)</f>
        <v>16942745</v>
      </c>
      <c r="D35" s="182">
        <f t="shared" ref="D35:D40" si="1">ROUND((C35/$C$41)*100,1)</f>
        <v>61.6</v>
      </c>
    </row>
    <row r="36" spans="1:4" x14ac:dyDescent="0.2">
      <c r="B36" s="185" t="s">
        <v>739</v>
      </c>
      <c r="C36" s="179">
        <f>SUM('DOE25'!F112:J112)-SUM('DOE25'!G97:G110)+('DOE25'!F174+'DOE25'!F175+'DOE25'!I174+'DOE25'!I175)-C35</f>
        <v>3358508.2899999991</v>
      </c>
      <c r="D36" s="182">
        <f t="shared" si="1"/>
        <v>12.2</v>
      </c>
    </row>
    <row r="37" spans="1:4" x14ac:dyDescent="0.2">
      <c r="A37" s="183" t="s">
        <v>835</v>
      </c>
      <c r="B37" s="185" t="s">
        <v>728</v>
      </c>
      <c r="C37" s="179">
        <f>ROUND('DOE25'!F117+'DOE25'!F118,0)</f>
        <v>5934715</v>
      </c>
      <c r="D37" s="182">
        <f t="shared" si="1"/>
        <v>21.6</v>
      </c>
    </row>
    <row r="38" spans="1:4" x14ac:dyDescent="0.2">
      <c r="A38" s="183" t="s">
        <v>734</v>
      </c>
      <c r="B38" s="185" t="s">
        <v>729</v>
      </c>
      <c r="C38" s="179">
        <f>ROUND(SUM('DOE25'!F140:J140)-SUM('DOE25'!F117:F119),0)</f>
        <v>558385</v>
      </c>
      <c r="D38" s="182">
        <f t="shared" si="1"/>
        <v>2</v>
      </c>
    </row>
    <row r="39" spans="1:4" x14ac:dyDescent="0.2">
      <c r="A39">
        <v>4000</v>
      </c>
      <c r="B39" s="185" t="s">
        <v>730</v>
      </c>
      <c r="C39" s="179">
        <f>ROUND('DOE25'!F169+'DOE25'!G169+'DOE25'!H169+'DOE25'!I169,0)</f>
        <v>709421</v>
      </c>
      <c r="D39" s="182">
        <f t="shared" si="1"/>
        <v>2.6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27503774.289999999</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BOW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2019-11-18T13:32:37Z</cp:lastPrinted>
  <dcterms:created xsi:type="dcterms:W3CDTF">1997-12-04T19:04:30Z</dcterms:created>
  <dcterms:modified xsi:type="dcterms:W3CDTF">2019-11-22T15:46:03Z</dcterms:modified>
</cp:coreProperties>
</file>