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C19" i="10" s="1"/>
  <c r="L224" i="1"/>
  <c r="L242" i="1"/>
  <c r="G16" i="13"/>
  <c r="H16" i="13"/>
  <c r="L209" i="1"/>
  <c r="L227" i="1"/>
  <c r="L245" i="1"/>
  <c r="G5" i="13"/>
  <c r="H5" i="13"/>
  <c r="L197" i="1"/>
  <c r="L198" i="1"/>
  <c r="L199" i="1"/>
  <c r="C111" i="2" s="1"/>
  <c r="L200" i="1"/>
  <c r="L215" i="1"/>
  <c r="L216" i="1"/>
  <c r="L217" i="1"/>
  <c r="L218" i="1"/>
  <c r="L233" i="1"/>
  <c r="L234" i="1"/>
  <c r="L235" i="1"/>
  <c r="L236" i="1"/>
  <c r="G6" i="13"/>
  <c r="H6" i="13"/>
  <c r="L202" i="1"/>
  <c r="C118" i="2" s="1"/>
  <c r="L220" i="1"/>
  <c r="L238" i="1"/>
  <c r="G7" i="13"/>
  <c r="H7" i="13"/>
  <c r="L203" i="1"/>
  <c r="L221" i="1"/>
  <c r="L239" i="1"/>
  <c r="G12" i="13"/>
  <c r="H12" i="13"/>
  <c r="L205" i="1"/>
  <c r="L223" i="1"/>
  <c r="L241" i="1"/>
  <c r="C121" i="2" s="1"/>
  <c r="G14" i="13"/>
  <c r="H14" i="13"/>
  <c r="L207" i="1"/>
  <c r="L225" i="1"/>
  <c r="C123" i="2" s="1"/>
  <c r="L243" i="1"/>
  <c r="G15" i="13"/>
  <c r="H15" i="13"/>
  <c r="L208" i="1"/>
  <c r="F662" i="1" s="1"/>
  <c r="L226" i="1"/>
  <c r="L244" i="1"/>
  <c r="G17" i="13"/>
  <c r="H17" i="13"/>
  <c r="L251" i="1"/>
  <c r="G18" i="13"/>
  <c r="H18" i="13"/>
  <c r="L252" i="1"/>
  <c r="G19" i="13"/>
  <c r="H19" i="13"/>
  <c r="L253" i="1"/>
  <c r="D19" i="13" s="1"/>
  <c r="C19" i="13" s="1"/>
  <c r="G29" i="13"/>
  <c r="H29" i="13"/>
  <c r="L358" i="1"/>
  <c r="L359" i="1"/>
  <c r="L360" i="1"/>
  <c r="I367" i="1"/>
  <c r="J290" i="1"/>
  <c r="J309" i="1"/>
  <c r="J328" i="1"/>
  <c r="K290" i="1"/>
  <c r="K309" i="1"/>
  <c r="K328" i="1"/>
  <c r="L276" i="1"/>
  <c r="E109" i="2" s="1"/>
  <c r="L277" i="1"/>
  <c r="L278" i="1"/>
  <c r="L279" i="1"/>
  <c r="L281" i="1"/>
  <c r="E118" i="2" s="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G147" i="1"/>
  <c r="G162" i="1"/>
  <c r="H147" i="1"/>
  <c r="E85" i="2" s="1"/>
  <c r="H162" i="1"/>
  <c r="H169" i="1" s="1"/>
  <c r="I147" i="1"/>
  <c r="I162" i="1"/>
  <c r="C11" i="10"/>
  <c r="C12" i="10"/>
  <c r="L250" i="1"/>
  <c r="L332" i="1"/>
  <c r="E113" i="2" s="1"/>
  <c r="L254" i="1"/>
  <c r="L268" i="1"/>
  <c r="L269" i="1"/>
  <c r="L349" i="1"/>
  <c r="L350" i="1"/>
  <c r="E143" i="2" s="1"/>
  <c r="I665" i="1"/>
  <c r="I670" i="1"/>
  <c r="G662"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K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F78" i="2" s="1"/>
  <c r="F81" i="2" s="1"/>
  <c r="C74" i="2"/>
  <c r="C75" i="2"/>
  <c r="C76" i="2"/>
  <c r="E76" i="2"/>
  <c r="E78" i="2" s="1"/>
  <c r="F76" i="2"/>
  <c r="C77" i="2"/>
  <c r="D77" i="2"/>
  <c r="D78" i="2" s="1"/>
  <c r="E77" i="2"/>
  <c r="F77" i="2"/>
  <c r="G77" i="2"/>
  <c r="G78" i="2" s="1"/>
  <c r="G81" i="2" s="1"/>
  <c r="C79" i="2"/>
  <c r="D79" i="2"/>
  <c r="E79" i="2"/>
  <c r="C80" i="2"/>
  <c r="E80" i="2"/>
  <c r="D85" i="2"/>
  <c r="D91" i="2" s="1"/>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C113" i="2"/>
  <c r="D115" i="2"/>
  <c r="F115" i="2"/>
  <c r="G115" i="2"/>
  <c r="C119" i="2"/>
  <c r="E119" i="2"/>
  <c r="E120" i="2"/>
  <c r="E122" i="2"/>
  <c r="E123" i="2"/>
  <c r="E124" i="2"/>
  <c r="C125" i="2"/>
  <c r="F128" i="2"/>
  <c r="G128"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H52" i="1" s="1"/>
  <c r="H619" i="1" s="1"/>
  <c r="I51" i="1"/>
  <c r="F177" i="1"/>
  <c r="F192" i="1" s="1"/>
  <c r="I177" i="1"/>
  <c r="F183" i="1"/>
  <c r="G183" i="1"/>
  <c r="H183" i="1"/>
  <c r="H192" i="1" s="1"/>
  <c r="I183" i="1"/>
  <c r="J183" i="1"/>
  <c r="J192" i="1" s="1"/>
  <c r="F188" i="1"/>
  <c r="G188" i="1"/>
  <c r="H188" i="1"/>
  <c r="I188" i="1"/>
  <c r="F211" i="1"/>
  <c r="G211" i="1"/>
  <c r="H211" i="1"/>
  <c r="I211" i="1"/>
  <c r="J211" i="1"/>
  <c r="K211" i="1"/>
  <c r="F229" i="1"/>
  <c r="G229" i="1"/>
  <c r="H229" i="1"/>
  <c r="I229" i="1"/>
  <c r="J229" i="1"/>
  <c r="K229" i="1"/>
  <c r="K257" i="1" s="1"/>
  <c r="F247" i="1"/>
  <c r="G247" i="1"/>
  <c r="H247" i="1"/>
  <c r="I247" i="1"/>
  <c r="I257" i="1" s="1"/>
  <c r="I271" i="1" s="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3" i="1" s="1"/>
  <c r="L430" i="1"/>
  <c r="L431" i="1"/>
  <c r="L432" i="1"/>
  <c r="F433" i="1"/>
  <c r="G433" i="1"/>
  <c r="H433" i="1"/>
  <c r="I433" i="1"/>
  <c r="J433" i="1"/>
  <c r="F446" i="1"/>
  <c r="G446" i="1"/>
  <c r="G640" i="1" s="1"/>
  <c r="H446" i="1"/>
  <c r="F452" i="1"/>
  <c r="G452" i="1"/>
  <c r="H452" i="1"/>
  <c r="F460" i="1"/>
  <c r="G460" i="1"/>
  <c r="H460" i="1"/>
  <c r="F461" i="1"/>
  <c r="G461" i="1"/>
  <c r="H640" i="1" s="1"/>
  <c r="H461" i="1"/>
  <c r="F470" i="1"/>
  <c r="G470" i="1"/>
  <c r="G476" i="1" s="1"/>
  <c r="H623" i="1" s="1"/>
  <c r="J623" i="1" s="1"/>
  <c r="H470" i="1"/>
  <c r="I470" i="1"/>
  <c r="I476" i="1" s="1"/>
  <c r="H625" i="1" s="1"/>
  <c r="J470" i="1"/>
  <c r="F474" i="1"/>
  <c r="F476" i="1" s="1"/>
  <c r="H622" i="1" s="1"/>
  <c r="G474" i="1"/>
  <c r="H474" i="1"/>
  <c r="H476" i="1" s="1"/>
  <c r="H624" i="1" s="1"/>
  <c r="I474"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K571" i="1" s="1"/>
  <c r="L567" i="1"/>
  <c r="L568" i="1"/>
  <c r="L570" i="1" s="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H627" i="1"/>
  <c r="H628" i="1"/>
  <c r="H629" i="1"/>
  <c r="H630" i="1"/>
  <c r="H631" i="1"/>
  <c r="H632" i="1"/>
  <c r="H633" i="1"/>
  <c r="G634" i="1"/>
  <c r="J634" i="1" s="1"/>
  <c r="H634" i="1"/>
  <c r="H635" i="1"/>
  <c r="H636" i="1"/>
  <c r="H637" i="1"/>
  <c r="H638" i="1"/>
  <c r="G639" i="1"/>
  <c r="J639" i="1" s="1"/>
  <c r="H639" i="1"/>
  <c r="G641" i="1"/>
  <c r="H641" i="1"/>
  <c r="G643" i="1"/>
  <c r="H643" i="1"/>
  <c r="G644" i="1"/>
  <c r="G649" i="1"/>
  <c r="J649" i="1" s="1"/>
  <c r="G650" i="1"/>
  <c r="G652" i="1"/>
  <c r="H652" i="1"/>
  <c r="G653" i="1"/>
  <c r="H653" i="1"/>
  <c r="G654" i="1"/>
  <c r="H654" i="1"/>
  <c r="H655" i="1"/>
  <c r="L351" i="1"/>
  <c r="E31" i="2"/>
  <c r="G62" i="2"/>
  <c r="J257" i="1"/>
  <c r="H112" i="1"/>
  <c r="K605" i="1"/>
  <c r="G648" i="1" s="1"/>
  <c r="I169" i="1"/>
  <c r="G338" i="1"/>
  <c r="G352" i="1" s="1"/>
  <c r="J140" i="1"/>
  <c r="J552" i="1"/>
  <c r="H140" i="1"/>
  <c r="I25" i="13"/>
  <c r="C25" i="13" s="1"/>
  <c r="H571" i="1"/>
  <c r="F338" i="1"/>
  <c r="F352" i="1" s="1"/>
  <c r="G192" i="1"/>
  <c r="L309" i="1"/>
  <c r="I571" i="1"/>
  <c r="G36" i="2"/>
  <c r="L565" i="1"/>
  <c r="K545" i="1" l="1"/>
  <c r="J271" i="1"/>
  <c r="J641" i="1"/>
  <c r="J571" i="1"/>
  <c r="C122" i="2"/>
  <c r="E103" i="2"/>
  <c r="L270" i="1"/>
  <c r="I552" i="1"/>
  <c r="F130" i="2"/>
  <c r="L393" i="1"/>
  <c r="C138" i="2" s="1"/>
  <c r="A31" i="12"/>
  <c r="A40" i="12"/>
  <c r="C29" i="10"/>
  <c r="L328" i="1"/>
  <c r="E125" i="2"/>
  <c r="E121" i="2"/>
  <c r="E128" i="2" s="1"/>
  <c r="C13" i="10"/>
  <c r="G661" i="1"/>
  <c r="D14" i="13"/>
  <c r="C14" i="13" s="1"/>
  <c r="C18" i="10"/>
  <c r="C70" i="2"/>
  <c r="D50" i="2"/>
  <c r="D31" i="2"/>
  <c r="F18" i="2"/>
  <c r="D18" i="2"/>
  <c r="C25" i="10"/>
  <c r="F112" i="1"/>
  <c r="H647" i="1"/>
  <c r="G545" i="1"/>
  <c r="G624" i="1"/>
  <c r="J624" i="1" s="1"/>
  <c r="I545" i="1"/>
  <c r="K500" i="1"/>
  <c r="I460" i="1"/>
  <c r="I452" i="1"/>
  <c r="I461" i="1" s="1"/>
  <c r="H642" i="1" s="1"/>
  <c r="I446" i="1"/>
  <c r="G642" i="1" s="1"/>
  <c r="J642" i="1" s="1"/>
  <c r="L427" i="1"/>
  <c r="L419" i="1"/>
  <c r="G161" i="2"/>
  <c r="G156" i="2"/>
  <c r="J643" i="1"/>
  <c r="L614" i="1"/>
  <c r="J545" i="1"/>
  <c r="L256" i="1"/>
  <c r="I52" i="1"/>
  <c r="H620" i="1" s="1"/>
  <c r="C78" i="2"/>
  <c r="C81" i="2" s="1"/>
  <c r="D81" i="2"/>
  <c r="D62" i="2"/>
  <c r="D63" i="2" s="1"/>
  <c r="C15" i="10"/>
  <c r="K598" i="1"/>
  <c r="G647" i="1" s="1"/>
  <c r="H552" i="1"/>
  <c r="K551" i="1"/>
  <c r="L534" i="1"/>
  <c r="G552" i="1"/>
  <c r="F552" i="1"/>
  <c r="H545" i="1"/>
  <c r="J640" i="1"/>
  <c r="L401" i="1"/>
  <c r="C139" i="2" s="1"/>
  <c r="H408" i="1"/>
  <c r="H644" i="1" s="1"/>
  <c r="J644" i="1" s="1"/>
  <c r="J655" i="1"/>
  <c r="H662" i="1"/>
  <c r="C124" i="2"/>
  <c r="G651" i="1"/>
  <c r="J651" i="1" s="1"/>
  <c r="C21" i="10"/>
  <c r="I662" i="1"/>
  <c r="L247" i="1"/>
  <c r="H660" i="1" s="1"/>
  <c r="F257" i="1"/>
  <c r="F271" i="1" s="1"/>
  <c r="C120" i="2"/>
  <c r="H257" i="1"/>
  <c r="H271" i="1" s="1"/>
  <c r="L211" i="1"/>
  <c r="G645" i="1"/>
  <c r="J645" i="1" s="1"/>
  <c r="F169" i="1"/>
  <c r="C35" i="10"/>
  <c r="J622" i="1"/>
  <c r="J617" i="1"/>
  <c r="C18" i="2"/>
  <c r="G625" i="1"/>
  <c r="J625" i="1" s="1"/>
  <c r="L529" i="1"/>
  <c r="C130" i="2"/>
  <c r="C114" i="2"/>
  <c r="C110" i="2"/>
  <c r="C62" i="2"/>
  <c r="C63" i="2" s="1"/>
  <c r="C32" i="10"/>
  <c r="F661" i="1"/>
  <c r="L362" i="1"/>
  <c r="C27" i="10" s="1"/>
  <c r="D18" i="13"/>
  <c r="C18" i="13" s="1"/>
  <c r="D15" i="13"/>
  <c r="C15" i="13" s="1"/>
  <c r="D6" i="13"/>
  <c r="C6" i="13" s="1"/>
  <c r="E13" i="13"/>
  <c r="C13" i="13" s="1"/>
  <c r="L539" i="1"/>
  <c r="K503" i="1"/>
  <c r="L382" i="1"/>
  <c r="G636" i="1" s="1"/>
  <c r="J636" i="1" s="1"/>
  <c r="K338" i="1"/>
  <c r="K352" i="1" s="1"/>
  <c r="G257" i="1"/>
  <c r="G271" i="1" s="1"/>
  <c r="C85" i="2"/>
  <c r="C91" i="2" s="1"/>
  <c r="F56" i="2"/>
  <c r="H661" i="1"/>
  <c r="C20" i="10"/>
  <c r="A13" i="12"/>
  <c r="D29" i="13"/>
  <c r="C29" i="13" s="1"/>
  <c r="D12" i="13"/>
  <c r="C12" i="13" s="1"/>
  <c r="D5" i="13"/>
  <c r="C5" i="13" s="1"/>
  <c r="E8" i="13"/>
  <c r="H338" i="1"/>
  <c r="H352" i="1" s="1"/>
  <c r="G22" i="13"/>
  <c r="C22" i="13" s="1"/>
  <c r="K549" i="1"/>
  <c r="I33" i="13"/>
  <c r="E81" i="2"/>
  <c r="E104" i="2" s="1"/>
  <c r="L290" i="1"/>
  <c r="D31" i="13" s="1"/>
  <c r="C26" i="10"/>
  <c r="K271" i="1"/>
  <c r="L544" i="1"/>
  <c r="L524" i="1"/>
  <c r="J338" i="1"/>
  <c r="J352" i="1" s="1"/>
  <c r="D127" i="2"/>
  <c r="D128" i="2" s="1"/>
  <c r="D145" i="2" s="1"/>
  <c r="E112" i="2"/>
  <c r="E115" i="2" s="1"/>
  <c r="C16" i="10"/>
  <c r="D17" i="13"/>
  <c r="C17" i="13" s="1"/>
  <c r="D7" i="13"/>
  <c r="C7" i="13" s="1"/>
  <c r="E16" i="13"/>
  <c r="C10" i="10"/>
  <c r="C109" i="2"/>
  <c r="L229" i="1"/>
  <c r="G24" i="14" s="1"/>
  <c r="C16" i="13"/>
  <c r="L337" i="1"/>
  <c r="F62" i="2"/>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G140" i="1"/>
  <c r="F140" i="1"/>
  <c r="C36" i="10"/>
  <c r="G63" i="2"/>
  <c r="J618" i="1"/>
  <c r="G42" i="2"/>
  <c r="G50" i="2" s="1"/>
  <c r="G51" i="2" s="1"/>
  <c r="J51" i="1"/>
  <c r="G16" i="2"/>
  <c r="G18" i="2" s="1"/>
  <c r="J19" i="1"/>
  <c r="G621" i="1" s="1"/>
  <c r="F545" i="1"/>
  <c r="H434" i="1"/>
  <c r="J620" i="1"/>
  <c r="J619" i="1"/>
  <c r="D103" i="2"/>
  <c r="I140" i="1"/>
  <c r="I193" i="1" s="1"/>
  <c r="G630" i="1" s="1"/>
  <c r="J630" i="1" s="1"/>
  <c r="A22" i="12"/>
  <c r="H648" i="1"/>
  <c r="J648" i="1" s="1"/>
  <c r="J652" i="1"/>
  <c r="G571" i="1"/>
  <c r="I434" i="1"/>
  <c r="G434" i="1"/>
  <c r="I663" i="1"/>
  <c r="G635" i="1"/>
  <c r="J635" i="1" s="1"/>
  <c r="D104" i="2" l="1"/>
  <c r="G33" i="13"/>
  <c r="E33" i="13"/>
  <c r="D35" i="13" s="1"/>
  <c r="H664" i="1"/>
  <c r="H667" i="1" s="1"/>
  <c r="J647" i="1"/>
  <c r="F193" i="1"/>
  <c r="G627" i="1" s="1"/>
  <c r="J627" i="1" s="1"/>
  <c r="L338" i="1"/>
  <c r="L352" i="1" s="1"/>
  <c r="G633" i="1" s="1"/>
  <c r="J633" i="1" s="1"/>
  <c r="I661" i="1"/>
  <c r="C104" i="2"/>
  <c r="E145" i="2"/>
  <c r="F63" i="2"/>
  <c r="F104" i="2" s="1"/>
  <c r="K552" i="1"/>
  <c r="L408" i="1"/>
  <c r="G637" i="1" s="1"/>
  <c r="J637" i="1" s="1"/>
  <c r="C141" i="2"/>
  <c r="C144" i="2" s="1"/>
  <c r="G36" i="14"/>
  <c r="H36" i="14" s="1"/>
  <c r="I36" i="14" s="1"/>
  <c r="C128" i="2"/>
  <c r="L257" i="1"/>
  <c r="L271" i="1" s="1"/>
  <c r="G632" i="1" s="1"/>
  <c r="J632" i="1" s="1"/>
  <c r="C8" i="13"/>
  <c r="F660" i="1"/>
  <c r="G4" i="14"/>
  <c r="H4" i="14" s="1"/>
  <c r="I4" i="14" s="1"/>
  <c r="G104" i="2"/>
  <c r="C39" i="10"/>
  <c r="G660" i="1"/>
  <c r="G664" i="1" s="1"/>
  <c r="G672" i="1" s="1"/>
  <c r="C5" i="10" s="1"/>
  <c r="C115" i="2"/>
  <c r="L545" i="1"/>
  <c r="C28" i="10"/>
  <c r="D23" i="10" s="1"/>
  <c r="H24" i="14"/>
  <c r="I24" i="14" s="1"/>
  <c r="C31" i="13"/>
  <c r="C51" i="2"/>
  <c r="G631" i="1"/>
  <c r="J631" i="1" s="1"/>
  <c r="G193" i="1"/>
  <c r="G628" i="1" s="1"/>
  <c r="J628" i="1" s="1"/>
  <c r="G626" i="1"/>
  <c r="J626" i="1" s="1"/>
  <c r="J52" i="1"/>
  <c r="H621" i="1" s="1"/>
  <c r="J621" i="1" s="1"/>
  <c r="C38" i="10"/>
  <c r="I660" i="1" l="1"/>
  <c r="I664" i="1" s="1"/>
  <c r="I672" i="1" s="1"/>
  <c r="C7" i="10" s="1"/>
  <c r="H672" i="1"/>
  <c r="C6" i="10" s="1"/>
  <c r="F664" i="1"/>
  <c r="F672" i="1" s="1"/>
  <c r="C4" i="10" s="1"/>
  <c r="H646" i="1"/>
  <c r="J646" i="1" s="1"/>
  <c r="C145" i="2"/>
  <c r="G667" i="1"/>
  <c r="D25" i="10"/>
  <c r="D22" i="10"/>
  <c r="D18" i="10"/>
  <c r="D27" i="10"/>
  <c r="D15" i="10"/>
  <c r="D21" i="10"/>
  <c r="D24" i="10"/>
  <c r="D20" i="10"/>
  <c r="D11" i="10"/>
  <c r="D12" i="10"/>
  <c r="D13" i="10"/>
  <c r="D17" i="10"/>
  <c r="D19" i="10"/>
  <c r="D10" i="10"/>
  <c r="D26" i="10"/>
  <c r="C30" i="10"/>
  <c r="D16" i="10"/>
  <c r="D33" i="13"/>
  <c r="D36" i="13" s="1"/>
  <c r="I667" i="1"/>
  <c r="C41" i="10"/>
  <c r="D38" i="10" s="1"/>
  <c r="F667" i="1" l="1"/>
  <c r="H656"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<sst xmlns="http://schemas.openxmlformats.org/spreadsheetml/2006/main" count="5505" uniqueCount="1611">
  <si>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</si>
  <si>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</si>
  <si>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</si>
  <si>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</si>
  <si>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</si>
  <si>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</si>
  <si>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</si>
  <si>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</si>
  <si>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</si>
  <si>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</si>
  <si>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</si>
  <si>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</si>
  <si>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</si>
  <si>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</si>
  <si>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</si>
  <si>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</si>
  <si>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</si>
  <si>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</si>
  <si>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</si>
  <si>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</si>
  <si>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</si>
  <si>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</si>
  <si>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</si>
  <si>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</si>
  <si>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</si>
  <si>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</si>
  <si>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</si>
  <si>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</si>
  <si>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</si>
  <si>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</si>
  <si>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</si>
  <si>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</si>
  <si>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</si>
  <si>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</si>
  <si>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</si>
  <si>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</si>
  <si>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</si>
  <si>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</si>
  <si>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</si>
  <si>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</si>
  <si>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</si>
  <si>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</si>
  <si>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</si>
  <si>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</si>
  <si>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</si>
  <si>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</si>
  <si>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</si>
  <si>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</si>
  <si>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</si>
  <si>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</si>
  <si>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</si>
  <si>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</si>
  <si>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</si>
  <si>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</si>
  <si>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</si>
  <si>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</si>
  <si>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</si>
  <si>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</si>
  <si>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</si>
  <si>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</si>
  <si>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</si>
  <si>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</si>
  <si>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</si>
  <si>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</si>
  <si>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</si>
  <si>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</si>
  <si>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</si>
  <si>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</si>
  <si>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</si>
  <si>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</si>
  <si>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</si>
  <si>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</si>
  <si>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</si>
  <si>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</si>
  <si>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</si>
  <si>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</si>
  <si>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</si>
  <si>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</si>
  <si>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</si>
  <si>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</si>
  <si>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</si>
  <si>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</si>
  <si>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</si>
  <si>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</si>
  <si>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</si>
  <si>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</si>
  <si>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</si>
  <si>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</si>
  <si>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</si>
  <si>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</si>
  <si>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</si>
  <si>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</si>
  <si>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</si>
  <si>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</si>
  <si>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</si>
  <si>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</si>
  <si>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</si>
  <si>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</si>
  <si>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</si>
  <si>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</si>
  <si>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</si>
  <si>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</si>
  <si>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</si>
  <si>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</si>
  <si>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</si>
  <si>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</si>
  <si>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</si>
  <si>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</si>
  <si>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</si>
  <si>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</si>
  <si>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</si>
  <si>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</si>
  <si>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</si>
  <si>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</si>
  <si>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</si>
  <si>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</si>
  <si>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</si>
  <si>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</si>
  <si>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</si>
  <si>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</si>
  <si>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</si>
  <si>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</si>
  <si>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</si>
  <si>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</si>
  <si>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</si>
  <si>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</si>
  <si>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</si>
  <si>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</si>
  <si>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</si>
  <si>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</si>
  <si>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</si>
  <si>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</si>
  <si>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</si>
  <si>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</si>
  <si>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</si>
  <si>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</si>
  <si>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</si>
  <si>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</si>
  <si>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</si>
  <si>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</si>
  <si>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</si>
  <si>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</si>
  <si>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</si>
  <si>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</si>
  <si>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</si>
  <si>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</si>
  <si>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</si>
  <si>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</si>
  <si>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</si>
  <si>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</si>
  <si>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</si>
  <si>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</si>
  <si>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</si>
  <si>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</si>
  <si>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</si>
  <si>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</si>
  <si>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</si>
  <si>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</si>
  <si>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</si>
  <si>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</si>
  <si>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</si>
  <si>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</si>
  <si>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</si>
  <si>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</si>
  <si>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</si>
  <si>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</si>
  <si>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</si>
  <si>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</si>
  <si>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</si>
  <si>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</si>
  <si>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</si>
  <si>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</si>
  <si>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</si>
  <si>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</si>
  <si>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</si>
  <si>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</si>
  <si>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</si>
  <si>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</si>
  <si>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</si>
  <si>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</si>
  <si>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</si>
  <si>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</si>
  <si>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</si>
  <si>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</si>
  <si>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</si>
  <si>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</si>
  <si>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</si>
  <si>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</si>
  <si>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</si>
  <si>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</si>
  <si>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</si>
  <si>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</si>
  <si>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</si>
  <si>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</si>
  <si>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</si>
  <si>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</si>
  <si>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</si>
  <si>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</si>
  <si>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</si>
  <si>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</si>
  <si>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</si>
  <si>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</si>
  <si>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</si>
  <si>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</si>
  <si>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</si>
  <si>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</si>
  <si>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</si>
  <si>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</si>
  <si>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</si>
  <si>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</si>
  <si>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</si>
  <si>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</si>
  <si>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</si>
  <si>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</si>
  <si>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</si>
  <si>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</si>
  <si>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</si>
  <si>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</si>
  <si>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</si>
  <si>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</si>
  <si>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</si>
  <si>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</si>
  <si>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</si>
  <si>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</si>
  <si>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</si>
  <si>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</si>
  <si>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</si>
  <si>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</si>
  <si>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</si>
  <si>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</si>
  <si>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</si>
  <si>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</si>
  <si>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</si>
  <si>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</si>
  <si>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</si>
  <si>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</si>
  <si>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</si>
  <si>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</si>
  <si>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</si>
  <si>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</si>
  <si>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</si>
  <si>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</si>
  <si>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</si>
  <si>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</si>
  <si>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</si>
  <si>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</si>
  <si>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</si>
  <si>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</si>
  <si>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</si>
  <si>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</si>
  <si>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</si>
  <si>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</si>
  <si>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</si>
  <si>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</si>
  <si>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</si>
  <si>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</si>
  <si>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</si>
  <si>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</si>
  <si>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</si>
  <si>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</si>
  <si>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</si>
  <si>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</si>
  <si>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</si>
  <si>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</si>
  <si>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</si>
  <si>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</si>
  <si>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</si>
  <si>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</si>
  <si>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</si>
  <si>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</si>
  <si>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</si>
  <si>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</si>
  <si>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</si>
  <si>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</si>
  <si>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</si>
  <si>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</si>
  <si>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</si>
  <si>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</si>
  <si>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</si>
  <si>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</si>
  <si>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</si>
  <si>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</si>
  <si>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</si>
  <si>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</si>
  <si>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</si>
  <si>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</si>
  <si>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</si>
  <si>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</si>
  <si>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</si>
  <si>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</si>
  <si>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</si>
  <si>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</si>
  <si>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</si>
  <si>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</si>
  <si>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</si>
  <si>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</si>
  <si>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</si>
  <si>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</si>
  <si>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</si>
  <si>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</si>
  <si>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</si>
  <si>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</si>
  <si>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</si>
  <si>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</si>
  <si>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</si>
  <si>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</si>
  <si>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</si>
  <si>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</si>
  <si>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</si>
  <si>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</si>
  <si>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</si>
  <si>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</si>
  <si>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</si>
  <si>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</si>
  <si>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</si>
  <si>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</si>
  <si>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</si>
  <si>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</si>
  <si>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</si>
  <si>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</si>
  <si>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</si>
  <si>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</si>
  <si>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</si>
  <si>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</si>
  <si>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</si>
  <si>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</si>
  <si>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</si>
  <si>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</si>
  <si>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</si>
  <si>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</si>
  <si>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</si>
  <si>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</si>
  <si>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</si>
  <si>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</si>
  <si>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</si>
  <si>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</si>
  <si>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</si>
  <si>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</si>
  <si>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</si>
  <si>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</si>
  <si>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</si>
  <si>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</si>
  <si>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</si>
  <si>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</si>
  <si>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</si>
  <si>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</si>
  <si>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</si>
  <si>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</si>
  <si>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</si>
  <si>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</si>
  <si>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</si>
  <si>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</si>
  <si>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</si>
  <si>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</si>
  <si>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</si>
  <si>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</si>
  <si>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</si>
  <si>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</si>
  <si>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</si>
  <si>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</si>
  <si>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</si>
  <si>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</si>
  <si>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</si>
  <si>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</si>
  <si>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</si>
  <si>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</si>
  <si>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</si>
  <si>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</si>
  <si>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</si>
  <si>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</si>
  <si>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</si>
  <si>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</si>
  <si>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</si>
  <si>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</si>
  <si>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</si>
  <si>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</si>
  <si>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</si>
  <si>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</si>
  <si>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</si>
  <si>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</si>
  <si>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</si>
  <si>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</si>
  <si>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</si>
  <si>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</si>
  <si>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</si>
  <si>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</si>
  <si>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</si>
  <si>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</si>
  <si>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</si>
  <si>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</si>
  <si>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</si>
  <si>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</si>
  <si>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</si>
  <si>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</si>
  <si>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</si>
  <si>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</si>
  <si>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</si>
  <si>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</si>
  <si>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</si>
  <si>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</si>
  <si>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</si>
  <si>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</si>
  <si>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</si>
  <si>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</si>
  <si>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</si>
  <si>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</si>
  <si>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</si>
  <si>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</si>
  <si>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</si>
  <si>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</si>
  <si>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</si>
  <si>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</si>
  <si>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</si>
  <si>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</si>
  <si>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</si>
  <si>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</si>
  <si>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</si>
  <si>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</si>
  <si>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</si>
  <si>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</si>
  <si>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</si>
  <si>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</si>
  <si>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</si>
  <si>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</si>
  <si>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</si>
  <si>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</si>
  <si>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</si>
  <si>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</si>
  <si>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</si>
  <si>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</si>
  <si>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</si>
  <si>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</si>
  <si>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</si>
  <si>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</si>
  <si>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</si>
  <si>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</si>
  <si>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</si>
  <si>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</si>
  <si>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</si>
  <si>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</si>
  <si>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</si>
  <si>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</si>
  <si>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</si>
  <si>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</si>
  <si>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</si>
  <si>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</si>
  <si>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</si>
  <si>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</si>
  <si>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</si>
  <si>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</si>
  <si>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</si>
  <si>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</si>
  <si>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</si>
  <si>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</si>
  <si>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</si>
  <si>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</si>
  <si>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</si>
  <si>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</si>
  <si>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</si>
  <si>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</si>
  <si>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</si>
  <si>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</si>
  <si>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</si>
  <si>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</si>
  <si>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</si>
  <si>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</si>
  <si>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</si>
  <si>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</si>
  <si>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</si>
  <si>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</si>
  <si>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</si>
  <si>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</si>
  <si>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</si>
  <si>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</si>
  <si>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</si>
  <si>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</si>
  <si>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</si>
  <si>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</si>
  <si>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</si>
  <si>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</si>
  <si>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</si>
  <si>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</si>
  <si>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</si>
  <si>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</si>
  <si>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</si>
  <si>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</si>
  <si>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</si>
  <si>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</si>
  <si>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</si>
  <si>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</si>
  <si>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</si>
  <si>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</si>
  <si>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</si>
  <si>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</si>
  <si>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</si>
  <si>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</si>
  <si>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</si>
  <si>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</si>
  <si>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</si>
  <si>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</si>
  <si>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</si>
  <si>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</si>
  <si>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</si>
  <si>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</si>
  <si>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</si>
  <si>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</si>
  <si>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</si>
  <si>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</si>
  <si>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</si>
  <si>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</si>
  <si>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</si>
  <si>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</si>
  <si>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</si>
  <si>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</si>
  <si>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</si>
  <si>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</si>
  <si>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</si>
  <si>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</si>
  <si>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</si>
  <si>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</si>
  <si>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</si>
  <si>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</si>
  <si>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</si>
  <si>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</si>
  <si>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</si>
  <si>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</si>
  <si>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</si>
  <si>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</si>
  <si>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</si>
  <si>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</si>
  <si>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</si>
  <si>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</si>
  <si>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</si>
  <si>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</si>
  <si>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</si>
  <si>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</si>
  <si>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</si>
  <si>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</si>
  <si>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</si>
  <si>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</si>
  <si>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</si>
  <si>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</si>
  <si>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</si>
  <si>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</si>
  <si>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</si>
  <si>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</si>
  <si>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</si>
  <si>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</si>
  <si>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</si>
  <si>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</si>
  <si>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</si>
  <si>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</si>
  <si>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</si>
  <si>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</si>
  <si>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</si>
  <si>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</si>
  <si>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</si>
  <si>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</si>
  <si>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</si>
  <si>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</si>
  <si>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</si>
  <si>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</si>
  <si>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</si>
  <si>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</si>
  <si>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</si>
  <si>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</si>
  <si>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</si>
  <si>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</si>
  <si>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</si>
  <si>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</si>
  <si>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</si>
  <si>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</si>
  <si>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</si>
  <si>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</si>
  <si>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</si>
  <si>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</si>
  <si>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</si>
  <si>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</si>
  <si>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</si>
  <si>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</si>
  <si>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</si>
  <si>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</si>
  <si>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</si>
  <si>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</si>
  <si>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</si>
  <si>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</si>
  <si>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</si>
  <si>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</si>
  <si>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</si>
  <si>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</si>
  <si>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</si>
  <si>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</si>
  <si>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</si>
  <si>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</si>
  <si>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</si>
  <si>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</si>
  <si>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</si>
  <si>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</si>
  <si>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</si>
  <si>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</si>
  <si>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</si>
  <si>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</si>
  <si>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</si>
  <si>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</si>
  <si>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</si>
  <si>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</si>
  <si>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</si>
  <si>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</si>
  <si>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</si>
  <si>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</si>
  <si>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</si>
  <si>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</si>
  <si>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</si>
  <si>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</si>
  <si>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</si>
  <si>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</si>
  <si>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</si>
  <si>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</si>
  <si>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</si>
  <si>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</si>
  <si>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</si>
  <si>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</si>
  <si>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</si>
  <si>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</si>
  <si>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</si>
  <si>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</si>
  <si>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</si>
  <si>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</si>
  <si>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</si>
  <si>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</si>
  <si>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</si>
  <si>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</si>
  <si>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</si>
  <si>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</si>
  <si>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</si>
  <si>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</si>
  <si>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</si>
  <si>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</si>
  <si>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</si>
  <si>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</si>
  <si>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</si>
  <si>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</si>
  <si>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</si>
  <si>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</si>
  <si>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</si>
  <si>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</si>
  <si>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</si>
  <si>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</si>
  <si>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</si>
  <si>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</si>
  <si>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</si>
  <si>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</si>
  <si>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</si>
  <si>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</si>
  <si>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</si>
  <si>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</si>
  <si>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</si>
  <si>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</si>
  <si>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</si>
  <si>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</si>
  <si>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</si>
  <si>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</si>
  <si>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</si>
  <si>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</si>
  <si>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</si>
  <si>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</si>
  <si>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</si>
  <si>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</si>
  <si>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</si>
  <si>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</si>
  <si>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</si>
  <si>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</si>
  <si>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</si>
  <si>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</si>
  <si>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</si>
  <si>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</si>
  <si>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</si>
  <si>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</si>
  <si>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</si>
  <si>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</si>
  <si>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</si>
  <si>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</si>
  <si>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</si>
  <si>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</si>
  <si>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</si>
  <si>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</si>
  <si>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</si>
  <si>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</si>
  <si>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</si>
  <si>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</si>
  <si>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</si>
  <si>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</si>
  <si>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</si>
  <si>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</si>
  <si>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</si>
  <si>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</si>
  <si>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</si>
  <si>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</si>
  <si>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</si>
  <si>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</si>
  <si>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</si>
  <si>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</si>
  <si>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</si>
  <si>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</si>
  <si>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</si>
  <si>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</si>
  <si>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</si>
  <si>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</si>
  <si>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</si>
  <si>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</si>
  <si>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</si>
  <si>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</si>
  <si>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</si>
  <si>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</si>
  <si>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</si>
  <si>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</si>
  <si>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</si>
  <si>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</si>
  <si>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</si>
  <si>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</si>
  <si>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</si>
  <si>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</si>
  <si>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</si>
  <si>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</si>
  <si>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</si>
  <si>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</si>
  <si>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</si>
  <si>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</si>
  <si>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</si>
  <si>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</si>
  <si>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</si>
  <si>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</si>
  <si>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</si>
  <si>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</si>
  <si>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</si>
  <si>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</si>
  <si>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</si>
  <si>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</si>
  <si>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</si>
  <si>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</si>
  <si>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</si>
  <si>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</si>
  <si>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</si>
  <si>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</si>
  <si>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</si>
  <si>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</si>
  <si>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</si>
  <si>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</si>
  <si>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</si>
  <si>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</si>
  <si>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</si>
  <si>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</si>
  <si>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</si>
  <si>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</si>
  <si>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</si>
  <si>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</si>
  <si>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</si>
  <si>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</si>
  <si>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</si>
  <si>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</si>
  <si>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</si>
  <si>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</si>
  <si>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</si>
  <si>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</si>
  <si>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</si>
  <si>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</si>
  <si>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</si>
  <si>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</si>
  <si>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</si>
  <si>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</si>
  <si>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</si>
  <si>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</si>
  <si>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</si>
  <si>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</si>
  <si>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</si>
  <si>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</si>
  <si>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</si>
  <si>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</si>
  <si>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</si>
  <si>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</si>
  <si>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</si>
  <si>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</si>
  <si>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</si>
  <si>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</si>
  <si>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</si>
  <si>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</si>
  <si>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</si>
  <si>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</si>
  <si>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</si>
  <si>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</si>
  <si>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</si>
  <si>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</si>
  <si>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</si>
  <si>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</si>
  <si>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</si>
  <si>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</si>
  <si>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</si>
  <si>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</si>
  <si>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</si>
  <si>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</si>
  <si>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</si>
  <si>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</si>
  <si>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</si>
  <si>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</si>
  <si>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</si>
  <si>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</si>
  <si>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</si>
  <si>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</si>
  <si>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</si>
  <si>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</si>
  <si>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</si>
  <si>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</si>
  <si>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</si>
  <si>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</si>
  <si>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</si>
  <si>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</si>
  <si>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</si>
  <si>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</si>
  <si>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</si>
  <si>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</si>
  <si>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</si>
  <si>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</si>
  <si>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</si>
  <si>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</si>
  <si>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</si>
  <si>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</si>
  <si>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</si>
  <si>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</si>
  <si>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</si>
  <si>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</si>
  <si>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</si>
  <si>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</si>
  <si>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</si>
  <si>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</si>
  <si>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</si>
  <si>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</si>
  <si>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</si>
  <si>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</si>
  <si>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</si>
  <si>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</si>
  <si>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</si>
  <si>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</si>
  <si>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</si>
  <si>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</si>
  <si>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</si>
  <si>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</si>
  <si>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</si>
  <si>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</si>
  <si>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</si>
  <si>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</si>
  <si>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</si>
  <si>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</si>
  <si>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</si>
  <si>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</si>
  <si>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</si>
  <si>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</si>
  <si>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</si>
  <si>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</si>
  <si>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</si>
  <si>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</si>
  <si>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</si>
  <si>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</si>
  <si>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</si>
  <si>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</si>
  <si>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</si>
  <si>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</si>
  <si>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</si>
  <si>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</si>
  <si>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</si>
  <si>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</si>
  <si>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</si>
  <si>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</si>
  <si>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</si>
  <si>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</si>
  <si>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</si>
  <si>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</si>
  <si>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</si>
  <si>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</si>
  <si>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</si>
  <si>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</si>
  <si>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</si>
  <si>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</si>
  <si>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</si>
  <si>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</si>
  <si>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</si>
  <si>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</si>
  <si>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</si>
  <si>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</si>
  <si>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</si>
  <si>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</si>
  <si>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</si>
  <si>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</si>
  <si>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</si>
  <si>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</si>
  <si>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</si>
  <si>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</si>
  <si>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</si>
  <si>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</si>
  <si>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</si>
  <si>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</si>
  <si>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</si>
  <si>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</si>
  <si>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</si>
  <si>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</si>
  <si>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</si>
  <si>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</si>
  <si>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</si>
  <si>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</si>
  <si>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</si>
  <si>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</si>
  <si>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</si>
  <si>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</si>
  <si>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</si>
  <si>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</si>
  <si>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</si>
  <si>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</si>
  <si>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</si>
  <si>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</si>
  <si>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</si>
  <si>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</si>
  <si>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</si>
  <si>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</si>
  <si>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</si>
  <si>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</si>
  <si>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</si>
  <si>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</si>
  <si>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</si>
  <si>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</si>
  <si>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</si>
  <si>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</si>
  <si>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</si>
  <si>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</si>
  <si>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</si>
  <si>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</si>
  <si>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</si>
  <si>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</si>
  <si>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</si>
  <si>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</si>
  <si>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</si>
  <si>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</si>
  <si>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</si>
  <si>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</si>
  <si>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</si>
  <si>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</si>
  <si>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</si>
  <si>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</si>
  <si>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</si>
  <si>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</si>
  <si>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</si>
  <si>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</si>
  <si>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</si>
  <si>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</si>
  <si>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</si>
  <si>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</si>
  <si>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</si>
  <si>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</si>
  <si>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</si>
  <si>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</si>
  <si>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</si>
  <si>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</si>
  <si>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</si>
  <si>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</si>
  <si>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</si>
  <si>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</si>
  <si>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</si>
  <si>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</si>
  <si>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</si>
  <si>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</si>
  <si>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</si>
  <si>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</si>
  <si>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</si>
  <si>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</si>
  <si>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</si>
  <si>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</si>
  <si>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</si>
  <si>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</si>
  <si>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</si>
  <si>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</si>
  <si>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</si>
  <si>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</si>
  <si>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</si>
  <si>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</si>
  <si>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</si>
  <si>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</si>
  <si>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</si>
  <si>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</si>
  <si>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</si>
  <si>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</si>
  <si>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</si>
  <si>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</si>
  <si>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</si>
  <si>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</si>
  <si>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</si>
  <si>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</si>
  <si>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</si>
  <si>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</si>
  <si>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</si>
  <si>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</si>
  <si>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</si>
  <si>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</si>
  <si>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</si>
  <si>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</si>
  <si>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</si>
  <si>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</si>
  <si>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</si>
  <si>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</si>
  <si>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</si>
  <si>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</si>
  <si>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</si>
  <si>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</si>
  <si>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</si>
  <si>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</si>
  <si>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</si>
  <si>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</si>
  <si>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</si>
  <si>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</si>
  <si>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</si>
  <si>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</si>
  <si>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</si>
  <si>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</si>
  <si>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</si>
  <si>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</si>
  <si>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</si>
  <si>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</si>
  <si>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</si>
  <si>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</si>
  <si>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</si>
  <si>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</si>
  <si>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</si>
  <si>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</si>
  <si>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</si>
  <si>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</si>
  <si>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</si>
  <si>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</si>
  <si>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</si>
  <si>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</si>
  <si>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</si>
  <si>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</si>
  <si>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</si>
  <si>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</si>
  <si>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</si>
  <si>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</si>
  <si>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</si>
  <si>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</si>
  <si>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</si>
  <si>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</si>
  <si>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</si>
  <si>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</si>
  <si>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</si>
  <si>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</si>
  <si>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</si>
  <si>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</si>
  <si>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</si>
  <si>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</si>
  <si>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</si>
  <si>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</si>
  <si>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</si>
  <si>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</si>
  <si>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</si>
  <si>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</si>
  <si>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</si>
  <si>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</si>
  <si>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</si>
  <si>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</si>
  <si>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</si>
  <si>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</si>
  <si>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</si>
  <si>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</si>
  <si>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</si>
  <si>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</si>
  <si>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</si>
  <si>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</si>
  <si>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</si>
  <si>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</si>
  <si>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</si>
  <si>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</si>
  <si>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</si>
  <si>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</si>
  <si>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</si>
  <si>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</si>
  <si>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</si>
  <si>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</si>
  <si>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</si>
  <si>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</si>
  <si>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</si>
  <si>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</si>
  <si>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</si>
  <si>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</si>
  <si>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</si>
  <si>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</si>
  <si>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</si>
  <si>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</si>
  <si>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</si>
  <si>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</si>
  <si>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</si>
  <si>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</si>
  <si>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</si>
  <si>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</si>
  <si>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</si>
  <si>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</si>
  <si>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</si>
  <si>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</si>
  <si>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</si>
  <si>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</si>
  <si>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</si>
  <si>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</si>
  <si>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</si>
  <si>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</si>
  <si>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</si>
  <si>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</si>
  <si>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</si>
  <si>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</si>
  <si>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</si>
  <si>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</si>
  <si>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</si>
  <si>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</si>
  <si>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</si>
  <si>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</si>
  <si>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</si>
  <si>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</si>
  <si>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</si>
  <si>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</si>
  <si>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</si>
  <si>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</si>
  <si>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</si>
  <si>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</si>
  <si>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</si>
  <si>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</si>
  <si>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</si>
  <si>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</si>
  <si>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</si>
  <si>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</si>
  <si>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</si>
  <si>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</si>
  <si>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</si>
  <si>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</si>
  <si>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</si>
  <si>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</si>
  <si>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</si>
  <si>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</si>
  <si>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</si>
  <si>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</si>
  <si>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</si>
  <si>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</si>
  <si>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</si>
  <si>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</si>
  <si>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</si>
  <si>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</si>
  <si>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</si>
  <si>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</si>
  <si>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</si>
  <si>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</si>
  <si>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</si>
  <si>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</si>
  <si>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</si>
  <si>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</si>
  <si>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</si>
  <si>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</si>
  <si>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</si>
  <si>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</si>
  <si>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</si>
  <si>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</si>
  <si>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</si>
  <si>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</si>
  <si>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</si>
  <si>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</si>
  <si>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</si>
  <si>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</si>
  <si>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</si>
  <si>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</si>
  <si>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</si>
  <si>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</si>
  <si>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</si>
  <si>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</si>
  <si>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</si>
  <si>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</si>
  <si>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</si>
  <si>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</si>
  <si>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</si>
  <si>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</si>
  <si>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</si>
  <si>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</si>
  <si>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</si>
  <si>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</si>
  <si>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</si>
  <si>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</si>
  <si>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</si>
  <si>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</si>
  <si>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</si>
  <si>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</si>
  <si>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</si>
  <si>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</si>
  <si>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</si>
  <si>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</si>
  <si>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</si>
  <si>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</si>
  <si>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</si>
  <si>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</si>
  <si>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</si>
  <si>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</si>
  <si>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</si>
  <si>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</si>
  <si>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</si>
  <si>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</si>
  <si>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</si>
  <si>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</si>
  <si>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</si>
  <si>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</si>
  <si>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</si>
  <si>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</si>
  <si>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</si>
  <si>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</si>
  <si>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</si>
  <si>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</si>
  <si>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</si>
  <si>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</si>
  <si>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</si>
  <si>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</si>
  <si>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</si>
  <si>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</si>
  <si>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</si>
  <si>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</si>
  <si>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</si>
  <si>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</si>
  <si>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</si>
  <si>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</si>
  <si>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</si>
  <si>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</si>
  <si>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</si>
  <si>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</si>
  <si>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</si>
  <si>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</si>
  <si>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</si>
  <si>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</si>
  <si>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</si>
  <si>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</si>
  <si>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</si>
  <si>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</si>
  <si>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</si>
  <si>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</si>
  <si>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</si>
  <si>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</si>
  <si>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</si>
  <si>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</si>
  <si>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</si>
  <si>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</si>
  <si>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</si>
  <si>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</si>
  <si>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</si>
  <si>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</si>
  <si>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</si>
  <si>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</si>
  <si>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</si>
  <si>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</si>
  <si>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</si>
  <si>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</si>
  <si>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</si>
  <si>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</si>
  <si>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</si>
  <si>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</si>
  <si>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</si>
  <si>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</si>
  <si>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</si>
  <si>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</si>
  <si>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</si>
  <si>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</si>
  <si>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</si>
  <si>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</si>
  <si>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</si>
  <si>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</si>
  <si>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</si>
  <si>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</si>
  <si>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</si>
  <si>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</si>
  <si>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</si>
  <si>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</si>
  <si>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</si>
  <si>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</si>
  <si>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</si>
  <si>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</si>
  <si>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</si>
  <si>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</si>
  <si>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</si>
  <si>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</si>
  <si>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</si>
  <si>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</si>
  <si>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</si>
  <si>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</si>
  <si>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</si>
  <si>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</si>
  <si>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</si>
  <si>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</si>
  <si>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</si>
  <si>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</si>
  <si>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</si>
  <si>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</si>
  <si>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</si>
  <si>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</si>
  <si>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</si>
  <si>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</si>
  <si>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</si>
  <si>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</si>
  <si>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</si>
  <si>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</si>
  <si>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</si>
  <si>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</si>
  <si>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</si>
  <si>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</si>
  <si>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</si>
  <si>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</si>
  <si>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</si>
  <si>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</si>
  <si>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</si>
  <si>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</si>
  <si>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</si>
  <si>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</si>
  <si>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</si>
  <si>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</si>
  <si>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</si>
  <si>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</si>
  <si>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</si>
  <si>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</si>
  <si>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</si>
  <si>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</si>
  <si>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</si>
  <si>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</si>
  <si>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</si>
  <si>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</si>
  <si>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</si>
  <si>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</si>
  <si>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</si>
  <si>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</si>
  <si>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</si>
  <si>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</si>
  <si>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</si>
  <si>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</si>
  <si>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</si>
  <si>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</si>
  <si>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</si>
  <si>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</si>
  <si>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</si>
  <si>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</si>
  <si>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</si>
  <si>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</si>
  <si>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</si>
  <si>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</si>
  <si>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</si>
  <si>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</si>
  <si>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</si>
  <si>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</si>
  <si>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</si>
  <si>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</si>
  <si>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</si>
  <si>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</si>
  <si>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</si>
  <si>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</si>
  <si>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</si>
  <si>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</si>
  <si>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</si>
  <si>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</si>
  <si>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</si>
  <si>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</si>
  <si>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</si>
  <si>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</si>
  <si>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</si>
  <si>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</si>
  <si>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</si>
  <si>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</si>
  <si>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</si>
  <si>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</si>
  <si>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</si>
  <si>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</si>
  <si>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</si>
  <si>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</si>
  <si>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</si>
  <si>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</si>
  <si>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</si>
  <si>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</si>
  <si>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</si>
  <si>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</si>
  <si>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</si>
  <si>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</si>
  <si>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</si>
  <si>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</si>
  <si>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</si>
  <si>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</si>
  <si>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</si>
  <si>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</si>
  <si>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</si>
  <si>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</si>
  <si>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</si>
  <si>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</si>
  <si>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</si>
  <si>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</si>
  <si>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</si>
  <si>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</si>
  <si>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</si>
  <si>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</si>
  <si>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</si>
  <si>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</si>
  <si>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</si>
  <si>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</si>
  <si>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</si>
  <si>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</si>
  <si>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</si>
  <si>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</si>
  <si>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</si>
  <si>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</si>
  <si>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</si>
  <si>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</si>
  <si>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</si>
  <si>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</si>
  <si>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</si>
  <si>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</si>
  <si>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</si>
  <si>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</si>
  <si>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</si>
  <si>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</si>
  <si>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</si>
  <si>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</si>
  <si>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</si>
  <si>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</si>
  <si>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</si>
  <si>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</si>
  <si>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</si>
  <si>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</si>
  <si>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</si>
  <si>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</si>
  <si>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</si>
  <si>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</si>
  <si>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</si>
  <si>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</si>
  <si>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</si>
  <si>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</si>
  <si>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</si>
  <si>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</si>
  <si>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</si>
  <si>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</si>
  <si>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</si>
  <si>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</si>
  <si>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</si>
  <si>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</si>
  <si>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</si>
  <si>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</si>
  <si>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</si>
  <si>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</si>
  <si>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</si>
  <si>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</si>
  <si>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</si>
  <si>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</si>
  <si>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</si>
  <si>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</si>
  <si>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</si>
  <si>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</si>
  <si>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</si>
  <si>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</si>
  <si>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</si>
  <si>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</si>
  <si>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</si>
  <si>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</si>
  <si>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</si>
  <si>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</si>
  <si>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</si>
  <si>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</si>
  <si>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</si>
  <si>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</si>
  <si>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</si>
  <si>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</si>
  <si>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</si>
  <si>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</si>
  <si>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</si>
  <si>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</si>
  <si>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</si>
  <si>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</si>
  <si>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</si>
  <si>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</si>
  <si>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</si>
  <si>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</si>
  <si>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</si>
  <si>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</si>
  <si>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</si>
  <si>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</si>
  <si>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</si>
  <si>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</si>
  <si>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</si>
  <si>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</si>
  <si>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</si>
  <si>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</si>
  <si>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</si>
  <si>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</si>
  <si>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</si>
  <si>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</si>
  <si>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</si>
  <si>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</si>
  <si>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</si>
  <si>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</si>
  <si>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</si>
  <si>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</si>
  <si>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</si>
  <si>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</si>
  <si>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</si>
  <si>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</si>
  <si>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</si>
  <si>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</si>
  <si>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</si>
  <si>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</si>
  <si>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</si>
  <si>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</si>
  <si>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</si>
  <si>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</si>
  <si>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</si>
  <si>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</si>
  <si>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</si>
  <si>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</si>
  <si>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</si>
  <si>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</si>
  <si>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</si>
  <si>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</si>
  <si>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</si>
  <si>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</si>
  <si>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</si>
  <si>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</si>
  <si>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</si>
  <si>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</si>
  <si>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</si>
  <si>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</si>
  <si>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</si>
  <si>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</si>
  <si>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</si>
  <si>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</si>
  <si>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</si>
  <si>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</si>
  <si>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</si>
  <si>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</si>
  <si>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</si>
  <si>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</si>
  <si>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</si>
  <si>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</si>
  <si>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</si>
  <si>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</si>
  <si>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</si>
  <si>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</si>
  <si>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</si>
  <si>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</si>
  <si>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</si>
  <si>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</si>
  <si>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</si>
  <si>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</si>
  <si>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</si>
  <si>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</si>
  <si>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</si>
  <si>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</si>
  <si>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</si>
  <si>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</si>
  <si>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</si>
  <si>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</si>
  <si>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</si>
  <si>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</si>
  <si>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</si>
  <si>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</si>
  <si>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</si>
  <si>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</si>
  <si>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</si>
  <si>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</si>
  <si>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</si>
  <si>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</si>
  <si>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</si>
  <si>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</si>
  <si>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</si>
  <si>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</si>
  <si>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</si>
  <si>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</si>
  <si>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</si>
  <si>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</si>
  <si>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</si>
  <si>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</si>
  <si>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</si>
  <si>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</si>
  <si>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</si>
  <si>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</si>
  <si>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</si>
  <si>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</si>
  <si>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</si>
  <si>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</si>
  <si>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</si>
  <si>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</si>
  <si>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</si>
  <si>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</si>
  <si>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</si>
  <si>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</si>
  <si>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</si>
  <si>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</si>
  <si>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</si>
  <si>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</si>
  <si>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</si>
  <si>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</si>
  <si>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</si>
  <si>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</si>
  <si>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</si>
  <si>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</si>
  <si>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</si>
  <si>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</si>
  <si>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</si>
  <si>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</si>
  <si>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</si>
  <si>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</si>
  <si>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</si>
  <si>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</si>
  <si>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</si>
  <si>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CHATHAM SCHOOL DISTRICT</t>
  </si>
  <si>
    <t>Chatham School District tuitions 100% of it's students to Maine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</si>
</sst>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I669" sqref="I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91</v>
      </c>
      <c r="C2" s="21">
        <v>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88537.74</v>
      </c>
      <c r="G9" s="18"/>
      <c r="H9" s="18"/>
      <c r="I9" s="18"/>
      <c r="J9" s="67">
        <f>SUM(I439)</f>
        <v>111386.09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88537.74</v>
      </c>
      <c r="G19" s="41">
        <f>SUM(G9:G18)</f>
        <v>0</v>
      </c>
      <c r="H19" s="41">
        <f>SUM(H9:H18)</f>
        <v>0</v>
      </c>
      <c r="I19" s="41">
        <f>SUM(I9:I18)</f>
        <v>0</v>
      </c>
      <c r="J19" s="41">
        <f>SUM(J9:J18)</f>
        <v>111386.09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14476.81</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14476.81</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17805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111386.09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56255.93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74060.929999999993</v>
      </c>
      <c r="G51" s="41">
        <f>SUM(G35:G50)</f>
        <v>0</v>
      </c>
      <c r="H51" s="41">
        <f>SUM(H35:H50)</f>
        <v>0</v>
      </c>
      <c r="I51" s="41">
        <f>SUM(I35:I50)</f>
        <v>0</v>
      </c>
      <c r="J51" s="41">
        <f>SUM(J35:J50)</f>
        <v>111386.09</v>
      </c>
      <c r="K51" s="45" t="s">
        <v>288</v>
      </c>
      <c r="L51" s="45" t="s">
        <v>288</v>
      </c>
      <c r="N51" s="264"/>
    </row>
    <row r="52" spans="1:14" s="3" customFormat="1" ht="12.2" customHeight="1" thickTop="1" x14ac:dyDescent="0.15">
      <c r="A52" s="38" t="s">
        <v>455</v>
      </c>
      <c r="B52" s="39" t="s">
        <v>289</v>
      </c>
      <c r="C52" s="6">
        <v>37</v>
      </c>
      <c r="D52" s="39" t="s">
        <v>653</v>
      </c>
      <c r="E52" s="39"/>
      <c r="F52" s="41">
        <f>F51+F32</f>
        <v>88537.739999999991</v>
      </c>
      <c r="G52" s="41">
        <f>G51+G32</f>
        <v>0</v>
      </c>
      <c r="H52" s="41">
        <f>H51+H32</f>
        <v>0</v>
      </c>
      <c r="I52" s="41">
        <f>I51+I32</f>
        <v>0</v>
      </c>
      <c r="J52" s="41">
        <f>J51+J32</f>
        <v>111386.09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600850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600850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13.47</v>
      </c>
      <c r="G96" s="18"/>
      <c r="H96" s="18"/>
      <c r="I96" s="18"/>
      <c r="J96" s="18">
        <v>8.66</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13.47</v>
      </c>
      <c r="G111" s="41">
        <f>SUM(G96:G110)</f>
        <v>0</v>
      </c>
      <c r="H111" s="41">
        <f>SUM(H96:H110)</f>
        <v>0</v>
      </c>
      <c r="I111" s="41">
        <f>SUM(I96:I110)</f>
        <v>0</v>
      </c>
      <c r="J111" s="41">
        <f>SUM(J96:J110)</f>
        <v>8.66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600863.47</v>
      </c>
      <c r="G112" s="41">
        <f>G60+G111</f>
        <v>0</v>
      </c>
      <c r="H112" s="41">
        <f>H60+H79+H94+H111</f>
        <v>0</v>
      </c>
      <c r="I112" s="41">
        <f>I60+I111</f>
        <v>0</v>
      </c>
      <c r="J112" s="41">
        <f>J60+J111</f>
        <v>8.66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88163.26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111333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841.12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200337.38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4852.21</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4852.21</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205189.59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2254.29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2254.29</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13660.63</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15914.919999999998</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20000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20000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20000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821967.98</v>
      </c>
      <c r="G193" s="47">
        <f>G112+G140+G169+G192</f>
        <v>0</v>
      </c>
      <c r="H193" s="47">
        <f>H112+H140+H169+H192</f>
        <v>0</v>
      </c>
      <c r="I193" s="47">
        <f>I112+I140+I169+I192</f>
        <v>0</v>
      </c>
      <c r="J193" s="47">
        <f>J112+J140+J192</f>
        <v>20008.66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319115.52000000002</v>
      </c>
      <c r="I197" s="18"/>
      <c r="J197" s="18"/>
      <c r="K197" s="18"/>
      <c r="L197" s="19">
        <f>SUM(F197:K197)</f>
        <v>319115.52000000002</v>
      </c>
      <c r="M197" s="8"/>
      <c r="N197" s="266"/>
    </row>
    <row r="198" spans="1:14" s="3" customFormat="1" ht="12.2" customHeight="1" x14ac:dyDescent="0.15">
      <c r="A198" s="1" t="s">
        <v>439</v>
      </c>
      <c r="B198" s="2" t="s">
        <v>341</v>
      </c>
      <c r="C198" s="2" t="s">
        <v>291</v>
      </c>
      <c r="D198" s="2" t="s">
        <v>431</v>
      </c>
      <c r="E198" s="6">
        <v>1200</v>
      </c>
      <c r="F198" s="18"/>
      <c r="G198" s="18"/>
      <c r="H198" s="18">
        <v>163516.97</v>
      </c>
      <c r="I198" s="18"/>
      <c r="J198" s="18"/>
      <c r="K198" s="18"/>
      <c r="L198" s="19">
        <f>SUM(F198:K198)</f>
        <v>163516.97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v>1365.08</v>
      </c>
      <c r="I202" s="18"/>
      <c r="J202" s="18"/>
      <c r="K202" s="18"/>
      <c r="L202" s="19">
        <f t="shared" ref="L202:L208" si="0">SUM(F202:K202)</f>
        <v>1365.08</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566</v>
      </c>
      <c r="G204" s="18">
        <v>265</v>
      </c>
      <c r="H204" s="18">
        <v>8537.01</v>
      </c>
      <c r="I204" s="18"/>
      <c r="J204" s="18"/>
      <c r="K204" s="18"/>
      <c r="L204" s="19">
        <f t="shared" si="0"/>
        <v>9368.01</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36707.699999999997</v>
      </c>
      <c r="I208" s="18">
        <v>2869.26</v>
      </c>
      <c r="J208" s="18"/>
      <c r="K208" s="18"/>
      <c r="L208" s="19">
        <f t="shared" si="0"/>
        <v>39576.959999999999</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566</v>
      </c>
      <c r="G211" s="41">
        <f t="shared" si="1"/>
        <v>265</v>
      </c>
      <c r="H211" s="41">
        <f t="shared" si="1"/>
        <v>529242.28</v>
      </c>
      <c r="I211" s="41">
        <f t="shared" si="1"/>
        <v>2869.26</v>
      </c>
      <c r="J211" s="41">
        <f t="shared" si="1"/>
        <v>0</v>
      </c>
      <c r="K211" s="41">
        <f t="shared" si="1"/>
        <v>0</v>
      </c>
      <c r="L211" s="41">
        <f t="shared" si="1"/>
        <v>532942.54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236651.24</v>
      </c>
      <c r="I233" s="18"/>
      <c r="J233" s="18"/>
      <c r="K233" s="18"/>
      <c r="L233" s="19">
        <f>SUM(F233:K233)</f>
        <v>236651.24</v>
      </c>
      <c r="M233" s="8"/>
      <c r="N233" s="266"/>
    </row>
    <row r="234" spans="1:14" s="3" customFormat="1" ht="12.2" customHeight="1" x14ac:dyDescent="0.15">
      <c r="A234" s="1" t="s">
        <v>439</v>
      </c>
      <c r="B234" s="2" t="s">
        <v>350</v>
      </c>
      <c r="C234" s="2" t="s">
        <v>291</v>
      </c>
      <c r="D234" s="2" t="s">
        <v>431</v>
      </c>
      <c r="E234" s="6">
        <v>1200</v>
      </c>
      <c r="F234" s="18"/>
      <c r="G234" s="18"/>
      <c r="H234" s="18">
        <v>17414.75</v>
      </c>
      <c r="I234" s="18"/>
      <c r="J234" s="18"/>
      <c r="K234" s="18"/>
      <c r="L234" s="19">
        <f>SUM(F234:K234)</f>
        <v>17414.75</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289</v>
      </c>
      <c r="G240" s="18">
        <v>135</v>
      </c>
      <c r="H240" s="18">
        <v>4339.33</v>
      </c>
      <c r="I240" s="18"/>
      <c r="J240" s="18"/>
      <c r="K240" s="18"/>
      <c r="L240" s="19">
        <f t="shared" si="4"/>
        <v>4763.33</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30179.759999999998</v>
      </c>
      <c r="I244" s="18">
        <v>2869.25</v>
      </c>
      <c r="J244" s="18"/>
      <c r="K244" s="18"/>
      <c r="L244" s="19">
        <f t="shared" si="4"/>
        <v>33049.009999999995</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289</v>
      </c>
      <c r="G247" s="41">
        <f t="shared" si="5"/>
        <v>135</v>
      </c>
      <c r="H247" s="41">
        <f t="shared" si="5"/>
        <v>288585.07999999996</v>
      </c>
      <c r="I247" s="41">
        <f t="shared" si="5"/>
        <v>2869.25</v>
      </c>
      <c r="J247" s="41">
        <f t="shared" si="5"/>
        <v>0</v>
      </c>
      <c r="K247" s="41">
        <f t="shared" si="5"/>
        <v>0</v>
      </c>
      <c r="L247" s="41">
        <f t="shared" si="5"/>
        <v>291878.32999999996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855</v>
      </c>
      <c r="G257" s="41">
        <f t="shared" si="8"/>
        <v>400</v>
      </c>
      <c r="H257" s="41">
        <f t="shared" si="8"/>
        <v>817827.36</v>
      </c>
      <c r="I257" s="41">
        <f t="shared" si="8"/>
        <v>5738.51</v>
      </c>
      <c r="J257" s="41">
        <f t="shared" si="8"/>
        <v>0</v>
      </c>
      <c r="K257" s="41">
        <f t="shared" si="8"/>
        <v>0</v>
      </c>
      <c r="L257" s="41">
        <f t="shared" si="8"/>
        <v>824820.87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20000</v>
      </c>
      <c r="L266" s="19">
        <f t="shared" si="9"/>
        <v>20000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20000</v>
      </c>
      <c r="L270" s="41">
        <f t="shared" si="9"/>
        <v>20000</v>
      </c>
      <c r="N270" s="264"/>
    </row>
    <row r="271" spans="1:14" s="3" customFormat="1" ht="12.2" customHeight="1" thickTop="1" x14ac:dyDescent="0.2">
      <c r="A271" s="43" t="s">
        <v>464</v>
      </c>
      <c r="B271" s="40">
        <v>10</v>
      </c>
      <c r="C271" s="40">
        <v>18</v>
      </c>
      <c r="D271" s="39" t="s">
        <v>431</v>
      </c>
      <c r="E271" s="40"/>
      <c r="F271" s="42">
        <f t="shared" ref="F271:L271" si="11">F257+F270</f>
        <v>855</v>
      </c>
      <c r="G271" s="42">
        <f t="shared" si="11"/>
        <v>400</v>
      </c>
      <c r="H271" s="42">
        <f t="shared" si="11"/>
        <v>817827.36</v>
      </c>
      <c r="I271" s="42">
        <f t="shared" si="11"/>
        <v>5738.51</v>
      </c>
      <c r="J271" s="42">
        <f t="shared" si="11"/>
        <v>0</v>
      </c>
      <c r="K271" s="42">
        <f t="shared" si="11"/>
        <v>20000</v>
      </c>
      <c r="L271" s="42">
        <f t="shared" si="11"/>
        <v>844820.87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20000</v>
      </c>
      <c r="H397" s="18">
        <v>4.71</v>
      </c>
      <c r="I397" s="18"/>
      <c r="J397" s="24" t="s">
        <v>288</v>
      </c>
      <c r="K397" s="24" t="s">
        <v>288</v>
      </c>
      <c r="L397" s="56">
        <f t="shared" si="26"/>
        <v>20004.71</v>
      </c>
      <c r="M397" s="8"/>
      <c r="N397" s="266"/>
    </row>
    <row r="398" spans="1:14" s="3" customFormat="1" ht="12.2" customHeight="1" x14ac:dyDescent="0.15">
      <c r="A398" s="79" t="s">
        <v>558</v>
      </c>
      <c r="B398" s="2" t="s">
        <v>381</v>
      </c>
      <c r="C398" s="6">
        <v>11</v>
      </c>
      <c r="D398" s="2" t="s">
        <v>432</v>
      </c>
      <c r="E398" s="6"/>
      <c r="F398" s="18"/>
      <c r="G398" s="18">
        <v>0</v>
      </c>
      <c r="H398" s="18">
        <v>3.95</v>
      </c>
      <c r="I398" s="18"/>
      <c r="J398" s="24" t="s">
        <v>288</v>
      </c>
      <c r="K398" s="24" t="s">
        <v>288</v>
      </c>
      <c r="L398" s="56">
        <f t="shared" si="26"/>
        <v>3.95</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20000</v>
      </c>
      <c r="H401" s="47">
        <f>SUM(H395:H400)</f>
        <v>8.66</v>
      </c>
      <c r="I401" s="47">
        <f>SUM(I395:I400)</f>
        <v>0</v>
      </c>
      <c r="J401" s="45" t="s">
        <v>288</v>
      </c>
      <c r="K401" s="45" t="s">
        <v>288</v>
      </c>
      <c r="L401" s="47">
        <f>SUM(L395:L400)</f>
        <v>20008.66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20000</v>
      </c>
      <c r="H408" s="47">
        <f>H393+H401+H407</f>
        <v>8.66</v>
      </c>
      <c r="I408" s="47">
        <f>I393+I401+I407</f>
        <v>0</v>
      </c>
      <c r="J408" s="24" t="s">
        <v>288</v>
      </c>
      <c r="K408" s="24" t="s">
        <v>288</v>
      </c>
      <c r="L408" s="47">
        <f>L393+L401+L407</f>
        <v>20008.66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111386.09</v>
      </c>
      <c r="H439" s="18"/>
      <c r="I439" s="56">
        <f t="shared" ref="I439:I445" si="33">SUM(F439:H439)</f>
        <v>111386.09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111386.09</v>
      </c>
      <c r="H446" s="13">
        <f>SUM(H439:H445)</f>
        <v>0</v>
      </c>
      <c r="I446" s="13">
        <f>SUM(I439:I445)</f>
        <v>111386.09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111386.09</v>
      </c>
      <c r="H459" s="18"/>
      <c r="I459" s="56">
        <f t="shared" si="34"/>
        <v>111386.09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111386.09</v>
      </c>
      <c r="H460" s="83">
        <f>SUM(H454:H459)</f>
        <v>0</v>
      </c>
      <c r="I460" s="83">
        <f>SUM(I454:I459)</f>
        <v>111386.09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111386.09</v>
      </c>
      <c r="H461" s="42">
        <f>H452+H460</f>
        <v>0</v>
      </c>
      <c r="I461" s="42">
        <f>I452+I460</f>
        <v>111386.09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96913.82</v>
      </c>
      <c r="G465" s="18"/>
      <c r="H465" s="18"/>
      <c r="I465" s="18"/>
      <c r="J465" s="18">
        <v>91377.43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821967.98</v>
      </c>
      <c r="G468" s="18"/>
      <c r="H468" s="18"/>
      <c r="I468" s="18"/>
      <c r="J468" s="18">
        <v>20008.66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821967.98</v>
      </c>
      <c r="G470" s="53">
        <f>SUM(G468:G469)</f>
        <v>0</v>
      </c>
      <c r="H470" s="53">
        <f>SUM(H468:H469)</f>
        <v>0</v>
      </c>
      <c r="I470" s="53">
        <f>SUM(I468:I469)</f>
        <v>0</v>
      </c>
      <c r="J470" s="53">
        <f>SUM(J468:J469)</f>
        <v>20008.66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844820.87</v>
      </c>
      <c r="G472" s="18"/>
      <c r="H472" s="18"/>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844820.87</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74060.930000000051</v>
      </c>
      <c r="G476" s="53">
        <f>(G465+G470)- G474</f>
        <v>0</v>
      </c>
      <c r="H476" s="53">
        <f>(H465+H470)- H474</f>
        <v>0</v>
      </c>
      <c r="I476" s="53">
        <f>(I465+I470)- I474</f>
        <v>0</v>
      </c>
      <c r="J476" s="53">
        <f>(J465+J470)- J474</f>
        <v>111386.09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v>163516.97</v>
      </c>
      <c r="I521" s="18"/>
      <c r="J521" s="18"/>
      <c r="K521" s="18"/>
      <c r="L521" s="88">
        <f>SUM(F521:K521)</f>
        <v>163516.97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17414.75</v>
      </c>
      <c r="I523" s="18"/>
      <c r="J523" s="18"/>
      <c r="K523" s="18"/>
      <c r="L523" s="88">
        <f>SUM(F523:K523)</f>
        <v>17414.75</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180931.72</v>
      </c>
      <c r="I524" s="108">
        <f t="shared" si="36"/>
        <v>0</v>
      </c>
      <c r="J524" s="108">
        <f t="shared" si="36"/>
        <v>0</v>
      </c>
      <c r="K524" s="108">
        <f t="shared" si="36"/>
        <v>0</v>
      </c>
      <c r="L524" s="89">
        <f t="shared" si="36"/>
        <v>180931.72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1365.08</v>
      </c>
      <c r="I526" s="18"/>
      <c r="J526" s="18"/>
      <c r="K526" s="18"/>
      <c r="L526" s="88">
        <f>SUM(F526:K526)</f>
        <v>1365.08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0</v>
      </c>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1365.08</v>
      </c>
      <c r="I529" s="89">
        <f t="shared" si="37"/>
        <v>0</v>
      </c>
      <c r="J529" s="89">
        <f t="shared" si="37"/>
        <v>0</v>
      </c>
      <c r="K529" s="89">
        <f t="shared" si="37"/>
        <v>0</v>
      </c>
      <c r="L529" s="89">
        <f t="shared" si="37"/>
        <v>1365.08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1384.04</v>
      </c>
      <c r="I531" s="18"/>
      <c r="J531" s="18"/>
      <c r="K531" s="18"/>
      <c r="L531" s="88">
        <f>SUM(F531:K531)</f>
        <v>1384.04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703.5</v>
      </c>
      <c r="I533" s="18"/>
      <c r="J533" s="18"/>
      <c r="K533" s="18"/>
      <c r="L533" s="88">
        <f>SUM(F533:K533)</f>
        <v>703.5</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2087.54</v>
      </c>
      <c r="I534" s="89">
        <f t="shared" si="38"/>
        <v>0</v>
      </c>
      <c r="J534" s="89">
        <f t="shared" si="38"/>
        <v>0</v>
      </c>
      <c r="K534" s="89">
        <f t="shared" si="38"/>
        <v>0</v>
      </c>
      <c r="L534" s="89">
        <f t="shared" si="38"/>
        <v>2087.54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6527.94</v>
      </c>
      <c r="I541" s="18"/>
      <c r="J541" s="18"/>
      <c r="K541" s="18"/>
      <c r="L541" s="88">
        <f>SUM(F541:K541)</f>
        <v>6527.94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0</v>
      </c>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6527.94</v>
      </c>
      <c r="I544" s="193">
        <f t="shared" si="40"/>
        <v>0</v>
      </c>
      <c r="J544" s="193">
        <f t="shared" si="40"/>
        <v>0</v>
      </c>
      <c r="K544" s="193">
        <f t="shared" si="40"/>
        <v>0</v>
      </c>
      <c r="L544" s="193">
        <f t="shared" si="40"/>
        <v>6527.94</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190912.28</v>
      </c>
      <c r="I545" s="89">
        <f t="shared" si="41"/>
        <v>0</v>
      </c>
      <c r="J545" s="89">
        <f t="shared" si="41"/>
        <v>0</v>
      </c>
      <c r="K545" s="89">
        <f t="shared" si="41"/>
        <v>0</v>
      </c>
      <c r="L545" s="89">
        <f t="shared" si="41"/>
        <v>190912.28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163516.97</v>
      </c>
      <c r="G549" s="87">
        <f>L526</f>
        <v>1365.08</v>
      </c>
      <c r="H549" s="87">
        <f>L531</f>
        <v>1384.04</v>
      </c>
      <c r="I549" s="87">
        <f>L536</f>
        <v>0</v>
      </c>
      <c r="J549" s="87">
        <f>L541</f>
        <v>6527.94</v>
      </c>
      <c r="K549" s="87">
        <f>SUM(F549:J549)</f>
        <v>172794.03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17414.75</v>
      </c>
      <c r="G551" s="87">
        <f>L528</f>
        <v>0</v>
      </c>
      <c r="H551" s="87">
        <f>L533</f>
        <v>703.5</v>
      </c>
      <c r="I551" s="87">
        <f>L538</f>
        <v>0</v>
      </c>
      <c r="J551" s="87">
        <f>L543</f>
        <v>0</v>
      </c>
      <c r="K551" s="87">
        <f>SUM(F551:J551)</f>
        <v>18118.25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180931.72</v>
      </c>
      <c r="G552" s="89">
        <f t="shared" si="42"/>
        <v>1365.08</v>
      </c>
      <c r="H552" s="89">
        <f t="shared" si="42"/>
        <v>2087.54</v>
      </c>
      <c r="I552" s="89">
        <f t="shared" si="42"/>
        <v>0</v>
      </c>
      <c r="J552" s="89">
        <f t="shared" si="42"/>
        <v>6527.94</v>
      </c>
      <c r="K552" s="89">
        <f t="shared" si="42"/>
        <v>190912.28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319115.52000000002</v>
      </c>
      <c r="G576" s="18"/>
      <c r="H576" s="18">
        <v>236651.24</v>
      </c>
      <c r="I576" s="87">
        <f t="shared" ref="I576:I587" si="47">SUM(F576:H576)</f>
        <v>555766.76</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136786.37</v>
      </c>
      <c r="G580" s="18"/>
      <c r="H580" s="18">
        <v>17414.75</v>
      </c>
      <c r="I580" s="87">
        <f t="shared" si="47"/>
        <v>154201.12</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26730.6</v>
      </c>
      <c r="G582" s="18"/>
      <c r="H582" s="18"/>
      <c r="I582" s="87">
        <f t="shared" si="47"/>
        <v>26730.6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33049.019999999997</v>
      </c>
      <c r="I591" s="18"/>
      <c r="J591" s="18">
        <v>33049.01</v>
      </c>
      <c r="K591" s="104">
        <f t="shared" ref="K591:K597" si="48">SUM(H591:J591)</f>
        <v>66098.03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6527.94</v>
      </c>
      <c r="I592" s="18"/>
      <c r="J592" s="18"/>
      <c r="K592" s="104">
        <f t="shared" si="48"/>
        <v>6527.94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39576.959999999999</v>
      </c>
      <c r="I598" s="108">
        <f>SUM(I591:I597)</f>
        <v>0</v>
      </c>
      <c r="J598" s="108">
        <f>SUM(J591:J597)</f>
        <v>33049.01</v>
      </c>
      <c r="K598" s="108">
        <f>SUM(K591:K597)</f>
        <v>72625.97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88537.74</v>
      </c>
      <c r="H617" s="109">
        <f>SUM(F52)</f>
        <v>88537.739999999991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111386.09</v>
      </c>
      <c r="H621" s="109">
        <f>SUM(J52)</f>
        <v>111386.09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74060.929999999993</v>
      </c>
      <c r="H622" s="109">
        <f>F476</f>
        <v>74060.930000000051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111386.09</v>
      </c>
      <c r="H626" s="109">
        <f>J476</f>
        <v>111386.09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821967.98</v>
      </c>
      <c r="H627" s="104">
        <f>SUM(F468)</f>
        <v>821967.98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20008.66</v>
      </c>
      <c r="H631" s="104">
        <f>SUM(J468)</f>
        <v>20008.66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844820.87</v>
      </c>
      <c r="H632" s="104">
        <f>SUM(F472)</f>
        <v>844820.87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20008.66</v>
      </c>
      <c r="H637" s="164">
        <f>SUM(J468)</f>
        <v>20008.66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111386.09</v>
      </c>
      <c r="H640" s="104">
        <f>SUM(G461)</f>
        <v>111386.09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111386.09</v>
      </c>
      <c r="H642" s="104">
        <f>SUM(I461)</f>
        <v>111386.09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8.66</v>
      </c>
      <c r="H644" s="104">
        <f>H408</f>
        <v>8.66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20000</v>
      </c>
      <c r="H645" s="104">
        <f>G408</f>
        <v>20000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20008.66</v>
      </c>
      <c r="H646" s="104">
        <f>L408</f>
        <v>20008.66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72625.97</v>
      </c>
      <c r="H647" s="104">
        <f>L208+L226+L244</f>
        <v>72625.97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39576.959999999999</v>
      </c>
      <c r="H649" s="104">
        <f>H598</f>
        <v>39576.959999999999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33049.009999999995</v>
      </c>
      <c r="H651" s="104">
        <f>J598</f>
        <v>33049.01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20000</v>
      </c>
      <c r="H655" s="104">
        <f>K266+K347</f>
        <v>20000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532942.54</v>
      </c>
      <c r="G660" s="19">
        <f>(L229+L309+L359)</f>
        <v>0</v>
      </c>
      <c r="H660" s="19">
        <f>(L247+L328+L360)</f>
        <v>291878.32999999996</v>
      </c>
      <c r="I660" s="19">
        <f>SUM(F660:H660)</f>
        <v>824820.87</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39576.959999999999</v>
      </c>
      <c r="G662" s="19">
        <f>(L226+L306)-(J226+J306)</f>
        <v>0</v>
      </c>
      <c r="H662" s="19">
        <f>(L244+L325)-(J244+J325)</f>
        <v>33049.009999999995</v>
      </c>
      <c r="I662" s="19">
        <f>SUM(F662:H662)</f>
        <v>72625.97</v>
      </c>
      <c r="J662"/>
      <c r="K662" s="13"/>
      <c r="L662" s="13"/>
      <c r="M662" s="8"/>
    </row>
    <row r="663" spans="1:13" s="3" customFormat="1" ht="12.2" customHeight="1" x14ac:dyDescent="0.15">
      <c r="A663" s="198" t="s">
        <v>129</v>
      </c>
      <c r="B663" s="169"/>
      <c r="C663" s="169"/>
      <c r="D663" s="169"/>
      <c r="E663" s="169"/>
      <c r="F663" s="199">
        <f>SUM(F575:F587)+SUM(H602:H604)+SUM(L611)</f>
        <v>482632.49</v>
      </c>
      <c r="G663" s="199">
        <f>SUM(G575:G587)+SUM(I602:I604)+L612</f>
        <v>0</v>
      </c>
      <c r="H663" s="199">
        <f>SUM(H575:H587)+SUM(J602:J604)+L613</f>
        <v>254065.99</v>
      </c>
      <c r="I663" s="19">
        <f>SUM(F663:H663)</f>
        <v>736698.48</v>
      </c>
      <c r="J663" s="13"/>
      <c r="K663" s="13"/>
      <c r="L663" s="13"/>
      <c r="M663" s="9"/>
    </row>
    <row r="664" spans="1:13" s="3" customFormat="1" ht="12.2" customHeight="1" x14ac:dyDescent="0.15">
      <c r="A664" s="1" t="s">
        <v>130</v>
      </c>
      <c r="F664" s="19">
        <f>F660-SUM(F661:F663)</f>
        <v>10733.090000000026</v>
      </c>
      <c r="G664" s="19">
        <f>G660-SUM(G661:G663)</f>
        <v>0</v>
      </c>
      <c r="H664" s="19">
        <f>H660-SUM(H661:H663)</f>
        <v>4763.3299999999581</v>
      </c>
      <c r="I664" s="19">
        <f>I660-SUM(I661:I663)</f>
        <v>15496.420000000042</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-10733.09</v>
      </c>
      <c r="G669" s="18"/>
      <c r="H669" s="18">
        <v>-4763.33</v>
      </c>
      <c r="I669" s="19">
        <f>SUM(F669:H669)</f>
        <v>-15496.42</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33" sqref="B33:C3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CHATHAM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 xml:space="preserve">                     CHATHAM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736698.48</v>
      </c>
      <c r="D5" s="20">
        <f>SUM('DOE25'!L197:L200)+SUM('DOE25'!L215:L218)+SUM('DOE25'!L233:L236)-F5-G5-H5</f>
        <v>736698.48</v>
      </c>
      <c r="E5" s="243"/>
      <c r="F5" s="244">
        <v>0</v>
      </c>
      <c r="G5" s="53">
        <f>SUM('DOE25'!J197:J200)+SUM('DOE25'!J215:J218)+SUM('DOE25'!J233:J236)</f>
        <v>0</v>
      </c>
      <c r="H5" s="53">
        <f>SUM('DOE25'!K197:K200)+SUM('DOE25'!K215:K218)+SUM('DOE25'!K233:K236)</f>
        <v>0</v>
      </c>
      <c r="I5" s="256"/>
    </row>
    <row r="6" spans="1:9" x14ac:dyDescent="0.2">
      <c r="A6" s="32">
        <v>2100</v>
      </c>
      <c r="B6" t="s">
        <v>796</v>
      </c>
      <c r="C6" s="276">
        <f t="shared" si="0"/>
        <v>1365.08</v>
      </c>
      <c r="D6" s="20">
        <f>'DOE25'!L202+'DOE25'!L220+'DOE25'!L238-F6-G6-H6</f>
        <v>1365.08</v>
      </c>
      <c r="E6" s="243"/>
      <c r="F6" s="244">
        <v>0</v>
      </c>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8601.4500000000007</v>
      </c>
      <c r="D8" s="243"/>
      <c r="E8" s="20">
        <f>'DOE25'!L204+'DOE25'!L222+'DOE25'!L240-F8-G8-H8-D9-D11</f>
        <v>8601.4500000000007</v>
      </c>
      <c r="F8" s="244">
        <v>0</v>
      </c>
      <c r="G8" s="53">
        <f>'DOE25'!J204+'DOE25'!J222+'DOE25'!J240</f>
        <v>0</v>
      </c>
      <c r="H8" s="53">
        <f>'DOE25'!K204+'DOE25'!K222+'DOE25'!K240</f>
        <v>0</v>
      </c>
      <c r="I8" s="256"/>
    </row>
    <row r="9" spans="1:9" ht="14.25" x14ac:dyDescent="0.2">
      <c r="A9" s="32">
        <v>2310</v>
      </c>
      <c r="B9" s="185" t="s">
        <v>890</v>
      </c>
      <c r="C9" s="276">
        <f t="shared" si="0"/>
        <v>2281.34</v>
      </c>
      <c r="D9" s="244">
        <v>2281.34</v>
      </c>
      <c r="E9" s="243"/>
      <c r="F9" s="253"/>
      <c r="G9" s="253"/>
      <c r="H9" s="253"/>
      <c r="I9" s="256"/>
    </row>
    <row r="10" spans="1:9" ht="14.25" x14ac:dyDescent="0.2">
      <c r="A10" s="32">
        <v>2317</v>
      </c>
      <c r="B10" s="185" t="s">
        <v>891</v>
      </c>
      <c r="C10" s="276">
        <f t="shared" si="0"/>
        <v>100</v>
      </c>
      <c r="D10" s="243"/>
      <c r="E10" s="244">
        <v>100</v>
      </c>
      <c r="F10" s="253"/>
      <c r="G10" s="253"/>
      <c r="H10" s="253"/>
      <c r="I10" s="256"/>
    </row>
    <row r="11" spans="1:9" ht="14.25" x14ac:dyDescent="0.2">
      <c r="A11" s="32">
        <v>2321</v>
      </c>
      <c r="B11" s="185" t="s">
        <v>892</v>
      </c>
      <c r="C11" s="276">
        <f t="shared" si="0"/>
        <v>3248.55</v>
      </c>
      <c r="D11" s="244">
        <v>3248.55</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72625.97</v>
      </c>
      <c r="D15" s="20">
        <f>'DOE25'!L208+'DOE25'!L226+'DOE25'!L244-F15-G15-H15</f>
        <v>37266.450000000004</v>
      </c>
      <c r="E15" s="243"/>
      <c r="F15" s="244">
        <v>35359.519999999997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780859.89999999991</v>
      </c>
      <c r="E33" s="245">
        <f t="shared" si="1"/>
        <v>8701.4500000000007</v>
      </c>
      <c r="F33" s="245">
        <f t="shared" si="1"/>
        <v>35359.519999999997</v>
      </c>
      <c r="G33" s="245">
        <f t="shared" si="1"/>
        <v>0</v>
      </c>
      <c r="H33" s="245">
        <f t="shared" si="1"/>
        <v>0</v>
      </c>
      <c r="I33" s="245">
        <f t="shared" si="1"/>
        <v>0</v>
      </c>
    </row>
    <row r="35" spans="1:9" ht="12" thickBot="1" x14ac:dyDescent="0.25">
      <c r="B35" s="251" t="s">
        <v>831</v>
      </c>
      <c r="D35" s="252">
        <f>E33</f>
        <v>8701.4500000000007</v>
      </c>
      <c r="E35" s="248"/>
    </row>
    <row r="36" spans="1:9" ht="12" thickTop="1" x14ac:dyDescent="0.2">
      <c r="B36" t="s">
        <v>810</v>
      </c>
      <c r="D36" s="20">
        <f>D33</f>
        <v>780859.89999999991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26" zoomScaleNormal="100" workbookViewId="0">
      <selection activeCell="D62" sqref="D6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CHATHAM SCHOOL DISTRICT</v>
      </c>
      <c r="B2" s="126">
        <f>'DOE25'!B2</f>
        <v>91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532942.54</v>
      </c>
      <c r="G4" s="303">
        <f>'DOE25'!L211+'DOE25'!L290</f>
        <v>532942.54</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532942.54</v>
      </c>
      <c r="E5" s="294"/>
      <c r="F5" s="313">
        <f>D5+E5</f>
        <v>532942.54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291878.33</v>
      </c>
      <c r="G36" s="303">
        <f>'DOE25'!L247+'DOE25'!L328</f>
        <v>291878.32999999996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291878.33</v>
      </c>
      <c r="E37" s="294"/>
      <c r="F37" s="308">
        <f>D37+E37</f>
        <v>291878.33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CHATHAM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88537.74</v>
      </c>
      <c r="D8" s="95">
        <f>'DOE25'!G9</f>
        <v>0</v>
      </c>
      <c r="E8" s="95">
        <f>'DOE25'!H9</f>
        <v>0</v>
      </c>
      <c r="F8" s="95">
        <f>'DOE25'!I9</f>
        <v>0</v>
      </c>
      <c r="G8" s="95">
        <f>'DOE25'!J9</f>
        <v>111386.09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88537.74</v>
      </c>
      <c r="D18" s="41">
        <f>SUM(D8:D17)</f>
        <v>0</v>
      </c>
      <c r="E18" s="41">
        <f>SUM(E8:E17)</f>
        <v>0</v>
      </c>
      <c r="F18" s="41">
        <f>SUM(F8:F17)</f>
        <v>0</v>
      </c>
      <c r="G18" s="41">
        <f>SUM(G8:G17)</f>
        <v>111386.09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14476.81</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14476.81</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17805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111386.09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56255.93</v>
      </c>
      <c r="D49" s="24" t="s">
        <v>288</v>
      </c>
      <c r="E49" s="24" t="s">
        <v>288</v>
      </c>
      <c r="F49" s="24" t="s">
        <v>288</v>
      </c>
      <c r="G49" s="24" t="s">
        <v>288</v>
      </c>
      <c r="H49" s="124"/>
      <c r="I49" s="124"/>
    </row>
    <row r="50" spans="1:9" ht="12.75" thickTop="1" thickBot="1" x14ac:dyDescent="0.25">
      <c r="A50" s="38" t="s">
        <v>884</v>
      </c>
      <c r="B50" s="48"/>
      <c r="C50" s="41">
        <f>SUM(C34:C49)</f>
        <v>74060.929999999993</v>
      </c>
      <c r="D50" s="41">
        <f>SUM(D34:D49)</f>
        <v>0</v>
      </c>
      <c r="E50" s="41">
        <f>SUM(E34:E49)</f>
        <v>0</v>
      </c>
      <c r="F50" s="41">
        <f>SUM(F34:F49)</f>
        <v>0</v>
      </c>
      <c r="G50" s="41">
        <f>SUM(G34:G49)</f>
        <v>111386.09</v>
      </c>
      <c r="H50" s="124"/>
      <c r="I50" s="124"/>
    </row>
    <row r="51" spans="1:9" ht="12" thickTop="1" x14ac:dyDescent="0.2">
      <c r="A51" s="38" t="s">
        <v>885</v>
      </c>
      <c r="B51" s="2"/>
      <c r="C51" s="41">
        <f>C50+C31</f>
        <v>88537.739999999991</v>
      </c>
      <c r="D51" s="41">
        <f>D50+D31</f>
        <v>0</v>
      </c>
      <c r="E51" s="41">
        <f>E50+E31</f>
        <v>0</v>
      </c>
      <c r="F51" s="41">
        <f>F50+F31</f>
        <v>0</v>
      </c>
      <c r="G51" s="41">
        <f>G50+G31</f>
        <v>111386.09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600850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13.47</v>
      </c>
      <c r="D59" s="95">
        <f>'DOE25'!G96</f>
        <v>0</v>
      </c>
      <c r="E59" s="95">
        <f>'DOE25'!H96</f>
        <v>0</v>
      </c>
      <c r="F59" s="95">
        <f>'DOE25'!I96</f>
        <v>0</v>
      </c>
      <c r="G59" s="95">
        <f>'DOE25'!J96</f>
        <v>8.66</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13.47</v>
      </c>
      <c r="D62" s="130">
        <f>SUM(D57:D61)</f>
        <v>0</v>
      </c>
      <c r="E62" s="130">
        <f>SUM(E57:E61)</f>
        <v>0</v>
      </c>
      <c r="F62" s="130">
        <f>SUM(F57:F61)</f>
        <v>0</v>
      </c>
      <c r="G62" s="130">
        <f>SUM(G57:G61)</f>
        <v>8.66</v>
      </c>
      <c r="H62"/>
      <c r="I62"/>
    </row>
    <row r="63" spans="1:9" ht="12" thickTop="1" x14ac:dyDescent="0.2">
      <c r="A63" s="29" t="s">
        <v>175</v>
      </c>
      <c r="B63" s="6"/>
      <c r="C63" s="22">
        <f>C56+C62</f>
        <v>600863.47</v>
      </c>
      <c r="D63" s="22">
        <f>D56+D62</f>
        <v>0</v>
      </c>
      <c r="E63" s="22">
        <f>E56+E62</f>
        <v>0</v>
      </c>
      <c r="F63" s="22">
        <f>F56+F62</f>
        <v>0</v>
      </c>
      <c r="G63" s="22">
        <f>G56+G62</f>
        <v>8.66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88163.26</v>
      </c>
      <c r="D66" s="24" t="s">
        <v>288</v>
      </c>
      <c r="E66" s="24" t="s">
        <v>288</v>
      </c>
      <c r="F66" s="24" t="s">
        <v>288</v>
      </c>
      <c r="G66" s="24" t="s">
        <v>288</v>
      </c>
      <c r="H66"/>
      <c r="I66"/>
    </row>
    <row r="67" spans="1:9" x14ac:dyDescent="0.2">
      <c r="A67" s="1" t="s">
        <v>770</v>
      </c>
      <c r="B67" s="6">
        <v>3112</v>
      </c>
      <c r="C67" s="95">
        <f>'DOE25'!F118</f>
        <v>111333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841.12</v>
      </c>
      <c r="D69" s="95">
        <f>'DOE25'!G120</f>
        <v>0</v>
      </c>
      <c r="E69" s="95">
        <f>'DOE25'!H120</f>
        <v>0</v>
      </c>
      <c r="F69" s="95">
        <f>'DOE25'!I120</f>
        <v>0</v>
      </c>
      <c r="G69" s="95">
        <f>'DOE25'!J120</f>
        <v>0</v>
      </c>
      <c r="H69"/>
      <c r="I69"/>
    </row>
    <row r="70" spans="1:9" ht="12" thickTop="1" x14ac:dyDescent="0.2">
      <c r="A70" s="29" t="s">
        <v>252</v>
      </c>
      <c r="B70" s="2"/>
      <c r="C70" s="139">
        <f>SUM(C66:C69)</f>
        <v>200337.38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4852.21</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4852.21</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205189.59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2254.29</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13660.63</v>
      </c>
      <c r="D90" s="24" t="s">
        <v>288</v>
      </c>
      <c r="E90" s="24" t="s">
        <v>288</v>
      </c>
      <c r="F90" s="24" t="s">
        <v>288</v>
      </c>
      <c r="G90" s="24" t="s">
        <v>288</v>
      </c>
    </row>
    <row r="91" spans="1:9" ht="12.75" thickTop="1" thickBot="1" x14ac:dyDescent="0.25">
      <c r="A91" s="33" t="s">
        <v>750</v>
      </c>
      <c r="C91" s="131">
        <f>SUM(C85:C90)</f>
        <v>15914.919999999998</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20000</v>
      </c>
    </row>
    <row r="104" spans="1:7" ht="12.75" thickTop="1" thickBot="1" x14ac:dyDescent="0.25">
      <c r="A104" s="33" t="s">
        <v>761</v>
      </c>
      <c r="C104" s="86">
        <f>C63+C81+C91+C103</f>
        <v>821967.98</v>
      </c>
      <c r="D104" s="86">
        <f>D63+D81+D91+D103</f>
        <v>0</v>
      </c>
      <c r="E104" s="86">
        <f>E63+E81+E91+E103</f>
        <v>0</v>
      </c>
      <c r="F104" s="86">
        <f>F63+F81+F91+F103</f>
        <v>0</v>
      </c>
      <c r="G104" s="86">
        <f>G63+G81+G103</f>
        <v>20008.66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555766.76</v>
      </c>
      <c r="D109" s="24" t="s">
        <v>288</v>
      </c>
      <c r="E109" s="95">
        <f>('DOE25'!L276)+('DOE25'!L295)+('DOE25'!L314)</f>
        <v>0</v>
      </c>
      <c r="F109" s="24" t="s">
        <v>288</v>
      </c>
      <c r="G109" s="24" t="s">
        <v>288</v>
      </c>
    </row>
    <row r="110" spans="1:7" x14ac:dyDescent="0.2">
      <c r="A110" t="s">
        <v>198</v>
      </c>
      <c r="B110" s="32" t="s">
        <v>199</v>
      </c>
      <c r="C110" s="95">
        <f>('DOE25'!L198)+('DOE25'!L216)+('DOE25'!L234)</f>
        <v>180931.72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736698.48</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1365.08</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14131.34</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72625.97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88122.39</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20008.66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-8.6599999999998545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20000</v>
      </c>
      <c r="D144" s="141">
        <f>SUM(D130:D143)</f>
        <v>0</v>
      </c>
      <c r="E144" s="141">
        <f>SUM(E130:E143)</f>
        <v>0</v>
      </c>
      <c r="F144" s="141">
        <f>SUM(F130:F143)</f>
        <v>0</v>
      </c>
      <c r="G144" s="141">
        <f>SUM(G130:G143)</f>
        <v>0</v>
      </c>
    </row>
    <row r="145" spans="1:9" ht="12.75" thickTop="1" thickBot="1" x14ac:dyDescent="0.25">
      <c r="A145" s="33" t="s">
        <v>244</v>
      </c>
      <c r="C145" s="86">
        <f>(C115+C128+C144)</f>
        <v>844820.87</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 xml:space="preserve">                     CHATHAM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555767</v>
      </c>
      <c r="D10" s="182">
        <f>ROUND((C10/$C$28)*100,1)</f>
        <v>67.400000000000006</v>
      </c>
    </row>
    <row r="11" spans="1:4" x14ac:dyDescent="0.2">
      <c r="A11">
        <v>1200</v>
      </c>
      <c r="B11" t="s">
        <v>703</v>
      </c>
      <c r="C11" s="179">
        <f>ROUND('DOE25'!L198+'DOE25'!L216+'DOE25'!L234+'DOE25'!L277+'DOE25'!L296+'DOE25'!L315,0)</f>
        <v>180932</v>
      </c>
      <c r="D11" s="182">
        <f>ROUND((C11/$C$28)*100,1)</f>
        <v>21.9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1365</v>
      </c>
      <c r="D15" s="182">
        <f t="shared" ref="D15:D27" si="0">ROUND((C15/$C$28)*100,1)</f>
        <v>0.2</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14131</v>
      </c>
      <c r="D17" s="182">
        <f t="shared" si="0"/>
        <v>1.7</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72626</v>
      </c>
      <c r="D21" s="182">
        <f t="shared" si="0"/>
        <v>8.8000000000000007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824821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824821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600850</v>
      </c>
      <c r="D35" s="182">
        <f t="shared" ref="D35:D40" si="1">ROUND((C35/$C$41)*100,1)</f>
        <v>73.099999999999994</v>
      </c>
    </row>
    <row r="36" spans="1:4" x14ac:dyDescent="0.2">
      <c r="B36" s="185" t="s">
        <v>739</v>
      </c>
      <c r="C36" s="179">
        <f>SUM('DOE25'!F112:J112)-SUM('DOE25'!G97:G110)+('DOE25'!F174+'DOE25'!F175+'DOE25'!I174+'DOE25'!I175)-C35</f>
        <v>22.130000000004657</v>
      </c>
      <c r="D36" s="182">
        <f t="shared" si="1"/>
        <v>0</v>
      </c>
    </row>
    <row r="37" spans="1:4" x14ac:dyDescent="0.2">
      <c r="A37" s="183" t="s">
        <v>835</v>
      </c>
      <c r="B37" s="185" t="s">
        <v>728</v>
      </c>
      <c r="C37" s="179">
        <f>ROUND('DOE25'!F117+'DOE25'!F118,0)</f>
        <v>199496</v>
      </c>
      <c r="D37" s="182">
        <f t="shared" si="1"/>
        <v>24.3</v>
      </c>
    </row>
    <row r="38" spans="1:4" x14ac:dyDescent="0.2">
      <c r="A38" s="183" t="s">
        <v>734</v>
      </c>
      <c r="B38" s="185" t="s">
        <v>729</v>
      </c>
      <c r="C38" s="179">
        <f>ROUND(SUM('DOE25'!F140:J140)-SUM('DOE25'!F117:F119),0)</f>
        <v>5693</v>
      </c>
      <c r="D38" s="182">
        <f t="shared" si="1"/>
        <v>0.7</v>
      </c>
    </row>
    <row r="39" spans="1:4" x14ac:dyDescent="0.2">
      <c r="A39">
        <v>4000</v>
      </c>
      <c r="B39" s="185" t="s">
        <v>730</v>
      </c>
      <c r="C39" s="179">
        <f>ROUND('DOE25'!F169+'DOE25'!G169+'DOE25'!H169+'DOE25'!I169,0)</f>
        <v>15915</v>
      </c>
      <c r="D39" s="182">
        <f t="shared" si="1"/>
        <v>1.9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821976.13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 xml:space="preserve">                     CHATHAM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2019-08-24T22:43:17Z</cp:lastPrinted>
  <dcterms:created xsi:type="dcterms:W3CDTF">1997-12-04T19:04:30Z</dcterms:created>
  <dcterms:modified xsi:type="dcterms:W3CDTF">2019-09-30T11:57:41Z</dcterms:modified>
</cp:coreProperties>
</file>