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8" i="1" l="1"/>
  <c r="H155" i="1" l="1"/>
  <c r="F68" i="1"/>
  <c r="F50" i="1" l="1"/>
  <c r="J96" i="1" l="1"/>
  <c r="J472" i="1"/>
  <c r="J468" i="1"/>
  <c r="H400" i="1"/>
  <c r="H389" i="1"/>
  <c r="J465" i="1"/>
  <c r="F9" i="1" l="1"/>
  <c r="F110" i="1"/>
  <c r="F57" i="1"/>
  <c r="J594" i="1" l="1"/>
  <c r="H581" i="1"/>
  <c r="H543" i="1"/>
  <c r="H542" i="1"/>
  <c r="F502" i="1" l="1"/>
  <c r="H472" i="1" l="1"/>
  <c r="H468" i="1"/>
  <c r="H465" i="1"/>
  <c r="H66" i="1"/>
  <c r="H48" i="1"/>
  <c r="H25" i="1"/>
  <c r="G158" i="1" l="1"/>
  <c r="G48" i="1"/>
  <c r="H358" i="1"/>
  <c r="G24" i="1"/>
  <c r="F102" i="1"/>
  <c r="F96" i="1"/>
  <c r="F160" i="1"/>
  <c r="F78" i="1"/>
  <c r="F48" i="1"/>
  <c r="F25" i="1"/>
  <c r="F22" i="1"/>
  <c r="F14" i="1"/>
  <c r="F12"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8" i="14"/>
  <c r="F9" i="14"/>
  <c r="F10" i="14"/>
  <c r="F11" i="14"/>
  <c r="F12" i="14"/>
  <c r="F13" i="14"/>
  <c r="F14" i="14"/>
  <c r="F15" i="14"/>
  <c r="F16" i="14"/>
  <c r="F17" i="14"/>
  <c r="F18" i="14"/>
  <c r="F19" i="14"/>
  <c r="F20"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D39" i="13"/>
  <c r="G13" i="13"/>
  <c r="H13" i="13"/>
  <c r="L206" i="1"/>
  <c r="L224" i="1"/>
  <c r="L242" i="1"/>
  <c r="L199" i="1"/>
  <c r="L200" i="1"/>
  <c r="L217" i="1"/>
  <c r="L218" i="1"/>
  <c r="L235" i="1"/>
  <c r="L236" i="1"/>
  <c r="G17" i="13"/>
  <c r="H17" i="13"/>
  <c r="L251" i="1"/>
  <c r="G18" i="13"/>
  <c r="H18" i="13"/>
  <c r="L252" i="1"/>
  <c r="G19" i="13"/>
  <c r="H19" i="13"/>
  <c r="L253" i="1"/>
  <c r="C114" i="2" s="1"/>
  <c r="G29" i="13"/>
  <c r="H29" i="13"/>
  <c r="L358" i="1"/>
  <c r="L359" i="1"/>
  <c r="L360" i="1"/>
  <c r="I367" i="1"/>
  <c r="L286" i="1"/>
  <c r="L287" i="1"/>
  <c r="L288" i="1"/>
  <c r="L297" i="1"/>
  <c r="L298" i="1"/>
  <c r="L302" i="1"/>
  <c r="L303" i="1"/>
  <c r="L305" i="1"/>
  <c r="L306" i="1"/>
  <c r="L307" i="1"/>
  <c r="L324" i="1"/>
  <c r="L325" i="1"/>
  <c r="L326" i="1"/>
  <c r="L333" i="1"/>
  <c r="E114" i="2" s="1"/>
  <c r="L334" i="1"/>
  <c r="L335" i="1"/>
  <c r="L260" i="1"/>
  <c r="C131" i="2" s="1"/>
  <c r="L261" i="1"/>
  <c r="C132" i="2" s="1"/>
  <c r="L341" i="1"/>
  <c r="L342" i="1"/>
  <c r="E132" i="2" s="1"/>
  <c r="L255" i="1"/>
  <c r="C130" i="2" s="1"/>
  <c r="L336" i="1"/>
  <c r="E130" i="2" s="1"/>
  <c r="C11" i="13"/>
  <c r="C10" i="13"/>
  <c r="C9" i="13"/>
  <c r="L361" i="1"/>
  <c r="L362" i="1" s="1"/>
  <c r="B4" i="12"/>
  <c r="B1" i="12"/>
  <c r="L387" i="1"/>
  <c r="L388" i="1"/>
  <c r="L389" i="1"/>
  <c r="L390" i="1"/>
  <c r="L391" i="1"/>
  <c r="L392" i="1"/>
  <c r="L395" i="1"/>
  <c r="L396" i="1"/>
  <c r="L397" i="1"/>
  <c r="L398" i="1"/>
  <c r="L399" i="1"/>
  <c r="L400" i="1"/>
  <c r="L403" i="1"/>
  <c r="L404" i="1"/>
  <c r="L405" i="1"/>
  <c r="L406" i="1"/>
  <c r="L266" i="1"/>
  <c r="J60" i="1"/>
  <c r="G56" i="2" s="1"/>
  <c r="G59" i="2"/>
  <c r="G61" i="2"/>
  <c r="F2" i="11"/>
  <c r="C40" i="10"/>
  <c r="F60" i="1"/>
  <c r="G60" i="1"/>
  <c r="H60" i="1"/>
  <c r="E56" i="2" s="1"/>
  <c r="I60" i="1"/>
  <c r="F56" i="2" s="1"/>
  <c r="F79" i="1"/>
  <c r="C57" i="2" s="1"/>
  <c r="F94" i="1"/>
  <c r="F111" i="1"/>
  <c r="G111" i="1"/>
  <c r="G112" i="1" s="1"/>
  <c r="H79" i="1"/>
  <c r="E57" i="2" s="1"/>
  <c r="H94" i="1"/>
  <c r="H111" i="1"/>
  <c r="I111" i="1"/>
  <c r="I112" i="1" s="1"/>
  <c r="J111" i="1"/>
  <c r="F121" i="1"/>
  <c r="F136" i="1"/>
  <c r="G121" i="1"/>
  <c r="G136" i="1"/>
  <c r="H121" i="1"/>
  <c r="H136" i="1"/>
  <c r="I121" i="1"/>
  <c r="I136" i="1"/>
  <c r="J121" i="1"/>
  <c r="J136" i="1"/>
  <c r="F147" i="1"/>
  <c r="C85" i="2" s="1"/>
  <c r="F162" i="1"/>
  <c r="G147" i="1"/>
  <c r="G162" i="1"/>
  <c r="H147" i="1"/>
  <c r="E85" i="2" s="1"/>
  <c r="H162" i="1"/>
  <c r="I147" i="1"/>
  <c r="I162" i="1"/>
  <c r="I169" i="1" s="1"/>
  <c r="L250" i="1"/>
  <c r="C113" i="2" s="1"/>
  <c r="L332" i="1"/>
  <c r="L254" i="1"/>
  <c r="L268" i="1"/>
  <c r="L269" i="1"/>
  <c r="C143" i="2" s="1"/>
  <c r="L349" i="1"/>
  <c r="L350" i="1"/>
  <c r="I665" i="1"/>
  <c r="I670" i="1"/>
  <c r="I669" i="1"/>
  <c r="C42" i="10"/>
  <c r="L374" i="1"/>
  <c r="L375" i="1"/>
  <c r="L376" i="1"/>
  <c r="L377" i="1"/>
  <c r="L378" i="1"/>
  <c r="L379" i="1"/>
  <c r="L380" i="1"/>
  <c r="B2" i="10"/>
  <c r="L344" i="1"/>
  <c r="E134" i="2" s="1"/>
  <c r="L345" i="1"/>
  <c r="L346" i="1"/>
  <c r="L347" i="1"/>
  <c r="K351" i="1"/>
  <c r="L526" i="1"/>
  <c r="G549"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3" i="2"/>
  <c r="D115" i="2"/>
  <c r="F115" i="2"/>
  <c r="G115" i="2"/>
  <c r="F128" i="2"/>
  <c r="G128" i="2"/>
  <c r="D134" i="2"/>
  <c r="D144" i="2" s="1"/>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F32" i="1"/>
  <c r="F52" i="1" s="1"/>
  <c r="H617" i="1" s="1"/>
  <c r="G32" i="1"/>
  <c r="G52" i="1" s="1"/>
  <c r="H618" i="1" s="1"/>
  <c r="H32" i="1"/>
  <c r="I32" i="1"/>
  <c r="H51" i="1"/>
  <c r="I51" i="1"/>
  <c r="F177" i="1"/>
  <c r="I177" i="1"/>
  <c r="F183" i="1"/>
  <c r="G183" i="1"/>
  <c r="H183" i="1"/>
  <c r="H192" i="1" s="1"/>
  <c r="I183" i="1"/>
  <c r="J183" i="1"/>
  <c r="J192" i="1" s="1"/>
  <c r="F188" i="1"/>
  <c r="G188" i="1"/>
  <c r="H188" i="1"/>
  <c r="I188" i="1"/>
  <c r="F256" i="1"/>
  <c r="G256" i="1"/>
  <c r="H256" i="1"/>
  <c r="I256" i="1"/>
  <c r="J256" i="1"/>
  <c r="K256" i="1"/>
  <c r="F337" i="1"/>
  <c r="G337" i="1"/>
  <c r="H337" i="1"/>
  <c r="I337" i="1"/>
  <c r="J337" i="1"/>
  <c r="K337" i="1"/>
  <c r="F362" i="1"/>
  <c r="G362" i="1"/>
  <c r="H362" i="1"/>
  <c r="I362" i="1"/>
  <c r="J362" i="1"/>
  <c r="K362" i="1"/>
  <c r="I368" i="1"/>
  <c r="I369" i="1" s="1"/>
  <c r="H634" i="1" s="1"/>
  <c r="F369" i="1"/>
  <c r="G369" i="1"/>
  <c r="H369" i="1"/>
  <c r="L381" i="1"/>
  <c r="F382" i="1"/>
  <c r="G382" i="1"/>
  <c r="H382" i="1"/>
  <c r="I382" i="1"/>
  <c r="J382" i="1"/>
  <c r="K382" i="1"/>
  <c r="F393" i="1"/>
  <c r="G393" i="1"/>
  <c r="H393" i="1"/>
  <c r="I393" i="1"/>
  <c r="I408" i="1" s="1"/>
  <c r="F401" i="1"/>
  <c r="G401" i="1"/>
  <c r="H401" i="1"/>
  <c r="I401" i="1"/>
  <c r="F407" i="1"/>
  <c r="G407" i="1"/>
  <c r="H407" i="1"/>
  <c r="I407" i="1"/>
  <c r="F408" i="1"/>
  <c r="G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F452" i="1"/>
  <c r="G452" i="1"/>
  <c r="G461" i="1" s="1"/>
  <c r="H640" i="1" s="1"/>
  <c r="H452" i="1"/>
  <c r="F460" i="1"/>
  <c r="G460" i="1"/>
  <c r="H460" i="1"/>
  <c r="F470" i="1"/>
  <c r="G470" i="1"/>
  <c r="H470" i="1"/>
  <c r="I470" i="1"/>
  <c r="J470" i="1"/>
  <c r="J476" i="1" s="1"/>
  <c r="H626" i="1" s="1"/>
  <c r="F474" i="1"/>
  <c r="G474" i="1"/>
  <c r="G476" i="1" s="1"/>
  <c r="H623" i="1" s="1"/>
  <c r="H474" i="1"/>
  <c r="H476" i="1" s="1"/>
  <c r="H624" i="1" s="1"/>
  <c r="I474" i="1"/>
  <c r="J474" i="1"/>
  <c r="K495" i="1"/>
  <c r="K496" i="1"/>
  <c r="K497" i="1"/>
  <c r="K498" i="1"/>
  <c r="K499" i="1"/>
  <c r="K501" i="1"/>
  <c r="K502" i="1"/>
  <c r="F517" i="1"/>
  <c r="G517" i="1"/>
  <c r="H517" i="1"/>
  <c r="I517"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68" i="1"/>
  <c r="L569" i="1"/>
  <c r="F570" i="1"/>
  <c r="F571" i="1" s="1"/>
  <c r="G570" i="1"/>
  <c r="H570" i="1"/>
  <c r="I570" i="1"/>
  <c r="J570" i="1"/>
  <c r="K570" i="1"/>
  <c r="I575" i="1"/>
  <c r="I576" i="1"/>
  <c r="I577" i="1"/>
  <c r="I578" i="1"/>
  <c r="I579" i="1"/>
  <c r="I580" i="1"/>
  <c r="I581" i="1"/>
  <c r="I582" i="1"/>
  <c r="I583" i="1"/>
  <c r="I584" i="1"/>
  <c r="I585" i="1"/>
  <c r="I586" i="1"/>
  <c r="I587" i="1"/>
  <c r="K592" i="1"/>
  <c r="K593" i="1"/>
  <c r="K594" i="1"/>
  <c r="K595" i="1"/>
  <c r="K596" i="1"/>
  <c r="K597" i="1"/>
  <c r="K602" i="1"/>
  <c r="K603" i="1"/>
  <c r="K604" i="1"/>
  <c r="H605" i="1"/>
  <c r="I605" i="1"/>
  <c r="J605" i="1"/>
  <c r="G620" i="1"/>
  <c r="G622" i="1"/>
  <c r="G623" i="1"/>
  <c r="G625" i="1"/>
  <c r="H627" i="1"/>
  <c r="H628" i="1"/>
  <c r="H629" i="1"/>
  <c r="H630" i="1"/>
  <c r="H631" i="1"/>
  <c r="H632" i="1"/>
  <c r="H633" i="1"/>
  <c r="G634" i="1"/>
  <c r="H635" i="1"/>
  <c r="H636" i="1"/>
  <c r="H637" i="1"/>
  <c r="H638" i="1"/>
  <c r="G641" i="1"/>
  <c r="G643" i="1"/>
  <c r="J643" i="1" s="1"/>
  <c r="H643" i="1"/>
  <c r="G644" i="1"/>
  <c r="G645" i="1"/>
  <c r="H645" i="1"/>
  <c r="G652" i="1"/>
  <c r="H652" i="1"/>
  <c r="G653" i="1"/>
  <c r="H653" i="1"/>
  <c r="G654" i="1"/>
  <c r="H654" i="1"/>
  <c r="H655" i="1"/>
  <c r="D50" i="2"/>
  <c r="D91" i="2"/>
  <c r="G62" i="2"/>
  <c r="E78" i="2"/>
  <c r="H112" i="1"/>
  <c r="D81" i="2"/>
  <c r="J140" i="1"/>
  <c r="G22" i="2"/>
  <c r="H140" i="1"/>
  <c r="L401" i="1"/>
  <c r="C139" i="2" s="1"/>
  <c r="J645" i="1"/>
  <c r="D31" i="2" l="1"/>
  <c r="L419" i="1"/>
  <c r="L256" i="1"/>
  <c r="G81" i="2"/>
  <c r="K571" i="1"/>
  <c r="I476" i="1"/>
  <c r="H625" i="1" s="1"/>
  <c r="J625" i="1" s="1"/>
  <c r="G192" i="1"/>
  <c r="J571" i="1"/>
  <c r="L560" i="1"/>
  <c r="H461" i="1"/>
  <c r="H641" i="1" s="1"/>
  <c r="J641" i="1" s="1"/>
  <c r="L433" i="1"/>
  <c r="I52" i="1"/>
  <c r="H620" i="1" s="1"/>
  <c r="G552" i="1"/>
  <c r="C32" i="10"/>
  <c r="J655" i="1"/>
  <c r="F78" i="2"/>
  <c r="H408" i="1"/>
  <c r="H644" i="1" s="1"/>
  <c r="F461" i="1"/>
  <c r="H639" i="1" s="1"/>
  <c r="G161" i="2"/>
  <c r="G157" i="2"/>
  <c r="E103" i="2"/>
  <c r="E123" i="2"/>
  <c r="L570" i="1"/>
  <c r="L571" i="1" s="1"/>
  <c r="L427" i="1"/>
  <c r="L434" i="1" s="1"/>
  <c r="G638" i="1" s="1"/>
  <c r="J638" i="1" s="1"/>
  <c r="C91" i="2"/>
  <c r="L393" i="1"/>
  <c r="C138" i="2" s="1"/>
  <c r="J644" i="1"/>
  <c r="J634" i="1"/>
  <c r="F81" i="2"/>
  <c r="D62" i="2"/>
  <c r="D63" i="2" s="1"/>
  <c r="D18" i="2"/>
  <c r="L270" i="1"/>
  <c r="F130" i="2"/>
  <c r="F144" i="2" s="1"/>
  <c r="F145" i="2" s="1"/>
  <c r="C26" i="10"/>
  <c r="K605" i="1"/>
  <c r="G648" i="1" s="1"/>
  <c r="J640" i="1"/>
  <c r="F18" i="2"/>
  <c r="H169" i="1"/>
  <c r="H193" i="1" s="1"/>
  <c r="G629" i="1" s="1"/>
  <c r="J629" i="1" s="1"/>
  <c r="F169" i="1"/>
  <c r="J112" i="1"/>
  <c r="J193" i="1" s="1"/>
  <c r="G646" i="1" s="1"/>
  <c r="E62" i="2"/>
  <c r="E63" i="2" s="1"/>
  <c r="G661" i="1"/>
  <c r="D18" i="13"/>
  <c r="C18" i="13" s="1"/>
  <c r="C112" i="2"/>
  <c r="H552" i="1"/>
  <c r="J552" i="1"/>
  <c r="G164" i="2"/>
  <c r="G156" i="2"/>
  <c r="L351" i="1"/>
  <c r="E125" i="2"/>
  <c r="E124" i="2"/>
  <c r="H52" i="1"/>
  <c r="H619" i="1" s="1"/>
  <c r="J619" i="1" s="1"/>
  <c r="G624" i="1"/>
  <c r="J624" i="1" s="1"/>
  <c r="E31" i="2"/>
  <c r="F661" i="1"/>
  <c r="J623" i="1"/>
  <c r="F476" i="1"/>
  <c r="H622" i="1" s="1"/>
  <c r="J622" i="1" s="1"/>
  <c r="E13" i="13"/>
  <c r="C13" i="13" s="1"/>
  <c r="F192" i="1"/>
  <c r="C70" i="2"/>
  <c r="C78" i="2"/>
  <c r="C81" i="2" s="1"/>
  <c r="F112" i="1"/>
  <c r="C18" i="2"/>
  <c r="J617" i="1"/>
  <c r="J639" i="1"/>
  <c r="I25" i="13"/>
  <c r="L534" i="1"/>
  <c r="K500" i="1"/>
  <c r="I460" i="1"/>
  <c r="I452" i="1"/>
  <c r="I446" i="1"/>
  <c r="G642" i="1" s="1"/>
  <c r="C56" i="2"/>
  <c r="C25" i="10"/>
  <c r="D19" i="13"/>
  <c r="C19" i="13" s="1"/>
  <c r="C62" i="2"/>
  <c r="G22" i="13"/>
  <c r="C22" i="13" s="1"/>
  <c r="L539" i="1"/>
  <c r="K503" i="1"/>
  <c r="L382" i="1"/>
  <c r="G636" i="1" s="1"/>
  <c r="J636" i="1" s="1"/>
  <c r="C142" i="2"/>
  <c r="C111" i="2"/>
  <c r="H661" i="1"/>
  <c r="D29" i="13"/>
  <c r="C29" i="13" s="1"/>
  <c r="C35" i="10"/>
  <c r="C29" i="10"/>
  <c r="E81" i="2"/>
  <c r="L544" i="1"/>
  <c r="D127" i="2"/>
  <c r="D128" i="2" s="1"/>
  <c r="D145" i="2" s="1"/>
  <c r="C122" i="2"/>
  <c r="D17" i="13"/>
  <c r="C17" i="13" s="1"/>
  <c r="L337" i="1"/>
  <c r="F62" i="2"/>
  <c r="F63" i="2" s="1"/>
  <c r="C23" i="10"/>
  <c r="G163" i="2"/>
  <c r="G162" i="2"/>
  <c r="G160" i="2"/>
  <c r="G159" i="2"/>
  <c r="G158" i="2"/>
  <c r="G103" i="2"/>
  <c r="F103" i="2"/>
  <c r="C103" i="2"/>
  <c r="F91" i="2"/>
  <c r="E50" i="2"/>
  <c r="C50" i="2"/>
  <c r="F31" i="2"/>
  <c r="C31" i="2"/>
  <c r="E18" i="2"/>
  <c r="E144" i="2"/>
  <c r="F50" i="2"/>
  <c r="F51" i="2" s="1"/>
  <c r="C24" i="10"/>
  <c r="L407" i="1"/>
  <c r="C140" i="2" s="1"/>
  <c r="I192" i="1"/>
  <c r="E91" i="2"/>
  <c r="D51" i="2"/>
  <c r="J654" i="1"/>
  <c r="J653" i="1"/>
  <c r="G21" i="2"/>
  <c r="G31" i="2" s="1"/>
  <c r="J32" i="1"/>
  <c r="J434" i="1"/>
  <c r="F434" i="1"/>
  <c r="K434" i="1"/>
  <c r="G134" i="2" s="1"/>
  <c r="G144" i="2" s="1"/>
  <c r="G145" i="2" s="1"/>
  <c r="F104" i="2"/>
  <c r="G169" i="1"/>
  <c r="G140" i="1"/>
  <c r="F140" i="1"/>
  <c r="G63" i="2"/>
  <c r="J618" i="1"/>
  <c r="G42" i="2"/>
  <c r="J51" i="1"/>
  <c r="G16" i="2"/>
  <c r="G18" i="2" s="1"/>
  <c r="J19" i="1"/>
  <c r="G621" i="1" s="1"/>
  <c r="H434" i="1"/>
  <c r="J620" i="1"/>
  <c r="D103" i="2"/>
  <c r="I140" i="1"/>
  <c r="I193" i="1" s="1"/>
  <c r="G630" i="1" s="1"/>
  <c r="J630" i="1" s="1"/>
  <c r="G50" i="2"/>
  <c r="G51" i="2" s="1"/>
  <c r="J652" i="1"/>
  <c r="G571" i="1"/>
  <c r="I434" i="1"/>
  <c r="G434" i="1"/>
  <c r="C27" i="10"/>
  <c r="G635" i="1"/>
  <c r="J635" i="1" s="1"/>
  <c r="E104" i="2" l="1"/>
  <c r="C141" i="2"/>
  <c r="C144" i="2" s="1"/>
  <c r="L408" i="1"/>
  <c r="G637" i="1" s="1"/>
  <c r="J637" i="1" s="1"/>
  <c r="I661" i="1"/>
  <c r="C39" i="10"/>
  <c r="D104" i="2"/>
  <c r="G104" i="2"/>
  <c r="E51" i="2"/>
  <c r="C36" i="10"/>
  <c r="C63" i="2"/>
  <c r="C104" i="2" s="1"/>
  <c r="F193" i="1"/>
  <c r="G627" i="1" s="1"/>
  <c r="J627" i="1" s="1"/>
  <c r="I461" i="1"/>
  <c r="H642" i="1" s="1"/>
  <c r="J642" i="1" s="1"/>
  <c r="C25" i="13"/>
  <c r="I33" i="13"/>
  <c r="C51" i="2"/>
  <c r="G631" i="1"/>
  <c r="J631" i="1" s="1"/>
  <c r="G193" i="1"/>
  <c r="G628" i="1" s="1"/>
  <c r="J628" i="1" s="1"/>
  <c r="G626" i="1"/>
  <c r="J626" i="1" s="1"/>
  <c r="J52" i="1"/>
  <c r="H621" i="1" s="1"/>
  <c r="J621" i="1" s="1"/>
  <c r="C38" i="10"/>
  <c r="H646" i="1" l="1"/>
  <c r="J646" i="1" s="1"/>
  <c r="C41" i="10"/>
  <c r="D38" i="10" s="1"/>
  <c r="D37" i="10" l="1"/>
  <c r="D36" i="10"/>
  <c r="D35" i="10"/>
  <c r="D40" i="10"/>
  <c r="D39" i="10"/>
  <c r="D41" i="10" l="1"/>
  <c r="L321" i="1" l="1"/>
  <c r="L284" i="1"/>
  <c r="L322" i="1"/>
  <c r="L278" i="1"/>
  <c r="L317" i="1"/>
  <c r="E121" i="2" l="1"/>
  <c r="J522" i="1" l="1"/>
  <c r="L226" i="1" l="1"/>
  <c r="L220" i="1"/>
  <c r="F229" i="1"/>
  <c r="I229" i="1"/>
  <c r="G229" i="1"/>
  <c r="K522" i="1"/>
  <c r="L221" i="1"/>
  <c r="L225" i="1"/>
  <c r="L223" i="1"/>
  <c r="J523" i="1"/>
  <c r="K521" i="1"/>
  <c r="J229" i="1"/>
  <c r="G6" i="13" l="1"/>
  <c r="L222" i="1"/>
  <c r="G8" i="13"/>
  <c r="G14" i="13"/>
  <c r="L216" i="1"/>
  <c r="L227" i="1"/>
  <c r="L612" i="1"/>
  <c r="G663" i="1" s="1"/>
  <c r="L233" i="1"/>
  <c r="G16" i="13"/>
  <c r="G7" i="13"/>
  <c r="H14" i="13"/>
  <c r="G12" i="13"/>
  <c r="L239" i="1"/>
  <c r="L198" i="1"/>
  <c r="H15" i="13"/>
  <c r="G5" i="13"/>
  <c r="J211" i="1"/>
  <c r="F247" i="1"/>
  <c r="L205" i="1"/>
  <c r="K211" i="1"/>
  <c r="I211" i="1"/>
  <c r="L208" i="1"/>
  <c r="L207" i="1"/>
  <c r="G211" i="1"/>
  <c r="I247" i="1"/>
  <c r="I614" i="1"/>
  <c r="H16" i="13"/>
  <c r="G614" i="1"/>
  <c r="H211" i="1"/>
  <c r="L611" i="1"/>
  <c r="G247" i="1"/>
  <c r="L204" i="1"/>
  <c r="H8" i="13"/>
  <c r="L240" i="1"/>
  <c r="G650" i="1"/>
  <c r="G662" i="1"/>
  <c r="L241" i="1"/>
  <c r="L202" i="1"/>
  <c r="H229" i="1"/>
  <c r="J614" i="1"/>
  <c r="K229" i="1"/>
  <c r="G15" i="13"/>
  <c r="K614" i="1"/>
  <c r="J247" i="1"/>
  <c r="H6" i="13"/>
  <c r="F211" i="1"/>
  <c r="L197" i="1"/>
  <c r="H614" i="1"/>
  <c r="L215" i="1"/>
  <c r="H12" i="13"/>
  <c r="K523" i="1"/>
  <c r="F614" i="1"/>
  <c r="L209" i="1"/>
  <c r="L203" i="1"/>
  <c r="L238" i="1" l="1"/>
  <c r="C118" i="2" s="1"/>
  <c r="K524" i="1"/>
  <c r="K545" i="1" s="1"/>
  <c r="L244" i="1"/>
  <c r="H647" i="1" s="1"/>
  <c r="L243" i="1"/>
  <c r="C123" i="2" s="1"/>
  <c r="H7" i="13"/>
  <c r="D7" i="13" s="1"/>
  <c r="C7" i="13" s="1"/>
  <c r="L229" i="1"/>
  <c r="D25" i="14" s="1"/>
  <c r="D12" i="13"/>
  <c r="C12" i="13" s="1"/>
  <c r="L245" i="1"/>
  <c r="C125" i="2" s="1"/>
  <c r="F257" i="1"/>
  <c r="F271" i="1" s="1"/>
  <c r="I257" i="1"/>
  <c r="I271" i="1" s="1"/>
  <c r="K247" i="1"/>
  <c r="K257" i="1" s="1"/>
  <c r="K271" i="1" s="1"/>
  <c r="G257" i="1"/>
  <c r="G271" i="1" s="1"/>
  <c r="C120" i="2"/>
  <c r="E8" i="13"/>
  <c r="C121" i="2"/>
  <c r="C18" i="10"/>
  <c r="C119" i="2"/>
  <c r="F663" i="1"/>
  <c r="J257" i="1"/>
  <c r="J271" i="1" s="1"/>
  <c r="F662" i="1"/>
  <c r="G649" i="1"/>
  <c r="H5" i="13"/>
  <c r="L613" i="1"/>
  <c r="H663" i="1" s="1"/>
  <c r="L211" i="1"/>
  <c r="C109" i="2"/>
  <c r="L234" i="1"/>
  <c r="C110" i="2" s="1"/>
  <c r="H247" i="1"/>
  <c r="H257" i="1" s="1"/>
  <c r="H271" i="1" s="1"/>
  <c r="C21" i="10" l="1"/>
  <c r="H662" i="1"/>
  <c r="I662" i="1" s="1"/>
  <c r="C124" i="2"/>
  <c r="C128" i="2" s="1"/>
  <c r="D15" i="13"/>
  <c r="C15" i="13" s="1"/>
  <c r="G651" i="1"/>
  <c r="D6" i="13"/>
  <c r="C6" i="13" s="1"/>
  <c r="D14" i="13"/>
  <c r="C14" i="13" s="1"/>
  <c r="C115" i="2"/>
  <c r="C20" i="10"/>
  <c r="E16" i="13"/>
  <c r="C16" i="13" s="1"/>
  <c r="L247" i="1"/>
  <c r="D37" i="14" s="1"/>
  <c r="L614" i="1"/>
  <c r="D5" i="13"/>
  <c r="C5" i="13" s="1"/>
  <c r="I663" i="1"/>
  <c r="C8" i="13"/>
  <c r="C145" i="2" l="1"/>
  <c r="E33" i="13"/>
  <c r="D35" i="13" s="1"/>
  <c r="L257" i="1"/>
  <c r="L271" i="1" s="1"/>
  <c r="G632" i="1" s="1"/>
  <c r="J632" i="1" s="1"/>
  <c r="J598" i="1" l="1"/>
  <c r="H651" i="1" s="1"/>
  <c r="J651" i="1" s="1"/>
  <c r="H598" i="1" l="1"/>
  <c r="H649" i="1" s="1"/>
  <c r="J649" i="1" s="1"/>
  <c r="I598" i="1" l="1"/>
  <c r="H650" i="1" s="1"/>
  <c r="J650" i="1" s="1"/>
  <c r="K651" i="1" s="1"/>
  <c r="K591" i="1"/>
  <c r="K598" i="1" s="1"/>
  <c r="G647" i="1" s="1"/>
  <c r="J647" i="1" s="1"/>
  <c r="C36" i="12" l="1"/>
  <c r="G521" i="1"/>
  <c r="C18" i="12" l="1"/>
  <c r="C27" i="12"/>
  <c r="F521" i="1"/>
  <c r="F522" i="1"/>
  <c r="I521" i="1"/>
  <c r="G522" i="1"/>
  <c r="H521" i="1"/>
  <c r="J521" i="1" l="1"/>
  <c r="J524" i="1" s="1"/>
  <c r="J545" i="1" s="1"/>
  <c r="F290" i="1"/>
  <c r="B18" i="12"/>
  <c r="L277" i="1"/>
  <c r="I290" i="1"/>
  <c r="L279" i="1"/>
  <c r="B36" i="12"/>
  <c r="G290" i="1"/>
  <c r="B27" i="12"/>
  <c r="L316" i="1"/>
  <c r="L283" i="1"/>
  <c r="L282" i="1"/>
  <c r="H522" i="1"/>
  <c r="J290" i="1"/>
  <c r="I522" i="1"/>
  <c r="G309" i="1"/>
  <c r="H290" i="1" l="1"/>
  <c r="L301" i="1"/>
  <c r="J309" i="1"/>
  <c r="I309" i="1"/>
  <c r="L300" i="1"/>
  <c r="H309" i="1"/>
  <c r="K309" i="1"/>
  <c r="L304" i="1"/>
  <c r="C29" i="12"/>
  <c r="B30" i="12"/>
  <c r="C28" i="12"/>
  <c r="E112" i="2"/>
  <c r="C13" i="10"/>
  <c r="B21" i="12"/>
  <c r="C19" i="12"/>
  <c r="C20" i="12"/>
  <c r="L296" i="1"/>
  <c r="L285" i="1"/>
  <c r="K290" i="1"/>
  <c r="E111" i="2"/>
  <c r="C12" i="10"/>
  <c r="C17" i="10"/>
  <c r="E120" i="2"/>
  <c r="L295" i="1"/>
  <c r="L276" i="1"/>
  <c r="L281" i="1"/>
  <c r="F309" i="1"/>
  <c r="C37" i="12"/>
  <c r="C38" i="12"/>
  <c r="B39" i="12"/>
  <c r="L521" i="1"/>
  <c r="H523" i="1"/>
  <c r="L323" i="1"/>
  <c r="E122" i="2" l="1"/>
  <c r="L320" i="1"/>
  <c r="E119" i="2" s="1"/>
  <c r="L309" i="1"/>
  <c r="G660" i="1" s="1"/>
  <c r="G664" i="1" s="1"/>
  <c r="L314" i="1"/>
  <c r="C10" i="10" s="1"/>
  <c r="F523" i="1"/>
  <c r="F328" i="1"/>
  <c r="F338" i="1" s="1"/>
  <c r="F352" i="1" s="1"/>
  <c r="B9" i="12"/>
  <c r="G523" i="1"/>
  <c r="G524" i="1" s="1"/>
  <c r="G545" i="1" s="1"/>
  <c r="G328" i="1"/>
  <c r="G338" i="1" s="1"/>
  <c r="G352" i="1" s="1"/>
  <c r="C9" i="12"/>
  <c r="G24" i="14"/>
  <c r="C39" i="12"/>
  <c r="C40" i="12" s="1"/>
  <c r="B40" i="12"/>
  <c r="K328" i="1"/>
  <c r="K338" i="1" s="1"/>
  <c r="K352" i="1" s="1"/>
  <c r="I523" i="1"/>
  <c r="I524" i="1" s="1"/>
  <c r="I545" i="1" s="1"/>
  <c r="I328" i="1"/>
  <c r="I338" i="1" s="1"/>
  <c r="I352" i="1" s="1"/>
  <c r="H524" i="1"/>
  <c r="H545" i="1" s="1"/>
  <c r="L290" i="1"/>
  <c r="C19" i="10"/>
  <c r="C21" i="12"/>
  <c r="C22" i="12" s="1"/>
  <c r="B22" i="12"/>
  <c r="F549" i="1"/>
  <c r="B31" i="12"/>
  <c r="C30" i="12"/>
  <c r="C31" i="12" s="1"/>
  <c r="L522" i="1"/>
  <c r="F550" i="1" s="1"/>
  <c r="K550" i="1" s="1"/>
  <c r="J328" i="1"/>
  <c r="L315" i="1"/>
  <c r="E25" i="14" l="1"/>
  <c r="F25" i="14" s="1"/>
  <c r="F24" i="14" s="1"/>
  <c r="H24" i="14" s="1"/>
  <c r="I24" i="14" s="1"/>
  <c r="C16" i="10"/>
  <c r="E109" i="2"/>
  <c r="H31" i="13"/>
  <c r="H33" i="13" s="1"/>
  <c r="A40" i="12"/>
  <c r="K549" i="1"/>
  <c r="J338" i="1"/>
  <c r="G31" i="13"/>
  <c r="G33" i="13" s="1"/>
  <c r="A22" i="12"/>
  <c r="G4" i="14"/>
  <c r="F660" i="1"/>
  <c r="L319" i="1"/>
  <c r="L328" i="1" s="1"/>
  <c r="L338" i="1" s="1"/>
  <c r="L352" i="1" s="1"/>
  <c r="G633" i="1" s="1"/>
  <c r="B12" i="12"/>
  <c r="C11" i="12"/>
  <c r="C10" i="12"/>
  <c r="C11" i="10"/>
  <c r="E110" i="2"/>
  <c r="A31" i="12"/>
  <c r="H328" i="1"/>
  <c r="H338" i="1" s="1"/>
  <c r="H352" i="1" s="1"/>
  <c r="G672" i="1"/>
  <c r="C5" i="10" s="1"/>
  <c r="G667" i="1"/>
  <c r="L523" i="1"/>
  <c r="F551" i="1" s="1"/>
  <c r="K551" i="1" s="1"/>
  <c r="F524" i="1"/>
  <c r="F545" i="1" s="1"/>
  <c r="K552" i="1" l="1"/>
  <c r="E115" i="2"/>
  <c r="J633" i="1"/>
  <c r="L524" i="1"/>
  <c r="L545" i="1" s="1"/>
  <c r="E37" i="14"/>
  <c r="F37" i="14" s="1"/>
  <c r="F36" i="14" s="1"/>
  <c r="H660" i="1"/>
  <c r="H664" i="1" s="1"/>
  <c r="G36" i="14"/>
  <c r="B13" i="12"/>
  <c r="C12" i="12"/>
  <c r="C13" i="12" s="1"/>
  <c r="F664" i="1"/>
  <c r="H648" i="1"/>
  <c r="J648" i="1" s="1"/>
  <c r="J352" i="1"/>
  <c r="C15" i="10"/>
  <c r="C28" i="10" s="1"/>
  <c r="E118" i="2"/>
  <c r="E128" i="2" s="1"/>
  <c r="E145" i="2" s="1"/>
  <c r="F552" i="1"/>
  <c r="D31" i="13"/>
  <c r="I660" i="1" l="1"/>
  <c r="I664" i="1" s="1"/>
  <c r="I667" i="1" s="1"/>
  <c r="H656" i="1"/>
  <c r="D15" i="10"/>
  <c r="C30" i="10"/>
  <c r="D21" i="10"/>
  <c r="D20" i="10"/>
  <c r="D22" i="10"/>
  <c r="D27" i="10"/>
  <c r="D25" i="10"/>
  <c r="D23" i="10"/>
  <c r="D26" i="10"/>
  <c r="D18" i="10"/>
  <c r="D24" i="10"/>
  <c r="D13" i="10"/>
  <c r="D17" i="10"/>
  <c r="D12" i="10"/>
  <c r="D19" i="10"/>
  <c r="D10" i="10"/>
  <c r="D16" i="10"/>
  <c r="D11" i="10"/>
  <c r="A13" i="12"/>
  <c r="H36" i="14"/>
  <c r="I36" i="14" s="1"/>
  <c r="D33" i="13"/>
  <c r="D36" i="13" s="1"/>
  <c r="C31" i="13"/>
  <c r="F672" i="1"/>
  <c r="C4" i="10" s="1"/>
  <c r="F667" i="1"/>
  <c r="H667" i="1"/>
  <c r="H672" i="1"/>
  <c r="C6" i="10" s="1"/>
  <c r="I672" i="1" l="1"/>
  <c r="C7" i="10" s="1"/>
  <c r="D28" i="10"/>
  <c r="F6" i="14" l="1"/>
  <c r="F7" i="14"/>
  <c r="F5" i="14"/>
  <c r="F4" i="14" l="1"/>
  <c r="H4" i="14" s="1"/>
  <c r="I4" i="14" s="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<sst xmlns="http://schemas.openxmlformats.org/spreadsheetml/2006/main" count="5510" uniqueCount="1613">
  <si>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</si>
  <si>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</si>
  <si>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</si>
  <si>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</si>
  <si>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</si>
  <si>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</si>
  <si>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</si>
  <si>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</si>
  <si>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</si>
  <si>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</si>
  <si>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</si>
  <si>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</si>
  <si>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</si>
  <si>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</si>
  <si>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</si>
  <si>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</si>
  <si>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</si>
  <si>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</si>
  <si>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</si>
  <si>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</si>
  <si>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</si>
  <si>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</si>
  <si>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</si>
  <si>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</si>
  <si>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</si>
  <si>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</si>
  <si>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</si>
  <si>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</si>
  <si>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</si>
  <si>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</si>
  <si>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</si>
  <si>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</si>
  <si>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</si>
  <si>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</si>
  <si>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</si>
  <si>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</si>
  <si>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</si>
  <si>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</si>
  <si>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</si>
  <si>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</si>
  <si>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</si>
  <si>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</si>
  <si>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</si>
  <si>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</si>
  <si>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</si>
  <si>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</si>
  <si>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</si>
  <si>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</si>
  <si>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</si>
  <si>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</si>
  <si>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</si>
  <si>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</si>
  <si>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</si>
  <si>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</si>
  <si>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</si>
  <si>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</si>
  <si>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</si>
  <si>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</si>
  <si>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</si>
  <si>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</si>
  <si>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</si>
  <si>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</si>
  <si>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</si>
  <si>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</si>
  <si>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</si>
  <si>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</si>
  <si>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</si>
  <si>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</si>
  <si>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</si>
  <si>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</si>
  <si>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</si>
  <si>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</si>
  <si>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</si>
  <si>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</si>
  <si>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</si>
  <si>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</si>
  <si>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</si>
  <si>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</si>
  <si>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</si>
  <si>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</si>
  <si>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</si>
  <si>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</si>
  <si>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</si>
  <si>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</si>
  <si>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</si>
  <si>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</si>
  <si>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</si>
  <si>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</si>
  <si>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</si>
  <si>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</si>
  <si>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</si>
  <si>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</si>
  <si>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</si>
  <si>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</si>
  <si>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</si>
  <si>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</si>
  <si>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</si>
  <si>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</si>
  <si>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</si>
  <si>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</si>
  <si>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</si>
  <si>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</si>
  <si>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</si>
  <si>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</si>
  <si>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</si>
  <si>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</si>
  <si>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</si>
  <si>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</si>
  <si>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</si>
  <si>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</si>
  <si>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</si>
  <si>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</si>
  <si>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</si>
  <si>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</si>
  <si>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</si>
  <si>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</si>
  <si>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</si>
  <si>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</si>
  <si>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</si>
  <si>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</si>
  <si>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</si>
  <si>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</si>
  <si>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</si>
  <si>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</si>
  <si>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</si>
  <si>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</si>
  <si>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</si>
  <si>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</si>
  <si>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</si>
  <si>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</si>
  <si>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</si>
  <si>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</si>
  <si>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</si>
  <si>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</si>
  <si>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</si>
  <si>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</si>
  <si>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</si>
  <si>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</si>
  <si>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</si>
  <si>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</si>
  <si>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</si>
  <si>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</si>
  <si>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</si>
  <si>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</si>
  <si>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</si>
  <si>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</si>
  <si>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</si>
  <si>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</si>
  <si>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</si>
  <si>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</si>
  <si>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</si>
  <si>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</si>
  <si>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</si>
  <si>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</si>
  <si>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</si>
  <si>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</si>
  <si>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</si>
  <si>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</si>
  <si>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</si>
  <si>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</si>
  <si>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</si>
  <si>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</si>
  <si>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</si>
  <si>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</si>
  <si>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</si>
  <si>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</si>
  <si>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</si>
  <si>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</si>
  <si>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</si>
  <si>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</si>
  <si>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</si>
  <si>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</si>
  <si>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</si>
  <si>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</si>
  <si>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</si>
  <si>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</si>
  <si>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</si>
  <si>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</si>
  <si>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</si>
  <si>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</si>
  <si>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</si>
  <si>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</si>
  <si>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</si>
  <si>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</si>
  <si>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</si>
  <si>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</si>
  <si>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</si>
  <si>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</si>
  <si>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</si>
  <si>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</si>
  <si>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</si>
  <si>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</si>
  <si>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</si>
  <si>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</si>
  <si>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</si>
  <si>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</si>
  <si>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</si>
  <si>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</si>
  <si>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</si>
  <si>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</si>
  <si>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</si>
  <si>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</si>
  <si>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</si>
  <si>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</si>
  <si>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</si>
  <si>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</si>
  <si>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</si>
  <si>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</si>
  <si>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</si>
  <si>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</si>
  <si>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</si>
  <si>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</si>
  <si>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</si>
  <si>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</si>
  <si>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</si>
  <si>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</si>
  <si>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</si>
  <si>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</si>
  <si>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</si>
  <si>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</si>
  <si>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</si>
  <si>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</si>
  <si>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</si>
  <si>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</si>
  <si>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</si>
  <si>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</si>
  <si>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</si>
  <si>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</si>
  <si>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</si>
  <si>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</si>
  <si>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</si>
  <si>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</si>
  <si>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</si>
  <si>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</si>
  <si>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</si>
  <si>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</si>
  <si>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</si>
  <si>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</si>
  <si>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</si>
  <si>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</si>
  <si>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</si>
  <si>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</si>
  <si>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</si>
  <si>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</si>
  <si>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</si>
  <si>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</si>
  <si>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</si>
  <si>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</si>
  <si>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</si>
  <si>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</si>
  <si>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</si>
  <si>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</si>
  <si>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</si>
  <si>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</si>
  <si>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</si>
  <si>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</si>
  <si>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</si>
  <si>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</si>
  <si>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</si>
  <si>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</si>
  <si>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</si>
  <si>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</si>
  <si>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</si>
  <si>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</si>
  <si>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</si>
  <si>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</si>
  <si>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</si>
  <si>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</si>
  <si>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</si>
  <si>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</si>
  <si>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</si>
  <si>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</si>
  <si>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</si>
  <si>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</si>
  <si>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</si>
  <si>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</si>
  <si>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</si>
  <si>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</si>
  <si>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</si>
  <si>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</si>
  <si>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</si>
  <si>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</si>
  <si>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</si>
  <si>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</si>
  <si>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</si>
  <si>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</si>
  <si>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</si>
  <si>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</si>
  <si>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</si>
  <si>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</si>
  <si>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</si>
  <si>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</si>
  <si>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</si>
  <si>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</si>
  <si>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</si>
  <si>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</si>
  <si>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</si>
  <si>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</si>
  <si>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</si>
  <si>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</si>
  <si>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</si>
  <si>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</si>
  <si>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</si>
  <si>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</si>
  <si>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</si>
  <si>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</si>
  <si>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</si>
  <si>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</si>
  <si>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</si>
  <si>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</si>
  <si>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</si>
  <si>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</si>
  <si>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</si>
  <si>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</si>
  <si>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</si>
  <si>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</si>
  <si>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</si>
  <si>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</si>
  <si>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</si>
  <si>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</si>
  <si>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</si>
  <si>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</si>
  <si>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</si>
  <si>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</si>
  <si>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</si>
  <si>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</si>
  <si>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</si>
  <si>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</si>
  <si>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</si>
  <si>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</si>
  <si>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</si>
  <si>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</si>
  <si>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</si>
  <si>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</si>
  <si>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</si>
  <si>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</si>
  <si>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</si>
  <si>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</si>
  <si>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</si>
  <si>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</si>
  <si>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</si>
  <si>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</si>
  <si>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</si>
  <si>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</si>
  <si>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</si>
  <si>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</si>
  <si>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</si>
  <si>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</si>
  <si>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</si>
  <si>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</si>
  <si>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</si>
  <si>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</si>
  <si>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</si>
  <si>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</si>
  <si>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</si>
  <si>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</si>
  <si>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</si>
  <si>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</si>
  <si>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</si>
  <si>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</si>
  <si>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</si>
  <si>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</si>
  <si>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</si>
  <si>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</si>
  <si>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</si>
  <si>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</si>
  <si>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</si>
  <si>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</si>
  <si>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</si>
  <si>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</si>
  <si>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</si>
  <si>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</si>
  <si>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</si>
  <si>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</si>
  <si>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</si>
  <si>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</si>
  <si>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</si>
  <si>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</si>
  <si>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</si>
  <si>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</si>
  <si>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</si>
  <si>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</si>
  <si>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</si>
  <si>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</si>
  <si>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</si>
  <si>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</si>
  <si>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</si>
  <si>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</si>
  <si>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</si>
  <si>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</si>
  <si>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</si>
  <si>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</si>
  <si>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</si>
  <si>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</si>
  <si>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</si>
  <si>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</si>
  <si>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</si>
  <si>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</si>
  <si>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</si>
  <si>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</si>
  <si>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</si>
  <si>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</si>
  <si>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</si>
  <si>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</si>
  <si>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</si>
  <si>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</si>
  <si>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</si>
  <si>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</si>
  <si>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</si>
  <si>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</si>
  <si>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</si>
  <si>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</si>
  <si>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</si>
  <si>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</si>
  <si>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</si>
  <si>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</si>
  <si>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</si>
  <si>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</si>
  <si>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</si>
  <si>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</si>
  <si>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</si>
  <si>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</si>
  <si>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</si>
  <si>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</si>
  <si>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</si>
  <si>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</si>
  <si>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</si>
  <si>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</si>
  <si>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</si>
  <si>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</si>
  <si>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</si>
  <si>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</si>
  <si>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</si>
  <si>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</si>
  <si>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</si>
  <si>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</si>
  <si>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</si>
  <si>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</si>
  <si>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</si>
  <si>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</si>
  <si>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</si>
  <si>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</si>
  <si>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</si>
  <si>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</si>
  <si>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</si>
  <si>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</si>
  <si>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</si>
  <si>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</si>
  <si>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</si>
  <si>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</si>
  <si>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</si>
  <si>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</si>
  <si>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</si>
  <si>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</si>
  <si>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</si>
  <si>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</si>
  <si>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</si>
  <si>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</si>
  <si>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</si>
  <si>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</si>
  <si>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</si>
  <si>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</si>
  <si>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</si>
  <si>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</si>
  <si>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</si>
  <si>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</si>
  <si>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</si>
  <si>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</si>
  <si>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</si>
  <si>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</si>
  <si>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</si>
  <si>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</si>
  <si>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</si>
  <si>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</si>
  <si>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</si>
  <si>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</si>
  <si>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</si>
  <si>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</si>
  <si>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</si>
  <si>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</si>
  <si>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</si>
  <si>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</si>
  <si>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</si>
  <si>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</si>
  <si>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</si>
  <si>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</si>
  <si>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</si>
  <si>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</si>
  <si>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</si>
  <si>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</si>
  <si>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</si>
  <si>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</si>
  <si>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</si>
  <si>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</si>
  <si>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</si>
  <si>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</si>
  <si>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</si>
  <si>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</si>
  <si>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</si>
  <si>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</si>
  <si>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</si>
  <si>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</si>
  <si>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</si>
  <si>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</si>
  <si>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</si>
  <si>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</si>
  <si>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</si>
  <si>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</si>
  <si>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</si>
  <si>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</si>
  <si>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</si>
  <si>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</si>
  <si>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</si>
  <si>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</si>
  <si>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</si>
  <si>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</si>
  <si>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</si>
  <si>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</si>
  <si>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</si>
  <si>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</si>
  <si>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</si>
  <si>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</si>
  <si>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</si>
  <si>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</si>
  <si>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</si>
  <si>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</si>
  <si>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</si>
  <si>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</si>
  <si>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</si>
  <si>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</si>
  <si>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</si>
  <si>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</si>
  <si>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</si>
  <si>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</si>
  <si>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</si>
  <si>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</si>
  <si>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</si>
  <si>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</si>
  <si>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</si>
  <si>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</si>
  <si>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</si>
  <si>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</si>
  <si>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</si>
  <si>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</si>
  <si>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</si>
  <si>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</si>
  <si>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</si>
  <si>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</si>
  <si>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</si>
  <si>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</si>
  <si>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</si>
  <si>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</si>
  <si>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</si>
  <si>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</si>
  <si>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</si>
  <si>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</si>
  <si>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</si>
  <si>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</si>
  <si>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</si>
  <si>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</si>
  <si>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</si>
  <si>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</si>
  <si>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</si>
  <si>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</si>
  <si>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</si>
  <si>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</si>
  <si>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</si>
  <si>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</si>
  <si>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</si>
  <si>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</si>
  <si>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</si>
  <si>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</si>
  <si>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</si>
  <si>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</si>
  <si>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</si>
  <si>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</si>
  <si>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</si>
  <si>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</si>
  <si>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</si>
  <si>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</si>
  <si>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</si>
  <si>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</si>
  <si>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</si>
  <si>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</si>
  <si>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</si>
  <si>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</si>
  <si>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</si>
  <si>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</si>
  <si>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</si>
  <si>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</si>
  <si>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</si>
  <si>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</si>
  <si>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</si>
  <si>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</si>
  <si>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</si>
  <si>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</si>
  <si>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</si>
  <si>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</si>
  <si>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</si>
  <si>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</si>
  <si>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</si>
  <si>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</si>
  <si>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</si>
  <si>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</si>
  <si>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</si>
  <si>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</si>
  <si>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</si>
  <si>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</si>
  <si>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</si>
  <si>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</si>
  <si>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</si>
  <si>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</si>
  <si>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</si>
  <si>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</si>
  <si>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</si>
  <si>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</si>
  <si>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</si>
  <si>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</si>
  <si>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</si>
  <si>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</si>
  <si>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</si>
  <si>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</si>
  <si>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</si>
  <si>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</si>
  <si>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</si>
  <si>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</si>
  <si>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</si>
  <si>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</si>
  <si>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</si>
  <si>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</si>
  <si>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</si>
  <si>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</si>
  <si>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</si>
  <si>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</si>
  <si>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</si>
  <si>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</si>
  <si>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</si>
  <si>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</si>
  <si>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</si>
  <si>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</si>
  <si>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</si>
  <si>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</si>
  <si>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</si>
  <si>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</si>
  <si>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</si>
  <si>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</si>
  <si>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</si>
  <si>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</si>
  <si>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</si>
  <si>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</si>
  <si>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</si>
  <si>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</si>
  <si>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</si>
  <si>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</si>
  <si>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</si>
  <si>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</si>
  <si>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</si>
  <si>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</si>
  <si>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</si>
  <si>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</si>
  <si>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</si>
  <si>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</si>
  <si>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</si>
  <si>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</si>
  <si>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</si>
  <si>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</si>
  <si>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</si>
  <si>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</si>
  <si>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</si>
  <si>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</si>
  <si>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</si>
  <si>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</si>
  <si>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</si>
  <si>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</si>
  <si>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</si>
  <si>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</si>
  <si>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</si>
  <si>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</si>
  <si>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</si>
  <si>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</si>
  <si>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</si>
  <si>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</si>
  <si>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</si>
  <si>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</si>
  <si>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</si>
  <si>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</si>
  <si>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</si>
  <si>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</si>
  <si>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</si>
  <si>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</si>
  <si>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</si>
  <si>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</si>
  <si>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</si>
  <si>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</si>
  <si>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</si>
  <si>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</si>
  <si>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</si>
  <si>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</si>
  <si>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</si>
  <si>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</si>
  <si>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</si>
  <si>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</si>
  <si>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</si>
  <si>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</si>
  <si>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</si>
  <si>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</si>
  <si>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</si>
  <si>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</si>
  <si>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</si>
  <si>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</si>
  <si>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</si>
  <si>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</si>
  <si>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</si>
  <si>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</si>
  <si>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</si>
  <si>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</si>
  <si>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</si>
  <si>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</si>
  <si>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</si>
  <si>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</si>
  <si>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</si>
  <si>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</si>
  <si>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</si>
  <si>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</si>
  <si>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</si>
  <si>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</si>
  <si>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</si>
  <si>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</si>
  <si>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</si>
  <si>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</si>
  <si>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</si>
  <si>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</si>
  <si>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</si>
  <si>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</si>
  <si>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</si>
  <si>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</si>
  <si>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</si>
  <si>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</si>
  <si>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</si>
  <si>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</si>
  <si>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</si>
  <si>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</si>
  <si>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</si>
  <si>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</si>
  <si>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</si>
  <si>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</si>
  <si>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</si>
  <si>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</si>
  <si>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</si>
  <si>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</si>
  <si>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</si>
  <si>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</si>
  <si>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</si>
  <si>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</si>
  <si>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</si>
  <si>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</si>
  <si>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</si>
  <si>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</si>
  <si>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</si>
  <si>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</si>
  <si>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</si>
  <si>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</si>
  <si>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</si>
  <si>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</si>
  <si>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</si>
  <si>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</si>
  <si>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</si>
  <si>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</si>
  <si>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</si>
  <si>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</si>
  <si>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</si>
  <si>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</si>
  <si>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</si>
  <si>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</si>
  <si>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</si>
  <si>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</si>
  <si>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</si>
  <si>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</si>
  <si>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</si>
  <si>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</si>
  <si>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</si>
  <si>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</si>
  <si>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</si>
  <si>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</si>
  <si>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</si>
  <si>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</si>
  <si>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</si>
  <si>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</si>
  <si>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</si>
  <si>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</si>
  <si>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</si>
  <si>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</si>
  <si>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</si>
  <si>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</si>
  <si>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</si>
  <si>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</si>
  <si>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</si>
  <si>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</si>
  <si>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</si>
  <si>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</si>
  <si>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</si>
  <si>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</si>
  <si>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</si>
  <si>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</si>
  <si>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</si>
  <si>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</si>
  <si>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</si>
  <si>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</si>
  <si>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</si>
  <si>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</si>
  <si>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</si>
  <si>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</si>
  <si>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</si>
  <si>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</si>
  <si>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</si>
  <si>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</si>
  <si>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</si>
  <si>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</si>
  <si>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</si>
  <si>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</si>
  <si>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</si>
  <si>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</si>
  <si>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</si>
  <si>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</si>
  <si>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</si>
  <si>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</si>
  <si>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</si>
  <si>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</si>
  <si>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</si>
  <si>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</si>
  <si>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</si>
  <si>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</si>
  <si>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</si>
  <si>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</si>
  <si>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</si>
  <si>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</si>
  <si>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</si>
  <si>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</si>
  <si>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</si>
  <si>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</si>
  <si>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</si>
  <si>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</si>
  <si>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</si>
  <si>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</si>
  <si>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</si>
  <si>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</si>
  <si>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</si>
  <si>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</si>
  <si>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</si>
  <si>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</si>
  <si>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</si>
  <si>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</si>
  <si>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</si>
  <si>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</si>
  <si>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</si>
  <si>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</si>
  <si>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</si>
  <si>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</si>
  <si>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</si>
  <si>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</si>
  <si>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</si>
  <si>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</si>
  <si>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</si>
  <si>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</si>
  <si>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</si>
  <si>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</si>
  <si>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</si>
  <si>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</si>
  <si>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</si>
  <si>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</si>
  <si>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</si>
  <si>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</si>
  <si>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</si>
  <si>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</si>
  <si>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</si>
  <si>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</si>
  <si>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</si>
  <si>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</si>
  <si>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</si>
  <si>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</si>
  <si>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</si>
  <si>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</si>
  <si>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</si>
  <si>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</si>
  <si>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</si>
  <si>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</si>
  <si>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</si>
  <si>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</si>
  <si>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</si>
  <si>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</si>
  <si>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</si>
  <si>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</si>
  <si>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</si>
  <si>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</si>
  <si>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</si>
  <si>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</si>
  <si>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</si>
  <si>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</si>
  <si>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</si>
  <si>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</si>
  <si>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</si>
  <si>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</si>
  <si>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</si>
  <si>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</si>
  <si>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</si>
  <si>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</si>
  <si>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</si>
  <si>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</si>
  <si>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</si>
  <si>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</si>
  <si>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</si>
  <si>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</si>
  <si>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</si>
  <si>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</si>
  <si>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</si>
  <si>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</si>
  <si>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</si>
  <si>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</si>
  <si>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</si>
  <si>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</si>
  <si>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</si>
  <si>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</si>
  <si>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</si>
  <si>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</si>
  <si>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</si>
  <si>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</si>
  <si>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</si>
  <si>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</si>
  <si>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</si>
  <si>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</si>
  <si>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</si>
  <si>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</si>
  <si>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</si>
  <si>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</si>
  <si>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</si>
  <si>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</si>
  <si>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</si>
  <si>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</si>
  <si>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</si>
  <si>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</si>
  <si>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</si>
  <si>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</si>
  <si>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</si>
  <si>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</si>
  <si>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</si>
  <si>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</si>
  <si>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</si>
  <si>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</si>
  <si>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</si>
  <si>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</si>
  <si>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</si>
  <si>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</si>
  <si>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</si>
  <si>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</si>
  <si>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</si>
  <si>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</si>
  <si>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</si>
  <si>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</si>
  <si>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</si>
  <si>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</si>
  <si>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</si>
  <si>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</si>
  <si>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</si>
  <si>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</si>
  <si>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</si>
  <si>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</si>
  <si>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</si>
  <si>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</si>
  <si>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</si>
  <si>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</si>
  <si>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</si>
  <si>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</si>
  <si>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</si>
  <si>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</si>
  <si>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</si>
  <si>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</si>
  <si>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</si>
  <si>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</si>
  <si>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</si>
  <si>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</si>
  <si>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</si>
  <si>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</si>
  <si>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</si>
  <si>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</si>
  <si>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</si>
  <si>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</si>
  <si>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</si>
  <si>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</si>
  <si>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</si>
  <si>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</si>
  <si>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</si>
  <si>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</si>
  <si>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</si>
  <si>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</si>
  <si>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</si>
  <si>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</si>
  <si>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</si>
  <si>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</si>
  <si>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</si>
  <si>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</si>
  <si>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</si>
  <si>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</si>
  <si>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</si>
  <si>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</si>
  <si>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</si>
  <si>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</si>
  <si>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</si>
  <si>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</si>
  <si>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</si>
  <si>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</si>
  <si>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</si>
  <si>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</si>
  <si>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</si>
  <si>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</si>
  <si>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</si>
  <si>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</si>
  <si>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</si>
  <si>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</si>
  <si>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</si>
  <si>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</si>
  <si>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</si>
  <si>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</si>
  <si>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</si>
  <si>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</si>
  <si>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</si>
  <si>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</si>
  <si>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</si>
  <si>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</si>
  <si>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</si>
  <si>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</si>
  <si>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</si>
  <si>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</si>
  <si>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</si>
  <si>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</si>
  <si>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</si>
  <si>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</si>
  <si>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</si>
  <si>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</si>
  <si>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</si>
  <si>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</si>
  <si>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</si>
  <si>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</si>
  <si>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</si>
  <si>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</si>
  <si>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</si>
  <si>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</si>
  <si>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</si>
  <si>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</si>
  <si>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</si>
  <si>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</si>
  <si>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</si>
  <si>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</si>
  <si>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</si>
  <si>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</si>
  <si>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</si>
  <si>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</si>
  <si>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</si>
  <si>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</si>
  <si>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</si>
  <si>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</si>
  <si>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</si>
  <si>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</si>
  <si>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</si>
  <si>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</si>
  <si>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</si>
  <si>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</si>
  <si>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</si>
  <si>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</si>
  <si>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</si>
  <si>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</si>
  <si>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</si>
  <si>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</si>
  <si>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</si>
  <si>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</si>
  <si>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</si>
  <si>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</si>
  <si>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</si>
  <si>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</si>
  <si>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</si>
  <si>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</si>
  <si>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</si>
  <si>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</si>
  <si>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</si>
  <si>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</si>
  <si>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</si>
  <si>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</si>
  <si>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</si>
  <si>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</si>
  <si>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</si>
  <si>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</si>
  <si>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</si>
  <si>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</si>
  <si>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</si>
  <si>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</si>
  <si>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</si>
  <si>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</si>
  <si>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</si>
  <si>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</si>
  <si>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</si>
  <si>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</si>
  <si>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</si>
  <si>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</si>
  <si>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</si>
  <si>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</si>
  <si>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</si>
  <si>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</si>
  <si>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</si>
  <si>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</si>
  <si>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</si>
  <si>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</si>
  <si>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</si>
  <si>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</si>
  <si>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</si>
  <si>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</si>
  <si>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</si>
  <si>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</si>
  <si>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</si>
  <si>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</si>
  <si>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</si>
  <si>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</si>
  <si>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</si>
  <si>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</si>
  <si>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</si>
  <si>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</si>
  <si>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</si>
  <si>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</si>
  <si>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</si>
  <si>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</si>
  <si>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</si>
  <si>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</si>
  <si>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</si>
  <si>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</si>
  <si>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</si>
  <si>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</si>
  <si>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</si>
  <si>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</si>
  <si>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</si>
  <si>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</si>
  <si>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</si>
  <si>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</si>
  <si>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</si>
  <si>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</si>
  <si>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</si>
  <si>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</si>
  <si>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</si>
  <si>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</si>
  <si>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</si>
  <si>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</si>
  <si>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</si>
  <si>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</si>
  <si>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</si>
  <si>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</si>
  <si>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</si>
  <si>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</si>
  <si>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</si>
  <si>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</si>
  <si>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</si>
  <si>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</si>
  <si>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</si>
  <si>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</si>
  <si>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</si>
  <si>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</si>
  <si>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</si>
  <si>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</si>
  <si>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</si>
  <si>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</si>
  <si>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</si>
  <si>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</si>
  <si>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</si>
  <si>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</si>
  <si>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</si>
  <si>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</si>
  <si>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</si>
  <si>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</si>
  <si>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</si>
  <si>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</si>
  <si>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</si>
  <si>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</si>
  <si>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</si>
  <si>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</si>
  <si>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</si>
  <si>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</si>
  <si>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</si>
  <si>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</si>
  <si>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</si>
  <si>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</si>
  <si>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</si>
  <si>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</si>
  <si>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</si>
  <si>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</si>
  <si>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</si>
  <si>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</si>
  <si>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</si>
  <si>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</si>
  <si>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</si>
  <si>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</si>
  <si>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</si>
  <si>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</si>
  <si>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</si>
  <si>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</si>
  <si>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</si>
  <si>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</si>
  <si>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</si>
  <si>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</si>
  <si>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</si>
  <si>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</si>
  <si>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</si>
  <si>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</si>
  <si>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</si>
  <si>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</si>
  <si>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</si>
  <si>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</si>
  <si>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</si>
  <si>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</si>
  <si>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</si>
  <si>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</si>
  <si>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</si>
  <si>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</si>
  <si>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</si>
  <si>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</si>
  <si>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</si>
  <si>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</si>
  <si>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</si>
  <si>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</si>
  <si>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</si>
  <si>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</si>
  <si>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</si>
  <si>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</si>
  <si>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</si>
  <si>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</si>
  <si>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</si>
  <si>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</si>
  <si>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</si>
  <si>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</si>
  <si>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</si>
  <si>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</si>
  <si>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</si>
  <si>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</si>
  <si>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</si>
  <si>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</si>
  <si>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</si>
  <si>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</si>
  <si>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</si>
  <si>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</si>
  <si>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</si>
  <si>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</si>
  <si>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</si>
  <si>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</si>
  <si>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</si>
  <si>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</si>
  <si>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</si>
  <si>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</si>
  <si>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</si>
  <si>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</si>
  <si>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</si>
  <si>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</si>
  <si>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</si>
  <si>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</si>
  <si>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</si>
  <si>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</si>
  <si>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</si>
  <si>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</si>
  <si>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</si>
  <si>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</si>
  <si>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</si>
  <si>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</si>
  <si>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</si>
  <si>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</si>
  <si>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</si>
  <si>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</si>
  <si>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</si>
  <si>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</si>
  <si>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</si>
  <si>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</si>
  <si>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</si>
  <si>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</si>
  <si>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</si>
  <si>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</si>
  <si>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</si>
  <si>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</si>
  <si>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</si>
  <si>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</si>
  <si>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</si>
  <si>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</si>
  <si>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</si>
  <si>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</si>
  <si>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</si>
  <si>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</si>
  <si>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</si>
  <si>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</si>
  <si>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</si>
  <si>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</si>
  <si>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</si>
  <si>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</si>
  <si>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</si>
  <si>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</si>
  <si>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</si>
  <si>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</si>
  <si>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</si>
  <si>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</si>
  <si>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</si>
  <si>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</si>
  <si>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</si>
  <si>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</si>
  <si>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</si>
  <si>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</si>
  <si>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</si>
  <si>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</si>
  <si>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</si>
  <si>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</si>
  <si>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</si>
  <si>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</si>
  <si>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</si>
  <si>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</si>
  <si>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</si>
  <si>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</si>
  <si>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</si>
  <si>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</si>
  <si>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</si>
  <si>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</si>
  <si>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</si>
  <si>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</si>
  <si>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</si>
  <si>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</si>
  <si>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</si>
  <si>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</si>
  <si>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</si>
  <si>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</si>
  <si>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</si>
  <si>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</si>
  <si>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</si>
  <si>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</si>
  <si>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</si>
  <si>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</si>
  <si>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</si>
  <si>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</si>
  <si>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</si>
  <si>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</si>
  <si>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</si>
  <si>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</si>
  <si>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</si>
  <si>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</si>
  <si>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</si>
  <si>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</si>
  <si>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</si>
  <si>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</si>
  <si>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</si>
  <si>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</si>
  <si>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</si>
  <si>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</si>
  <si>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</si>
  <si>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</si>
  <si>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</si>
  <si>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</si>
  <si>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</si>
  <si>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</si>
  <si>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</si>
  <si>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</si>
  <si>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</si>
  <si>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</si>
  <si>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</si>
  <si>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</si>
  <si>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</si>
  <si>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</si>
  <si>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</si>
  <si>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</si>
  <si>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</si>
  <si>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</si>
  <si>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</si>
  <si>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</si>
  <si>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</si>
  <si>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</si>
  <si>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</si>
  <si>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</si>
  <si>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</si>
  <si>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</si>
  <si>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</si>
  <si>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</si>
  <si>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</si>
  <si>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</si>
  <si>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</si>
  <si>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</si>
  <si>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</si>
  <si>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</si>
  <si>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</si>
  <si>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</si>
  <si>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</si>
  <si>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</si>
  <si>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</si>
  <si>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</si>
  <si>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</si>
  <si>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</si>
  <si>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</si>
  <si>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</si>
  <si>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</si>
  <si>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</si>
  <si>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</si>
  <si>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</si>
  <si>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</si>
  <si>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</si>
  <si>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</si>
  <si>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</si>
  <si>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</si>
  <si>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</si>
  <si>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</si>
  <si>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</si>
  <si>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</si>
  <si>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</si>
  <si>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</si>
  <si>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</si>
  <si>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</si>
  <si>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</si>
  <si>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</si>
  <si>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</si>
  <si>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</si>
  <si>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</si>
  <si>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</si>
  <si>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</si>
  <si>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</si>
  <si>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</si>
  <si>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</si>
  <si>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</si>
  <si>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</si>
  <si>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</si>
  <si>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</si>
  <si>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</si>
  <si>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</si>
  <si>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</si>
  <si>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</si>
  <si>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</si>
  <si>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</si>
  <si>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</si>
  <si>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</si>
  <si>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</si>
  <si>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</si>
  <si>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</si>
  <si>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</si>
  <si>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</si>
  <si>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</si>
  <si>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</si>
  <si>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</si>
  <si>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</si>
  <si>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</si>
  <si>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</si>
  <si>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</si>
  <si>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</si>
  <si>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</si>
  <si>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</si>
  <si>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</si>
  <si>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</si>
  <si>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</si>
  <si>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</si>
  <si>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</si>
  <si>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</si>
  <si>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</si>
  <si>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</si>
  <si>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</si>
  <si>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</si>
  <si>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</si>
  <si>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</si>
  <si>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</si>
  <si>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</si>
  <si>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</si>
  <si>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</si>
  <si>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</si>
  <si>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</si>
  <si>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</si>
  <si>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</si>
  <si>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</si>
  <si>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</si>
  <si>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</si>
  <si>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</si>
  <si>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</si>
  <si>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</si>
  <si>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</si>
  <si>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</si>
  <si>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</si>
  <si>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</si>
  <si>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</si>
  <si>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</si>
  <si>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</si>
  <si>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</si>
  <si>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</si>
  <si>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</si>
  <si>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</si>
  <si>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</si>
  <si>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</si>
  <si>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</si>
  <si>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</si>
  <si>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</si>
  <si>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</si>
  <si>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</si>
  <si>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</si>
  <si>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</si>
  <si>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</si>
  <si>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</si>
  <si>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</si>
  <si>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</si>
  <si>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</si>
  <si>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</si>
  <si>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</si>
  <si>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</si>
  <si>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</si>
  <si>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</si>
  <si>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</si>
  <si>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</si>
  <si>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</si>
  <si>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</si>
  <si>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</si>
  <si>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</si>
  <si>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</si>
  <si>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</si>
  <si>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</si>
  <si>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</si>
  <si>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</si>
  <si>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</si>
  <si>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</si>
  <si>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</si>
  <si>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</si>
  <si>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</si>
  <si>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</si>
  <si>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</si>
  <si>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</si>
  <si>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</si>
  <si>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</si>
  <si>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</si>
  <si>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</si>
  <si>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</si>
  <si>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</si>
  <si>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</si>
  <si>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</si>
  <si>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</si>
  <si>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</si>
  <si>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</si>
  <si>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</si>
  <si>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</si>
  <si>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</si>
  <si>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</si>
  <si>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</si>
  <si>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</si>
  <si>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</si>
  <si>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</si>
  <si>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</si>
  <si>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</si>
  <si>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</si>
  <si>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</si>
  <si>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</si>
  <si>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</si>
  <si>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</si>
  <si>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</si>
  <si>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</si>
  <si>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</si>
  <si>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</si>
  <si>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</si>
  <si>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</si>
  <si>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</si>
  <si>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</si>
  <si>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</si>
  <si>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</si>
  <si>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</si>
  <si>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</si>
  <si>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</si>
  <si>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</si>
  <si>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</si>
  <si>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</si>
  <si>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</si>
  <si>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</si>
  <si>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</si>
  <si>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</si>
  <si>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</si>
  <si>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</si>
  <si>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</si>
  <si>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</si>
  <si>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</si>
  <si>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</si>
  <si>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</si>
  <si>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</si>
  <si>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</si>
  <si>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</si>
  <si>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</si>
  <si>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</si>
  <si>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</si>
  <si>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</si>
  <si>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</si>
  <si>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</si>
  <si>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</si>
  <si>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</si>
  <si>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</si>
  <si>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</si>
  <si>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</si>
  <si>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</si>
  <si>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</si>
  <si>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</si>
  <si>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</si>
  <si>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</si>
  <si>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</si>
  <si>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</si>
  <si>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</si>
  <si>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</si>
  <si>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</si>
  <si>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</si>
  <si>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</si>
  <si>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</si>
  <si>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</si>
  <si>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</si>
  <si>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</si>
  <si>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</si>
  <si>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</si>
  <si>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</si>
  <si>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</si>
  <si>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Claremont School District</t>
  </si>
  <si>
    <t>08/13</t>
  </si>
  <si>
    <t>08/33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</si>
</sst>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showGridLines="0" tabSelected="1" zoomScale="125" zoomScaleNormal="125" workbookViewId="0">
      <pane xSplit="5" ySplit="3" topLeftCell="F645"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351507.97+350+3000+5000+288482.48+252152.99+316.59-650428.64</f>
        <v>250381.3899999999</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6813165.1200000001</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9716.56</f>
        <v>9716.56</v>
      </c>
      <c r="G12" s="18"/>
      <c r="H12" s="18">
        <v>40881.26</v>
      </c>
      <c r="I12" s="18">
        <v>477588.74</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-35246.019999999997</v>
      </c>
      <c r="G13" s="18"/>
      <c r="H13" s="18">
        <v>266524.2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f>61143.3-33648.31+989.77</f>
        <v>28484.760000000006</v>
      </c>
      <c r="G14" s="18"/>
      <c r="H14" s="18">
        <v>-69</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11099.3</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55415.9</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308752.58999999991</v>
      </c>
      <c r="G19" s="41">
        <f>SUM(G9:G18)</f>
        <v>11099.3</v>
      </c>
      <c r="H19" s="41">
        <f>SUM(H9:H18)</f>
        <v>307336.46000000002</v>
      </c>
      <c r="I19" s="41">
        <f>SUM(I9:I18)</f>
        <v>477588.74</v>
      </c>
      <c r="J19" s="41">
        <f>SUM(J9:J18)</f>
        <v>6813165.1200000001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f>-1255511.98+1772.51+535.21+166.71</f>
        <v>-1253037.55</v>
      </c>
      <c r="G22" s="18">
        <v>206036.22</v>
      </c>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735563.47</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770.28</v>
      </c>
      <c r="G24" s="18">
        <f>-7639.11+450.19+2112.46+49.75+103.84</f>
        <v>-4922.87</v>
      </c>
      <c r="H24" s="18">
        <v>-1202.82</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f>-47275.78-78022.32+177759.58+130210.64+18-97.56-1396.61-115684.16+2610.61-12649.92+4709.49+50341.59-6619.12</f>
        <v>103904.44</v>
      </c>
      <c r="G25" s="145"/>
      <c r="H25" s="18">
        <f>(51890.15+7729.21+113298.88+11113.04+1063.1-4084.54+41.14+995.86-11.36+3677.87+2452.69+17129.8+51.23+3135.6-15.1+26.13+27.35)</f>
        <v>208521.05000000002</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5960.93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-299.38</v>
      </c>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-1148662.21</v>
      </c>
      <c r="G32" s="41">
        <f>SUM(G22:G31)</f>
        <v>207074.28</v>
      </c>
      <c r="H32" s="41">
        <f>SUM(H22:H31)</f>
        <v>942881.70000000007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388714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(11658+3296.86+1439.46+2223.69+4958.43+1104.91+30288.89+110830.75+1440.46+6128.84+3511+8868.89+323.87+1940+844+11258.91-54813)</f>
        <v>145303.96</v>
      </c>
      <c r="G48" s="18">
        <f>25757.15-221732.13</f>
        <v>-195974.98</v>
      </c>
      <c r="H48" s="18">
        <f>-749019.7+75818.41+37656.05</f>
        <v>-635545.23999999987</v>
      </c>
      <c r="I48" s="18">
        <v>477588.74</v>
      </c>
      <c r="J48" s="13">
        <f>SUM(I459)</f>
        <v>6813165.1200000001</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483976.12+1478563.36-650428.64-F46</f>
        <v>923396.83999999985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1457414.7999999998</v>
      </c>
      <c r="G51" s="41">
        <f>SUM(G35:G50)</f>
        <v>-195974.98</v>
      </c>
      <c r="H51" s="41">
        <f>SUM(H35:H50)</f>
        <v>-635545.23999999987</v>
      </c>
      <c r="I51" s="41">
        <f>SUM(I35:I50)</f>
        <v>477588.74</v>
      </c>
      <c r="J51" s="41">
        <f>SUM(J35:J50)</f>
        <v>6813165.1200000001</v>
      </c>
      <c r="K51" s="45" t="s">
        <v>288</v>
      </c>
      <c r="L51" s="45" t="s">
        <v>288</v>
      </c>
      <c r="N51" s="264"/>
    </row>
    <row r="52" spans="1:14" s="3" customFormat="1" ht="12.2" customHeight="1" thickTop="1" x14ac:dyDescent="0.15">
      <c r="A52" s="38" t="s">
        <v>455</v>
      </c>
      <c r="B52" s="39" t="s">
        <v>289</v>
      </c>
      <c r="C52" s="6">
        <v>37</v>
      </c>
      <c r="D52" s="39" t="s">
        <v>653</v>
      </c>
      <c r="E52" s="39"/>
      <c r="F52" s="41">
        <f>F51+F32</f>
        <v>308752.58999999985</v>
      </c>
      <c r="G52" s="41">
        <f>G51+G32</f>
        <v>11099.299999999988</v>
      </c>
      <c r="H52" s="41">
        <f>H51+H32</f>
        <v>307336.4600000002</v>
      </c>
      <c r="I52" s="41">
        <f>I51+I32</f>
        <v>477588.74</v>
      </c>
      <c r="J52" s="41">
        <f>J51+J32</f>
        <v>6813165.1200000001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f>16465758-650000</f>
        <v>15815758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15815758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f>1835+2921</f>
        <v>4756</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f>35804.56+610419.91+14500</f>
        <v>660724.47</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243.2</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f>1308.78+1425</f>
        <v>2733.7799999999997</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663701.44999999995</v>
      </c>
      <c r="G79" s="45" t="s">
        <v>288</v>
      </c>
      <c r="H79" s="41">
        <f>SUM(H63:H78)</f>
        <v>4756</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1668.35</v>
      </c>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1668.35</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12923.62+53833.79</f>
        <v>66757.41</v>
      </c>
      <c r="G96" s="18"/>
      <c r="H96" s="18"/>
      <c r="I96" s="18"/>
      <c r="J96" s="18">
        <f>295258.67+169358.65+29+1955.04-300</f>
        <v>466301.35999999993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146003.78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700+500+1000+500+1000+3061.12+233.58+15000+750+89460+9999</f>
        <v>122203.7</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v>550</v>
      </c>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13270.9+41485.9+8324.8+850+4196.59+1166.74+9013.88+491022.17-428.64</f>
        <v>568902.34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758413.45</v>
      </c>
      <c r="G111" s="41">
        <f>SUM(G96:G110)</f>
        <v>146003.78</v>
      </c>
      <c r="H111" s="41">
        <f>SUM(H96:H110)</f>
        <v>0</v>
      </c>
      <c r="I111" s="41">
        <f>SUM(I96:I110)</f>
        <v>0</v>
      </c>
      <c r="J111" s="41">
        <f>SUM(J96:J110)</f>
        <v>466301.35999999993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17239541.25</v>
      </c>
      <c r="G112" s="41">
        <f>G60+G111</f>
        <v>146003.78</v>
      </c>
      <c r="H112" s="41">
        <f>H60+H79+H94+H111</f>
        <v>4756</v>
      </c>
      <c r="I112" s="41">
        <f>I60+I111</f>
        <v>0</v>
      </c>
      <c r="J112" s="41">
        <f>J60+J111</f>
        <v>466301.35999999993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12195221.560000001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1502693</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13697914.560000001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154507.32</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289627.14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1145.8</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3658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798.48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448938.26</v>
      </c>
      <c r="G136" s="41">
        <f>SUM(G123:G135)</f>
        <v>798.48</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14146852.82</v>
      </c>
      <c r="G140" s="41">
        <f>G121+SUM(G136:G137)</f>
        <v>798.48</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823728.52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31750.55+58009.21+71625.69</f>
        <v>161385.45000000001</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160619.24+47358.57+14077.07+20110.1+13846.36</f>
        <v>256011.34000000003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250600.03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f>622214.11+34143.27</f>
        <v>656357.38</v>
      </c>
      <c r="G160" s="24" t="s">
        <v>288</v>
      </c>
      <c r="H160" s="18">
        <v>612525.89</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656357.38</v>
      </c>
      <c r="G162" s="41">
        <f>SUM(G150:G161)</f>
        <v>256011.34000000003</v>
      </c>
      <c r="H162" s="41">
        <f>SUM(H150:H161)</f>
        <v>1848239.8900000001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656357.38</v>
      </c>
      <c r="G169" s="41">
        <f>G147+G162+SUM(G163:G168)</f>
        <v>256011.34000000003</v>
      </c>
      <c r="H169" s="41">
        <f>H147+H162+SUM(H163:H168)</f>
        <v>1848239.8900000001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v>65000</v>
      </c>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65000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443527</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443527</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443527</v>
      </c>
      <c r="G192" s="41">
        <f>G183+SUM(G188:G191)</f>
        <v>0</v>
      </c>
      <c r="H192" s="41">
        <f>+H183+SUM(H188:H191)</f>
        <v>65000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32486278.449999999</v>
      </c>
      <c r="G193" s="47">
        <f>G112+G140+G169+G192</f>
        <v>402813.60000000003</v>
      </c>
      <c r="H193" s="47">
        <f>H112+H140+H169+H192</f>
        <v>1917995.8900000001</v>
      </c>
      <c r="I193" s="47">
        <f>I112+I140+I169+I192</f>
        <v>0</v>
      </c>
      <c r="J193" s="47">
        <f>J112+J140+J192</f>
        <v>466301.35999999993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3000750.26</v>
      </c>
      <c r="G197" s="18">
        <v>1736984.29</v>
      </c>
      <c r="H197" s="18">
        <v>38594.33</v>
      </c>
      <c r="I197" s="18">
        <v>152149.85</v>
      </c>
      <c r="J197" s="18">
        <v>2589.64</v>
      </c>
      <c r="K197" s="18">
        <v>1174.3899999999999</v>
      </c>
      <c r="L197" s="19">
        <f>SUM(F197:K197)</f>
        <v>4932242.7599999988</v>
      </c>
      <c r="M197" s="8"/>
      <c r="N197" s="266"/>
    </row>
    <row r="198" spans="1:14" s="3" customFormat="1" ht="12.2" customHeight="1" x14ac:dyDescent="0.15">
      <c r="A198" s="1" t="s">
        <v>439</v>
      </c>
      <c r="B198" s="2" t="s">
        <v>341</v>
      </c>
      <c r="C198" s="2" t="s">
        <v>291</v>
      </c>
      <c r="D198" s="2" t="s">
        <v>431</v>
      </c>
      <c r="E198" s="6">
        <v>1200</v>
      </c>
      <c r="F198" s="18">
        <v>1678736.99</v>
      </c>
      <c r="G198" s="18">
        <v>608812.19000000006</v>
      </c>
      <c r="H198" s="18">
        <v>502640.46</v>
      </c>
      <c r="I198" s="18">
        <v>10642.73</v>
      </c>
      <c r="J198" s="18">
        <v>0</v>
      </c>
      <c r="K198" s="18">
        <v>0</v>
      </c>
      <c r="L198" s="19">
        <f>SUM(F198:K198)</f>
        <v>2800832.37</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0</v>
      </c>
      <c r="G200" s="18">
        <v>0</v>
      </c>
      <c r="H200" s="18">
        <v>0</v>
      </c>
      <c r="I200" s="18">
        <v>0</v>
      </c>
      <c r="J200" s="18">
        <v>0</v>
      </c>
      <c r="K200" s="18">
        <v>0</v>
      </c>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395097.76999999996</v>
      </c>
      <c r="G202" s="18">
        <v>256642.45</v>
      </c>
      <c r="H202" s="18">
        <v>6822.01</v>
      </c>
      <c r="I202" s="18">
        <v>3418.54</v>
      </c>
      <c r="J202" s="18">
        <v>0</v>
      </c>
      <c r="K202" s="18">
        <v>0</v>
      </c>
      <c r="L202" s="19">
        <f t="shared" ref="L202:L208" si="0">SUM(F202:K202)</f>
        <v>661980.77</v>
      </c>
      <c r="M202" s="8"/>
      <c r="N202" s="266"/>
    </row>
    <row r="203" spans="1:14" s="3" customFormat="1" ht="12.2" customHeight="1" x14ac:dyDescent="0.15">
      <c r="A203" s="1" t="s">
        <v>443</v>
      </c>
      <c r="B203" s="2" t="s">
        <v>341</v>
      </c>
      <c r="C203" s="2" t="s">
        <v>295</v>
      </c>
      <c r="D203" s="2" t="s">
        <v>431</v>
      </c>
      <c r="E203" s="6">
        <v>2200</v>
      </c>
      <c r="F203" s="18">
        <v>171091.99</v>
      </c>
      <c r="G203" s="18">
        <v>76289.600000000006</v>
      </c>
      <c r="H203" s="18">
        <v>61791.659999999996</v>
      </c>
      <c r="I203" s="18">
        <v>11616.43</v>
      </c>
      <c r="J203" s="18">
        <v>461602.66</v>
      </c>
      <c r="K203" s="18">
        <v>0</v>
      </c>
      <c r="L203" s="19">
        <f t="shared" si="0"/>
        <v>782392.34</v>
      </c>
      <c r="M203" s="8"/>
      <c r="N203" s="266"/>
    </row>
    <row r="204" spans="1:14" s="3" customFormat="1" ht="12.2" customHeight="1" x14ac:dyDescent="0.15">
      <c r="A204" s="1" t="s">
        <v>444</v>
      </c>
      <c r="B204" s="2" t="s">
        <v>341</v>
      </c>
      <c r="C204" s="2" t="s">
        <v>296</v>
      </c>
      <c r="D204" s="2" t="s">
        <v>431</v>
      </c>
      <c r="E204" s="6">
        <v>2300</v>
      </c>
      <c r="F204" s="18">
        <v>3818.76</v>
      </c>
      <c r="G204" s="18">
        <v>309.23</v>
      </c>
      <c r="H204" s="18">
        <v>806957.75</v>
      </c>
      <c r="I204" s="18">
        <v>2927.15</v>
      </c>
      <c r="J204" s="18">
        <v>0</v>
      </c>
      <c r="K204" s="18">
        <v>10806.25</v>
      </c>
      <c r="L204" s="19">
        <f t="shared" si="0"/>
        <v>824819.14</v>
      </c>
      <c r="M204" s="8"/>
      <c r="N204" s="266"/>
    </row>
    <row r="205" spans="1:14" s="3" customFormat="1" ht="12.2" customHeight="1" x14ac:dyDescent="0.15">
      <c r="A205" s="1" t="s">
        <v>445</v>
      </c>
      <c r="B205" s="2" t="s">
        <v>341</v>
      </c>
      <c r="C205" s="2" t="s">
        <v>297</v>
      </c>
      <c r="D205" s="2" t="s">
        <v>431</v>
      </c>
      <c r="E205" s="6">
        <v>2400</v>
      </c>
      <c r="F205" s="18">
        <v>697283.86</v>
      </c>
      <c r="G205" s="18">
        <v>412842.64</v>
      </c>
      <c r="H205" s="18">
        <v>5590.88</v>
      </c>
      <c r="I205" s="18">
        <v>3049.5699999999997</v>
      </c>
      <c r="J205" s="18">
        <v>89.78</v>
      </c>
      <c r="K205" s="18">
        <v>4452</v>
      </c>
      <c r="L205" s="19">
        <f t="shared" si="0"/>
        <v>1123308.73</v>
      </c>
      <c r="M205" s="8"/>
      <c r="N205" s="266"/>
    </row>
    <row r="206" spans="1:14" s="3" customFormat="1" ht="12.2" customHeight="1" x14ac:dyDescent="0.15">
      <c r="A206" s="1" t="s">
        <v>446</v>
      </c>
      <c r="B206" s="2" t="s">
        <v>341</v>
      </c>
      <c r="C206" s="2" t="s">
        <v>298</v>
      </c>
      <c r="D206" s="2" t="s">
        <v>431</v>
      </c>
      <c r="E206" s="6">
        <v>2500</v>
      </c>
      <c r="F206" s="18">
        <v>0</v>
      </c>
      <c r="G206" s="18">
        <v>0</v>
      </c>
      <c r="H206" s="18">
        <v>0</v>
      </c>
      <c r="I206" s="18">
        <v>0</v>
      </c>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333150.87</v>
      </c>
      <c r="G207" s="18">
        <v>177986.03999999998</v>
      </c>
      <c r="H207" s="18">
        <v>266033.16000000003</v>
      </c>
      <c r="I207" s="18">
        <v>177802.78</v>
      </c>
      <c r="J207" s="18">
        <v>0</v>
      </c>
      <c r="K207" s="18">
        <v>0</v>
      </c>
      <c r="L207" s="19">
        <f t="shared" si="0"/>
        <v>954972.85000000009</v>
      </c>
      <c r="M207" s="8"/>
      <c r="N207" s="266"/>
    </row>
    <row r="208" spans="1:14" s="3" customFormat="1" ht="12.2" customHeight="1" x14ac:dyDescent="0.15">
      <c r="A208" s="1" t="s">
        <v>448</v>
      </c>
      <c r="B208" s="2" t="s">
        <v>341</v>
      </c>
      <c r="C208" s="2" t="s">
        <v>300</v>
      </c>
      <c r="D208" s="2" t="s">
        <v>431</v>
      </c>
      <c r="E208" s="6">
        <v>2700</v>
      </c>
      <c r="F208" s="18">
        <v>251807.45</v>
      </c>
      <c r="G208" s="18">
        <v>93396.83</v>
      </c>
      <c r="H208" s="18">
        <v>122175.98</v>
      </c>
      <c r="I208" s="18">
        <v>34913.69</v>
      </c>
      <c r="J208" s="18">
        <v>31951.72</v>
      </c>
      <c r="K208" s="18">
        <v>57.83</v>
      </c>
      <c r="L208" s="19">
        <f t="shared" si="0"/>
        <v>534303.5</v>
      </c>
      <c r="M208" s="8"/>
      <c r="N208" s="266"/>
    </row>
    <row r="209" spans="1:14" s="3" customFormat="1" ht="12.2" customHeight="1" x14ac:dyDescent="0.15">
      <c r="A209" s="1" t="s">
        <v>449</v>
      </c>
      <c r="B209" s="2" t="s">
        <v>341</v>
      </c>
      <c r="C209" s="2" t="s">
        <v>343</v>
      </c>
      <c r="D209" s="2" t="s">
        <v>431</v>
      </c>
      <c r="E209" s="6">
        <v>2800</v>
      </c>
      <c r="F209" s="18">
        <v>18019.939999999999</v>
      </c>
      <c r="G209" s="18">
        <v>2471.11</v>
      </c>
      <c r="H209" s="18">
        <v>499.61</v>
      </c>
      <c r="I209" s="18">
        <v>2109.14</v>
      </c>
      <c r="J209" s="18">
        <v>0</v>
      </c>
      <c r="K209" s="18">
        <v>0</v>
      </c>
      <c r="L209" s="19">
        <f>SUM(F209:K209)</f>
        <v>23099.8</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6549757.8900000006</v>
      </c>
      <c r="G211" s="41">
        <f t="shared" si="1"/>
        <v>3365734.3800000004</v>
      </c>
      <c r="H211" s="41">
        <f t="shared" si="1"/>
        <v>1811105.84</v>
      </c>
      <c r="I211" s="41">
        <f t="shared" si="1"/>
        <v>398629.88000000006</v>
      </c>
      <c r="J211" s="41">
        <f t="shared" si="1"/>
        <v>496233.80000000005</v>
      </c>
      <c r="K211" s="41">
        <f t="shared" si="1"/>
        <v>16490.47</v>
      </c>
      <c r="L211" s="41">
        <f t="shared" si="1"/>
        <v>12637952.26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1333780.73</v>
      </c>
      <c r="G215" s="18">
        <v>758599.99</v>
      </c>
      <c r="H215" s="18">
        <v>21044.85</v>
      </c>
      <c r="I215" s="18">
        <v>62494.58</v>
      </c>
      <c r="J215" s="18">
        <v>6378</v>
      </c>
      <c r="K215" s="18">
        <v>996.29</v>
      </c>
      <c r="L215" s="19">
        <f>SUM(F215:K215)</f>
        <v>2183294.44</v>
      </c>
      <c r="M215" s="8"/>
      <c r="N215" s="266"/>
    </row>
    <row r="216" spans="1:14" s="3" customFormat="1" ht="12.2" customHeight="1" x14ac:dyDescent="0.15">
      <c r="A216" s="1" t="s">
        <v>439</v>
      </c>
      <c r="B216" s="2" t="s">
        <v>346</v>
      </c>
      <c r="C216" s="2" t="s">
        <v>291</v>
      </c>
      <c r="D216" s="2" t="s">
        <v>431</v>
      </c>
      <c r="E216" s="6">
        <v>1200</v>
      </c>
      <c r="F216" s="18">
        <v>613370.90999999992</v>
      </c>
      <c r="G216" s="18">
        <v>297379</v>
      </c>
      <c r="H216" s="18">
        <v>852127.31</v>
      </c>
      <c r="I216" s="18">
        <v>5636.3600000000006</v>
      </c>
      <c r="J216" s="18">
        <v>0</v>
      </c>
      <c r="K216" s="18">
        <v>0</v>
      </c>
      <c r="L216" s="19">
        <f>SUM(F216:K216)</f>
        <v>1768513.58</v>
      </c>
      <c r="M216" s="8"/>
      <c r="N216" s="266"/>
    </row>
    <row r="217" spans="1:14" s="3" customFormat="1" ht="12.2" customHeight="1" x14ac:dyDescent="0.15">
      <c r="A217" s="1" t="s">
        <v>440</v>
      </c>
      <c r="B217" s="2" t="s">
        <v>346</v>
      </c>
      <c r="C217" s="2" t="s">
        <v>292</v>
      </c>
      <c r="D217" s="2" t="s">
        <v>431</v>
      </c>
      <c r="E217" s="6">
        <v>1300</v>
      </c>
      <c r="F217" s="18">
        <v>130583.64</v>
      </c>
      <c r="G217" s="18">
        <v>89221.78</v>
      </c>
      <c r="H217" s="18">
        <v>0</v>
      </c>
      <c r="I217" s="18">
        <v>8211.44</v>
      </c>
      <c r="J217" s="18">
        <v>82.95</v>
      </c>
      <c r="K217" s="18">
        <v>0</v>
      </c>
      <c r="L217" s="19">
        <f>SUM(F217:K217)</f>
        <v>228099.81</v>
      </c>
      <c r="M217" s="8"/>
      <c r="N217" s="266"/>
    </row>
    <row r="218" spans="1:14" s="3" customFormat="1" ht="12.2" customHeight="1" x14ac:dyDescent="0.15">
      <c r="A218" s="1" t="s">
        <v>441</v>
      </c>
      <c r="B218" s="2" t="s">
        <v>346</v>
      </c>
      <c r="C218" s="2" t="s">
        <v>293</v>
      </c>
      <c r="D218" s="2" t="s">
        <v>431</v>
      </c>
      <c r="E218" s="6">
        <v>1400</v>
      </c>
      <c r="F218" s="18">
        <v>26392</v>
      </c>
      <c r="G218" s="18">
        <v>3099.65</v>
      </c>
      <c r="H218" s="18">
        <v>4974</v>
      </c>
      <c r="I218" s="18">
        <v>2427.5</v>
      </c>
      <c r="J218" s="18">
        <v>0</v>
      </c>
      <c r="K218" s="18">
        <v>0</v>
      </c>
      <c r="L218" s="19">
        <f>SUM(F218:K218)</f>
        <v>36893.15</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262364.62</v>
      </c>
      <c r="G220" s="18">
        <v>149560.19</v>
      </c>
      <c r="H220" s="18">
        <v>3430.1800000000003</v>
      </c>
      <c r="I220" s="18">
        <v>2089.66</v>
      </c>
      <c r="J220" s="18">
        <v>390</v>
      </c>
      <c r="K220" s="18">
        <v>0</v>
      </c>
      <c r="L220" s="19">
        <f t="shared" ref="L220:L226" si="2">SUM(F220:K220)</f>
        <v>417834.64999999997</v>
      </c>
      <c r="M220" s="8"/>
      <c r="N220" s="266"/>
    </row>
    <row r="221" spans="1:14" s="3" customFormat="1" ht="12.2" customHeight="1" x14ac:dyDescent="0.15">
      <c r="A221" s="1" t="s">
        <v>443</v>
      </c>
      <c r="B221" s="2" t="s">
        <v>346</v>
      </c>
      <c r="C221" s="2" t="s">
        <v>295</v>
      </c>
      <c r="D221" s="2" t="s">
        <v>431</v>
      </c>
      <c r="E221" s="6">
        <v>2200</v>
      </c>
      <c r="F221" s="18">
        <v>112087.74</v>
      </c>
      <c r="G221" s="18">
        <v>60927.369999999995</v>
      </c>
      <c r="H221" s="18">
        <v>23138.81</v>
      </c>
      <c r="I221" s="18">
        <v>5569.07</v>
      </c>
      <c r="J221" s="18">
        <v>171002.33</v>
      </c>
      <c r="K221" s="18">
        <v>0</v>
      </c>
      <c r="L221" s="19">
        <f t="shared" si="2"/>
        <v>372725.31999999995</v>
      </c>
      <c r="M221" s="8"/>
      <c r="N221" s="266"/>
    </row>
    <row r="222" spans="1:14" s="3" customFormat="1" ht="12.2" customHeight="1" x14ac:dyDescent="0.15">
      <c r="A222" s="1" t="s">
        <v>444</v>
      </c>
      <c r="B222" s="2" t="s">
        <v>346</v>
      </c>
      <c r="C222" s="2" t="s">
        <v>296</v>
      </c>
      <c r="D222" s="2" t="s">
        <v>431</v>
      </c>
      <c r="E222" s="6">
        <v>2300</v>
      </c>
      <c r="F222" s="18">
        <v>1920.11</v>
      </c>
      <c r="G222" s="18">
        <v>155.49</v>
      </c>
      <c r="H222" s="18">
        <v>405746.6</v>
      </c>
      <c r="I222" s="18">
        <v>1471.8</v>
      </c>
      <c r="J222" s="18">
        <v>0</v>
      </c>
      <c r="K222" s="18">
        <v>5433.49</v>
      </c>
      <c r="L222" s="19">
        <f t="shared" si="2"/>
        <v>414727.48999999993</v>
      </c>
      <c r="M222" s="8"/>
      <c r="N222" s="266"/>
    </row>
    <row r="223" spans="1:14" s="3" customFormat="1" ht="12.2" customHeight="1" x14ac:dyDescent="0.15">
      <c r="A223" s="1" t="s">
        <v>445</v>
      </c>
      <c r="B223" s="2" t="s">
        <v>346</v>
      </c>
      <c r="C223" s="2" t="s">
        <v>297</v>
      </c>
      <c r="D223" s="2" t="s">
        <v>431</v>
      </c>
      <c r="E223" s="6">
        <v>2400</v>
      </c>
      <c r="F223" s="18">
        <v>284283.5</v>
      </c>
      <c r="G223" s="18">
        <v>130820.42</v>
      </c>
      <c r="H223" s="18">
        <v>6510.48</v>
      </c>
      <c r="I223" s="18">
        <v>1258.8799999999999</v>
      </c>
      <c r="J223" s="18">
        <v>0</v>
      </c>
      <c r="K223" s="18">
        <v>1663.98</v>
      </c>
      <c r="L223" s="19">
        <f t="shared" si="2"/>
        <v>424537.25999999995</v>
      </c>
      <c r="M223" s="8"/>
      <c r="N223" s="266"/>
    </row>
    <row r="224" spans="1:14" s="3" customFormat="1" ht="12.2" customHeight="1" x14ac:dyDescent="0.15">
      <c r="A224" s="1" t="s">
        <v>446</v>
      </c>
      <c r="B224" s="2" t="s">
        <v>346</v>
      </c>
      <c r="C224" s="2" t="s">
        <v>298</v>
      </c>
      <c r="D224" s="2" t="s">
        <v>431</v>
      </c>
      <c r="E224" s="6">
        <v>2500</v>
      </c>
      <c r="F224" s="18">
        <v>0</v>
      </c>
      <c r="G224" s="18">
        <v>0</v>
      </c>
      <c r="H224" s="18">
        <v>0</v>
      </c>
      <c r="I224" s="18">
        <v>0</v>
      </c>
      <c r="J224" s="18">
        <v>0</v>
      </c>
      <c r="K224" s="18">
        <v>0</v>
      </c>
      <c r="L224" s="19">
        <f t="shared" si="2"/>
        <v>0</v>
      </c>
      <c r="M224" s="8"/>
      <c r="N224" s="266"/>
    </row>
    <row r="225" spans="1:14" s="3" customFormat="1" ht="12.2" customHeight="1" x14ac:dyDescent="0.15">
      <c r="A225" s="1" t="s">
        <v>447</v>
      </c>
      <c r="B225" s="2" t="s">
        <v>346</v>
      </c>
      <c r="C225" s="2" t="s">
        <v>299</v>
      </c>
      <c r="D225" s="2" t="s">
        <v>431</v>
      </c>
      <c r="E225" s="6">
        <v>2600</v>
      </c>
      <c r="F225" s="18">
        <v>181319.7</v>
      </c>
      <c r="G225" s="18">
        <v>99946.51</v>
      </c>
      <c r="H225" s="18">
        <v>126791.79</v>
      </c>
      <c r="I225" s="18">
        <v>109695.43</v>
      </c>
      <c r="J225" s="18">
        <v>0</v>
      </c>
      <c r="K225" s="18">
        <v>0</v>
      </c>
      <c r="L225" s="19">
        <f t="shared" si="2"/>
        <v>517753.43</v>
      </c>
      <c r="M225" s="8"/>
      <c r="N225" s="266"/>
    </row>
    <row r="226" spans="1:14" s="3" customFormat="1" ht="12.2" customHeight="1" x14ac:dyDescent="0.15">
      <c r="A226" s="1" t="s">
        <v>448</v>
      </c>
      <c r="B226" s="2" t="s">
        <v>346</v>
      </c>
      <c r="C226" s="2" t="s">
        <v>300</v>
      </c>
      <c r="D226" s="2" t="s">
        <v>431</v>
      </c>
      <c r="E226" s="6">
        <v>2700</v>
      </c>
      <c r="F226" s="18">
        <v>126611.35</v>
      </c>
      <c r="G226" s="18">
        <v>46960.88</v>
      </c>
      <c r="H226" s="18">
        <v>118374.11</v>
      </c>
      <c r="I226" s="18">
        <v>17554.96</v>
      </c>
      <c r="J226" s="18">
        <v>16065.65</v>
      </c>
      <c r="K226" s="18">
        <v>29.08</v>
      </c>
      <c r="L226" s="19">
        <f t="shared" si="2"/>
        <v>325596.03000000009</v>
      </c>
      <c r="M226" s="8"/>
      <c r="N226" s="266"/>
    </row>
    <row r="227" spans="1:14" s="3" customFormat="1" ht="12.2" customHeight="1" x14ac:dyDescent="0.15">
      <c r="A227" s="1" t="s">
        <v>449</v>
      </c>
      <c r="B227" s="2" t="s">
        <v>346</v>
      </c>
      <c r="C227" s="2" t="s">
        <v>343</v>
      </c>
      <c r="D227" s="2" t="s">
        <v>431</v>
      </c>
      <c r="E227" s="6">
        <v>2800</v>
      </c>
      <c r="F227" s="18">
        <v>9060.61</v>
      </c>
      <c r="G227" s="18">
        <v>1242.5</v>
      </c>
      <c r="H227" s="18">
        <v>251.21</v>
      </c>
      <c r="I227" s="18">
        <v>1060.5</v>
      </c>
      <c r="J227" s="18">
        <v>0</v>
      </c>
      <c r="K227" s="18">
        <v>0</v>
      </c>
      <c r="L227" s="19">
        <f>SUM(F227:K227)</f>
        <v>11614.82</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3081774.91</v>
      </c>
      <c r="G229" s="41">
        <f>SUM(G215:G228)</f>
        <v>1637913.7799999998</v>
      </c>
      <c r="H229" s="41">
        <f>SUM(H215:H228)</f>
        <v>1562389.34</v>
      </c>
      <c r="I229" s="41">
        <f>SUM(I215:I228)</f>
        <v>217470.18000000002</v>
      </c>
      <c r="J229" s="41">
        <f>SUM(J215:J228)</f>
        <v>193918.93</v>
      </c>
      <c r="K229" s="41">
        <f t="shared" si="3"/>
        <v>8122.84</v>
      </c>
      <c r="L229" s="41">
        <f t="shared" si="3"/>
        <v>6701589.9800000014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1884555.9000000001</v>
      </c>
      <c r="G233" s="18">
        <v>1049559</v>
      </c>
      <c r="H233" s="18">
        <v>104293.78000000003</v>
      </c>
      <c r="I233" s="18">
        <v>110235.64999999998</v>
      </c>
      <c r="J233" s="18">
        <v>895.54</v>
      </c>
      <c r="K233" s="18">
        <v>13482.58</v>
      </c>
      <c r="L233" s="19">
        <f>SUM(F233:K233)</f>
        <v>3163022.4500000007</v>
      </c>
      <c r="M233" s="8"/>
      <c r="N233" s="266"/>
    </row>
    <row r="234" spans="1:14" s="3" customFormat="1" ht="12.2" customHeight="1" x14ac:dyDescent="0.15">
      <c r="A234" s="1" t="s">
        <v>439</v>
      </c>
      <c r="B234" s="2" t="s">
        <v>350</v>
      </c>
      <c r="C234" s="2" t="s">
        <v>291</v>
      </c>
      <c r="D234" s="2" t="s">
        <v>431</v>
      </c>
      <c r="E234" s="6">
        <v>1200</v>
      </c>
      <c r="F234" s="18">
        <v>881157.41999999993</v>
      </c>
      <c r="G234" s="18">
        <v>374434.06</v>
      </c>
      <c r="H234" s="18">
        <v>1940241.8</v>
      </c>
      <c r="I234" s="18">
        <v>11631</v>
      </c>
      <c r="J234" s="18">
        <v>285.76</v>
      </c>
      <c r="K234" s="18">
        <v>2100</v>
      </c>
      <c r="L234" s="19">
        <f>SUM(F234:K234)</f>
        <v>3209850.04</v>
      </c>
      <c r="M234" s="8"/>
      <c r="N234" s="266"/>
    </row>
    <row r="235" spans="1:14" s="3" customFormat="1" ht="12.2" customHeight="1" x14ac:dyDescent="0.15">
      <c r="A235" s="1" t="s">
        <v>440</v>
      </c>
      <c r="B235" s="2" t="s">
        <v>350</v>
      </c>
      <c r="C235" s="2" t="s">
        <v>292</v>
      </c>
      <c r="D235" s="2" t="s">
        <v>431</v>
      </c>
      <c r="E235" s="6">
        <v>1300</v>
      </c>
      <c r="F235" s="18">
        <v>281241.25</v>
      </c>
      <c r="G235" s="18">
        <v>157035.26</v>
      </c>
      <c r="H235" s="18">
        <v>29691.93</v>
      </c>
      <c r="I235" s="18">
        <v>1177.21</v>
      </c>
      <c r="J235" s="18">
        <v>0</v>
      </c>
      <c r="K235" s="18">
        <v>0</v>
      </c>
      <c r="L235" s="19">
        <f>SUM(F235:K235)</f>
        <v>469145.65</v>
      </c>
      <c r="M235" s="8"/>
      <c r="N235" s="266"/>
    </row>
    <row r="236" spans="1:14" s="3" customFormat="1" ht="12.2" customHeight="1" x14ac:dyDescent="0.15">
      <c r="A236" s="1" t="s">
        <v>441</v>
      </c>
      <c r="B236" s="2" t="s">
        <v>350</v>
      </c>
      <c r="C236" s="2" t="s">
        <v>293</v>
      </c>
      <c r="D236" s="2" t="s">
        <v>431</v>
      </c>
      <c r="E236" s="6">
        <v>1400</v>
      </c>
      <c r="F236" s="18">
        <v>206848.12</v>
      </c>
      <c r="G236" s="18">
        <v>59568.68</v>
      </c>
      <c r="H236" s="18">
        <v>72257.75</v>
      </c>
      <c r="I236" s="18">
        <v>18794.57</v>
      </c>
      <c r="J236" s="18">
        <v>3024.3</v>
      </c>
      <c r="K236" s="18">
        <v>17447.09</v>
      </c>
      <c r="L236" s="19">
        <f>SUM(F236:K236)</f>
        <v>377940.51</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285293.67</v>
      </c>
      <c r="G238" s="18">
        <v>149978.09000000003</v>
      </c>
      <c r="H238" s="18">
        <v>4494.9199999999992</v>
      </c>
      <c r="I238" s="18">
        <v>4574.91</v>
      </c>
      <c r="J238" s="18">
        <v>725.99</v>
      </c>
      <c r="K238" s="18">
        <v>989</v>
      </c>
      <c r="L238" s="19">
        <f t="shared" ref="L238:L244" si="4">SUM(F238:K238)</f>
        <v>446056.57999999996</v>
      </c>
      <c r="M238" s="8"/>
      <c r="N238" s="266"/>
    </row>
    <row r="239" spans="1:14" s="3" customFormat="1" ht="12.2" customHeight="1" x14ac:dyDescent="0.15">
      <c r="A239" s="1" t="s">
        <v>443</v>
      </c>
      <c r="B239" s="2" t="s">
        <v>350</v>
      </c>
      <c r="C239" s="2" t="s">
        <v>295</v>
      </c>
      <c r="D239" s="2" t="s">
        <v>431</v>
      </c>
      <c r="E239" s="6">
        <v>2200</v>
      </c>
      <c r="F239" s="18">
        <v>98496.10000000002</v>
      </c>
      <c r="G239" s="18">
        <v>36443.770000000011</v>
      </c>
      <c r="H239" s="18">
        <v>26992.960000000006</v>
      </c>
      <c r="I239" s="18">
        <v>8368.3700000000008</v>
      </c>
      <c r="J239" s="18">
        <v>238463.48000000004</v>
      </c>
      <c r="K239" s="18">
        <v>0</v>
      </c>
      <c r="L239" s="19">
        <f t="shared" si="4"/>
        <v>408764.68000000005</v>
      </c>
      <c r="M239" s="8"/>
      <c r="N239" s="266"/>
    </row>
    <row r="240" spans="1:14" s="3" customFormat="1" ht="12.2" customHeight="1" x14ac:dyDescent="0.15">
      <c r="A240" s="1" t="s">
        <v>444</v>
      </c>
      <c r="B240" s="2" t="s">
        <v>350</v>
      </c>
      <c r="C240" s="2" t="s">
        <v>296</v>
      </c>
      <c r="D240" s="2" t="s">
        <v>431</v>
      </c>
      <c r="E240" s="6">
        <v>2300</v>
      </c>
      <c r="F240" s="18">
        <v>2516.13</v>
      </c>
      <c r="G240" s="18">
        <v>203.75</v>
      </c>
      <c r="H240" s="18">
        <v>531692.00999999989</v>
      </c>
      <c r="I240" s="18">
        <v>1928.6500000000003</v>
      </c>
      <c r="J240" s="18">
        <v>0</v>
      </c>
      <c r="K240" s="18">
        <v>7120.0700000000015</v>
      </c>
      <c r="L240" s="19">
        <f t="shared" si="4"/>
        <v>543460.60999999987</v>
      </c>
      <c r="M240" s="8"/>
      <c r="N240" s="266"/>
    </row>
    <row r="241" spans="1:14" s="3" customFormat="1" ht="12.2" customHeight="1" x14ac:dyDescent="0.15">
      <c r="A241" s="1" t="s">
        <v>445</v>
      </c>
      <c r="B241" s="2" t="s">
        <v>350</v>
      </c>
      <c r="C241" s="2" t="s">
        <v>297</v>
      </c>
      <c r="D241" s="2" t="s">
        <v>431</v>
      </c>
      <c r="E241" s="6">
        <v>2400</v>
      </c>
      <c r="F241" s="18">
        <v>585800.66999999993</v>
      </c>
      <c r="G241" s="18">
        <v>267356.75</v>
      </c>
      <c r="H241" s="18">
        <v>12563.52</v>
      </c>
      <c r="I241" s="18">
        <v>2084.11</v>
      </c>
      <c r="J241" s="18">
        <v>0</v>
      </c>
      <c r="K241" s="18">
        <v>7222.04</v>
      </c>
      <c r="L241" s="19">
        <f t="shared" si="4"/>
        <v>875027.09</v>
      </c>
      <c r="M241" s="8"/>
      <c r="N241" s="266"/>
    </row>
    <row r="242" spans="1:14" s="3" customFormat="1" ht="12.2" customHeight="1" x14ac:dyDescent="0.15">
      <c r="A242" s="1" t="s">
        <v>446</v>
      </c>
      <c r="B242" s="2" t="s">
        <v>350</v>
      </c>
      <c r="C242" s="2" t="s">
        <v>298</v>
      </c>
      <c r="D242" s="2" t="s">
        <v>431</v>
      </c>
      <c r="E242" s="6">
        <v>2500</v>
      </c>
      <c r="F242" s="18">
        <v>0</v>
      </c>
      <c r="G242" s="18">
        <v>0</v>
      </c>
      <c r="H242" s="18">
        <v>0</v>
      </c>
      <c r="I242" s="18">
        <v>0</v>
      </c>
      <c r="J242" s="18">
        <v>0</v>
      </c>
      <c r="K242" s="18">
        <v>0</v>
      </c>
      <c r="L242" s="19">
        <f t="shared" si="4"/>
        <v>0</v>
      </c>
      <c r="M242" s="8"/>
      <c r="N242" s="266"/>
    </row>
    <row r="243" spans="1:14" s="3" customFormat="1" ht="12.2" customHeight="1" x14ac:dyDescent="0.15">
      <c r="A243" s="1" t="s">
        <v>447</v>
      </c>
      <c r="B243" s="2" t="s">
        <v>350</v>
      </c>
      <c r="C243" s="2" t="s">
        <v>299</v>
      </c>
      <c r="D243" s="2" t="s">
        <v>431</v>
      </c>
      <c r="E243" s="6">
        <v>2600</v>
      </c>
      <c r="F243" s="18">
        <v>344446.26999999996</v>
      </c>
      <c r="G243" s="18">
        <v>185174.58000000002</v>
      </c>
      <c r="H243" s="18">
        <v>198129.19999999998</v>
      </c>
      <c r="I243" s="18">
        <v>196433.56</v>
      </c>
      <c r="J243" s="18">
        <v>3838</v>
      </c>
      <c r="K243" s="18">
        <v>0</v>
      </c>
      <c r="L243" s="19">
        <f t="shared" si="4"/>
        <v>928021.60999999987</v>
      </c>
      <c r="M243" s="8"/>
      <c r="N243" s="266"/>
    </row>
    <row r="244" spans="1:14" s="3" customFormat="1" ht="12.2" customHeight="1" x14ac:dyDescent="0.15">
      <c r="A244" s="1" t="s">
        <v>448</v>
      </c>
      <c r="B244" s="2" t="s">
        <v>350</v>
      </c>
      <c r="C244" s="2" t="s">
        <v>300</v>
      </c>
      <c r="D244" s="2" t="s">
        <v>431</v>
      </c>
      <c r="E244" s="6">
        <v>2700</v>
      </c>
      <c r="F244" s="18">
        <v>167254.94999999995</v>
      </c>
      <c r="G244" s="18">
        <v>61822.8</v>
      </c>
      <c r="H244" s="18">
        <v>195016.6</v>
      </c>
      <c r="I244" s="18">
        <v>23004.090000000004</v>
      </c>
      <c r="J244" s="18">
        <v>21052.499999999993</v>
      </c>
      <c r="K244" s="18">
        <v>38.090000000000003</v>
      </c>
      <c r="L244" s="19">
        <f t="shared" si="4"/>
        <v>468189.03</v>
      </c>
      <c r="M244" s="8"/>
      <c r="N244" s="266"/>
    </row>
    <row r="245" spans="1:14" s="3" customFormat="1" ht="12.2" customHeight="1" x14ac:dyDescent="0.15">
      <c r="A245" s="1" t="s">
        <v>449</v>
      </c>
      <c r="B245" s="2" t="s">
        <v>350</v>
      </c>
      <c r="C245" s="2" t="s">
        <v>343</v>
      </c>
      <c r="D245" s="2" t="s">
        <v>431</v>
      </c>
      <c r="E245" s="6">
        <v>2800</v>
      </c>
      <c r="F245" s="18">
        <v>11873.05</v>
      </c>
      <c r="G245" s="18">
        <v>1628.1799999999998</v>
      </c>
      <c r="H245" s="18">
        <v>329.17999999999995</v>
      </c>
      <c r="I245" s="18">
        <v>1389.6799999999998</v>
      </c>
      <c r="J245" s="18">
        <v>0</v>
      </c>
      <c r="K245" s="18">
        <v>0</v>
      </c>
      <c r="L245" s="19">
        <f>SUM(F245:K245)</f>
        <v>15220.09</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4749483.5299999993</v>
      </c>
      <c r="G247" s="41">
        <f t="shared" si="5"/>
        <v>2343204.92</v>
      </c>
      <c r="H247" s="41">
        <f t="shared" si="5"/>
        <v>3115703.65</v>
      </c>
      <c r="I247" s="41">
        <f t="shared" si="5"/>
        <v>379621.8</v>
      </c>
      <c r="J247" s="41">
        <f t="shared" si="5"/>
        <v>268285.57</v>
      </c>
      <c r="K247" s="41">
        <f t="shared" si="5"/>
        <v>48398.869999999995</v>
      </c>
      <c r="L247" s="41">
        <f t="shared" si="5"/>
        <v>10904698.339999998</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14381016.33</v>
      </c>
      <c r="G257" s="41">
        <f t="shared" si="8"/>
        <v>7346853.0800000001</v>
      </c>
      <c r="H257" s="41">
        <f t="shared" si="8"/>
        <v>6489198.8300000001</v>
      </c>
      <c r="I257" s="41">
        <f t="shared" si="8"/>
        <v>995721.8600000001</v>
      </c>
      <c r="J257" s="41">
        <f t="shared" si="8"/>
        <v>958438.3</v>
      </c>
      <c r="K257" s="41">
        <f t="shared" si="8"/>
        <v>73012.179999999993</v>
      </c>
      <c r="L257" s="41">
        <f t="shared" si="8"/>
        <v>30244240.579999998</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718825.22</v>
      </c>
      <c r="L260" s="19">
        <f>SUM(F260:K260)</f>
        <v>718825.22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630077.82999999996</v>
      </c>
      <c r="L261" s="19">
        <f>SUM(F261:K261)</f>
        <v>630077.82999999996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65000</v>
      </c>
      <c r="L264" s="19">
        <f t="shared" ref="L264:L270" si="9">SUM(F264:K264)</f>
        <v>65000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1413903.0499999998</v>
      </c>
      <c r="L270" s="41">
        <f t="shared" si="9"/>
        <v>1413903.0499999998</v>
      </c>
      <c r="N270" s="264"/>
    </row>
    <row r="271" spans="1:14" s="3" customFormat="1" ht="12.2" customHeight="1" thickTop="1" x14ac:dyDescent="0.2">
      <c r="A271" s="43" t="s">
        <v>464</v>
      </c>
      <c r="B271" s="40">
        <v>10</v>
      </c>
      <c r="C271" s="40">
        <v>18</v>
      </c>
      <c r="D271" s="39" t="s">
        <v>431</v>
      </c>
      <c r="E271" s="40"/>
      <c r="F271" s="42">
        <f t="shared" ref="F271:L271" si="11">F257+F270</f>
        <v>14381016.33</v>
      </c>
      <c r="G271" s="42">
        <f t="shared" si="11"/>
        <v>7346853.0800000001</v>
      </c>
      <c r="H271" s="42">
        <f t="shared" si="11"/>
        <v>6489198.8300000001</v>
      </c>
      <c r="I271" s="42">
        <f t="shared" si="11"/>
        <v>995721.8600000001</v>
      </c>
      <c r="J271" s="42">
        <f t="shared" si="11"/>
        <v>958438.3</v>
      </c>
      <c r="K271" s="42">
        <f t="shared" si="11"/>
        <v>1486915.2299999997</v>
      </c>
      <c r="L271" s="42">
        <f t="shared" si="11"/>
        <v>31658143.629999999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471057.81</v>
      </c>
      <c r="G276" s="18">
        <v>263917.08</v>
      </c>
      <c r="H276" s="18">
        <v>114475.40000000001</v>
      </c>
      <c r="I276" s="18">
        <v>29419.27</v>
      </c>
      <c r="J276" s="18">
        <v>8449.7000000000007</v>
      </c>
      <c r="K276" s="18">
        <v>0</v>
      </c>
      <c r="L276" s="19">
        <f>SUM(F276:K276)</f>
        <v>887319.26</v>
      </c>
      <c r="M276" s="8"/>
      <c r="N276" s="266"/>
    </row>
    <row r="277" spans="1:14" s="3" customFormat="1" ht="12.2" customHeight="1" x14ac:dyDescent="0.15">
      <c r="A277" s="1" t="s">
        <v>439</v>
      </c>
      <c r="B277" s="2" t="s">
        <v>357</v>
      </c>
      <c r="C277" s="2" t="s">
        <v>291</v>
      </c>
      <c r="D277" s="2" t="s">
        <v>431</v>
      </c>
      <c r="E277" s="6">
        <v>1200</v>
      </c>
      <c r="F277" s="18">
        <v>346288.4</v>
      </c>
      <c r="G277" s="18">
        <v>193050.75</v>
      </c>
      <c r="H277" s="18">
        <v>17884.54</v>
      </c>
      <c r="I277" s="18">
        <v>1938.22</v>
      </c>
      <c r="J277" s="18">
        <v>30315.15</v>
      </c>
      <c r="K277" s="18">
        <v>0</v>
      </c>
      <c r="L277" s="19">
        <f>SUM(F277:K277)</f>
        <v>589477.06000000006</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46527.95</v>
      </c>
      <c r="G279" s="18">
        <v>10079.290000000001</v>
      </c>
      <c r="H279" s="18">
        <v>1028.27</v>
      </c>
      <c r="I279" s="18">
        <v>4684.24</v>
      </c>
      <c r="J279" s="18">
        <v>10745.34</v>
      </c>
      <c r="K279" s="18">
        <v>0</v>
      </c>
      <c r="L279" s="19">
        <f>SUM(F279:K279)</f>
        <v>73065.09</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137267.41</v>
      </c>
      <c r="G281" s="18">
        <v>33764.660000000003</v>
      </c>
      <c r="H281" s="18">
        <v>106714.96</v>
      </c>
      <c r="I281" s="18">
        <v>24546.74</v>
      </c>
      <c r="J281" s="18">
        <v>2712.89</v>
      </c>
      <c r="K281" s="18">
        <v>0</v>
      </c>
      <c r="L281" s="19">
        <f t="shared" ref="L281:L287" si="12">SUM(F281:K281)</f>
        <v>305006.66000000003</v>
      </c>
      <c r="M281" s="8"/>
      <c r="N281" s="266"/>
    </row>
    <row r="282" spans="1:14" s="3" customFormat="1" ht="12.2" customHeight="1" x14ac:dyDescent="0.15">
      <c r="A282" s="1" t="s">
        <v>443</v>
      </c>
      <c r="B282" s="2" t="s">
        <v>357</v>
      </c>
      <c r="C282" s="2" t="s">
        <v>295</v>
      </c>
      <c r="D282" s="2" t="s">
        <v>431</v>
      </c>
      <c r="E282" s="6">
        <v>2200</v>
      </c>
      <c r="F282" s="18">
        <v>24031.54</v>
      </c>
      <c r="G282" s="18">
        <v>4397.41</v>
      </c>
      <c r="H282" s="18">
        <v>72919.709999999992</v>
      </c>
      <c r="I282" s="18">
        <v>6814.35</v>
      </c>
      <c r="J282" s="18">
        <v>0</v>
      </c>
      <c r="K282" s="18">
        <v>0</v>
      </c>
      <c r="L282" s="19">
        <f t="shared" si="12"/>
        <v>108163.01</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0</v>
      </c>
      <c r="L283" s="19">
        <f t="shared" si="12"/>
        <v>0</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56500.59</v>
      </c>
      <c r="L285" s="19">
        <f t="shared" si="12"/>
        <v>56500.59</v>
      </c>
      <c r="M285" s="8"/>
      <c r="N285" s="266"/>
    </row>
    <row r="286" spans="1:14" s="3" customFormat="1" ht="12.2" customHeight="1" x14ac:dyDescent="0.15">
      <c r="A286" s="1" t="s">
        <v>447</v>
      </c>
      <c r="B286" s="2" t="s">
        <v>357</v>
      </c>
      <c r="C286" s="2" t="s">
        <v>299</v>
      </c>
      <c r="D286" s="2" t="s">
        <v>431</v>
      </c>
      <c r="E286" s="6">
        <v>2600</v>
      </c>
      <c r="F286" s="18">
        <v>0</v>
      </c>
      <c r="G286" s="18">
        <v>0</v>
      </c>
      <c r="H286" s="18">
        <v>0</v>
      </c>
      <c r="I286" s="18">
        <v>0</v>
      </c>
      <c r="J286" s="18">
        <v>0</v>
      </c>
      <c r="K286" s="18">
        <v>0</v>
      </c>
      <c r="L286" s="19">
        <f t="shared" si="12"/>
        <v>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1025173.11</v>
      </c>
      <c r="G290" s="42">
        <f t="shared" si="13"/>
        <v>505209.19</v>
      </c>
      <c r="H290" s="42">
        <f t="shared" si="13"/>
        <v>313022.88</v>
      </c>
      <c r="I290" s="42">
        <f t="shared" si="13"/>
        <v>67402.820000000007</v>
      </c>
      <c r="J290" s="42">
        <f t="shared" si="13"/>
        <v>52223.08</v>
      </c>
      <c r="K290" s="42">
        <f t="shared" si="13"/>
        <v>56500.59</v>
      </c>
      <c r="L290" s="41">
        <f t="shared" si="13"/>
        <v>2019531.6700000004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2884.24</v>
      </c>
      <c r="G295" s="18">
        <v>724.1</v>
      </c>
      <c r="H295" s="18">
        <v>13941.09</v>
      </c>
      <c r="I295" s="18">
        <v>0</v>
      </c>
      <c r="J295" s="18">
        <v>0</v>
      </c>
      <c r="K295" s="18">
        <v>0</v>
      </c>
      <c r="L295" s="19">
        <f>SUM(F295:K295)</f>
        <v>17549.43</v>
      </c>
      <c r="M295" s="8"/>
      <c r="N295" s="266"/>
    </row>
    <row r="296" spans="1:14" s="3" customFormat="1" ht="12.2" customHeight="1" x14ac:dyDescent="0.15">
      <c r="A296" s="1" t="s">
        <v>439</v>
      </c>
      <c r="B296" s="2" t="s">
        <v>358</v>
      </c>
      <c r="C296" s="2" t="s">
        <v>291</v>
      </c>
      <c r="D296" s="2" t="s">
        <v>431</v>
      </c>
      <c r="E296" s="6">
        <v>1200</v>
      </c>
      <c r="F296" s="18">
        <v>0</v>
      </c>
      <c r="G296" s="18">
        <v>0</v>
      </c>
      <c r="H296" s="18">
        <v>7512.59</v>
      </c>
      <c r="I296" s="18">
        <v>974.55</v>
      </c>
      <c r="J296" s="18">
        <v>1222.96</v>
      </c>
      <c r="K296" s="18">
        <v>0</v>
      </c>
      <c r="L296" s="19">
        <f>SUM(F296:K296)</f>
        <v>9710.0999999999985</v>
      </c>
      <c r="M296" s="8"/>
      <c r="N296" s="266"/>
    </row>
    <row r="297" spans="1:14" s="3" customFormat="1" ht="12.2" customHeight="1" x14ac:dyDescent="0.15">
      <c r="A297" s="1" t="s">
        <v>440</v>
      </c>
      <c r="B297" s="2" t="s">
        <v>358</v>
      </c>
      <c r="C297" s="2" t="s">
        <v>292</v>
      </c>
      <c r="D297" s="2" t="s">
        <v>431</v>
      </c>
      <c r="E297" s="6">
        <v>1300</v>
      </c>
      <c r="F297" s="18">
        <v>0</v>
      </c>
      <c r="G297" s="18">
        <v>0</v>
      </c>
      <c r="H297" s="18">
        <v>0</v>
      </c>
      <c r="I297" s="18">
        <v>0</v>
      </c>
      <c r="J297" s="18">
        <v>0</v>
      </c>
      <c r="K297" s="18">
        <v>0</v>
      </c>
      <c r="L297" s="19">
        <f>SUM(F297:K297)</f>
        <v>0</v>
      </c>
      <c r="M297" s="8"/>
      <c r="N297" s="266"/>
    </row>
    <row r="298" spans="1:14" s="3" customFormat="1" ht="12.2" customHeight="1" x14ac:dyDescent="0.15">
      <c r="A298" s="1" t="s">
        <v>441</v>
      </c>
      <c r="B298" s="2" t="s">
        <v>358</v>
      </c>
      <c r="C298" s="2" t="s">
        <v>293</v>
      </c>
      <c r="D298" s="2" t="s">
        <v>431</v>
      </c>
      <c r="E298" s="6">
        <v>1400</v>
      </c>
      <c r="F298" s="18">
        <v>0</v>
      </c>
      <c r="G298" s="18">
        <v>0</v>
      </c>
      <c r="H298" s="18">
        <v>0</v>
      </c>
      <c r="I298" s="18">
        <v>0</v>
      </c>
      <c r="J298" s="18">
        <v>0</v>
      </c>
      <c r="K298" s="18">
        <v>0</v>
      </c>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v>50648.09</v>
      </c>
      <c r="G300" s="18">
        <v>13560.93</v>
      </c>
      <c r="H300" s="18">
        <v>43203.94</v>
      </c>
      <c r="I300" s="18">
        <v>4137.18</v>
      </c>
      <c r="J300" s="18">
        <v>1364.07</v>
      </c>
      <c r="K300" s="18">
        <v>0</v>
      </c>
      <c r="L300" s="19">
        <f t="shared" ref="L300:L306" si="14">SUM(F300:K300)</f>
        <v>112914.20999999999</v>
      </c>
      <c r="M300" s="8"/>
      <c r="N300" s="266"/>
    </row>
    <row r="301" spans="1:14" s="3" customFormat="1" ht="12.2" customHeight="1" x14ac:dyDescent="0.15">
      <c r="A301" s="1" t="s">
        <v>443</v>
      </c>
      <c r="B301" s="2" t="s">
        <v>358</v>
      </c>
      <c r="C301" s="2" t="s">
        <v>295</v>
      </c>
      <c r="D301" s="2" t="s">
        <v>431</v>
      </c>
      <c r="E301" s="6">
        <v>2200</v>
      </c>
      <c r="F301" s="18">
        <v>10260.620000000001</v>
      </c>
      <c r="G301" s="18">
        <v>1756.44</v>
      </c>
      <c r="H301" s="18">
        <v>22834.03</v>
      </c>
      <c r="I301" s="18">
        <v>3426.33</v>
      </c>
      <c r="J301" s="18">
        <v>0</v>
      </c>
      <c r="K301" s="18">
        <v>0</v>
      </c>
      <c r="L301" s="19">
        <f t="shared" si="14"/>
        <v>38277.42</v>
      </c>
      <c r="M301" s="8"/>
      <c r="N301" s="266"/>
    </row>
    <row r="302" spans="1:14" s="3" customFormat="1" ht="12.2" customHeight="1" x14ac:dyDescent="0.15">
      <c r="A302" s="1" t="s">
        <v>444</v>
      </c>
      <c r="B302" s="2" t="s">
        <v>358</v>
      </c>
      <c r="C302" s="2" t="s">
        <v>296</v>
      </c>
      <c r="D302" s="2" t="s">
        <v>431</v>
      </c>
      <c r="E302" s="6">
        <v>2300</v>
      </c>
      <c r="F302" s="18">
        <v>0</v>
      </c>
      <c r="G302" s="18">
        <v>0</v>
      </c>
      <c r="H302" s="18">
        <v>0</v>
      </c>
      <c r="I302" s="18">
        <v>0</v>
      </c>
      <c r="J302" s="18">
        <v>0</v>
      </c>
      <c r="K302" s="18">
        <v>0</v>
      </c>
      <c r="L302" s="19">
        <f t="shared" si="14"/>
        <v>0</v>
      </c>
      <c r="M302" s="8"/>
      <c r="N302" s="266"/>
    </row>
    <row r="303" spans="1:14" s="3" customFormat="1" ht="12.2" customHeight="1" x14ac:dyDescent="0.15">
      <c r="A303" s="1" t="s">
        <v>445</v>
      </c>
      <c r="B303" s="2" t="s">
        <v>358</v>
      </c>
      <c r="C303" s="2" t="s">
        <v>297</v>
      </c>
      <c r="D303" s="2" t="s">
        <v>431</v>
      </c>
      <c r="E303" s="6">
        <v>2400</v>
      </c>
      <c r="F303" s="18">
        <v>0</v>
      </c>
      <c r="G303" s="18">
        <v>0</v>
      </c>
      <c r="H303" s="18">
        <v>0</v>
      </c>
      <c r="I303" s="18">
        <v>0</v>
      </c>
      <c r="J303" s="18">
        <v>0</v>
      </c>
      <c r="K303" s="18">
        <v>0</v>
      </c>
      <c r="L303" s="19">
        <f t="shared" si="14"/>
        <v>0</v>
      </c>
      <c r="M303" s="8"/>
      <c r="N303" s="266"/>
    </row>
    <row r="304" spans="1:14" s="3" customFormat="1" ht="12.2" customHeight="1" x14ac:dyDescent="0.15">
      <c r="A304" s="1" t="s">
        <v>446</v>
      </c>
      <c r="B304" s="2" t="s">
        <v>358</v>
      </c>
      <c r="C304" s="2" t="s">
        <v>298</v>
      </c>
      <c r="D304" s="2" t="s">
        <v>431</v>
      </c>
      <c r="E304" s="6">
        <v>2500</v>
      </c>
      <c r="F304" s="18">
        <v>0</v>
      </c>
      <c r="G304" s="18">
        <v>0</v>
      </c>
      <c r="H304" s="18">
        <v>0</v>
      </c>
      <c r="I304" s="18">
        <v>0</v>
      </c>
      <c r="J304" s="18">
        <v>0</v>
      </c>
      <c r="K304" s="18">
        <v>2051.7600000000002</v>
      </c>
      <c r="L304" s="19">
        <f t="shared" si="14"/>
        <v>2051.7600000000002</v>
      </c>
      <c r="M304" s="8"/>
      <c r="N304" s="266"/>
    </row>
    <row r="305" spans="1:14" s="3" customFormat="1" ht="12.2" customHeight="1" x14ac:dyDescent="0.15">
      <c r="A305" s="1" t="s">
        <v>447</v>
      </c>
      <c r="B305" s="2" t="s">
        <v>358</v>
      </c>
      <c r="C305" s="2" t="s">
        <v>299</v>
      </c>
      <c r="D305" s="2" t="s">
        <v>431</v>
      </c>
      <c r="E305" s="6">
        <v>2600</v>
      </c>
      <c r="F305" s="18">
        <v>0</v>
      </c>
      <c r="G305" s="18">
        <v>0</v>
      </c>
      <c r="H305" s="18">
        <v>0</v>
      </c>
      <c r="I305" s="18">
        <v>0</v>
      </c>
      <c r="J305" s="18">
        <v>0</v>
      </c>
      <c r="K305" s="18">
        <v>0</v>
      </c>
      <c r="L305" s="19">
        <f t="shared" si="14"/>
        <v>0</v>
      </c>
      <c r="M305" s="8"/>
      <c r="N305" s="266"/>
    </row>
    <row r="306" spans="1:14" s="3" customFormat="1" ht="12.2" customHeight="1" x14ac:dyDescent="0.15">
      <c r="A306" s="1" t="s">
        <v>448</v>
      </c>
      <c r="B306" s="2" t="s">
        <v>358</v>
      </c>
      <c r="C306" s="2" t="s">
        <v>300</v>
      </c>
      <c r="D306" s="2" t="s">
        <v>431</v>
      </c>
      <c r="E306" s="6">
        <v>2700</v>
      </c>
      <c r="F306" s="18">
        <v>0</v>
      </c>
      <c r="G306" s="18">
        <v>0</v>
      </c>
      <c r="H306" s="18">
        <v>0</v>
      </c>
      <c r="I306" s="18">
        <v>0</v>
      </c>
      <c r="J306" s="18">
        <v>0</v>
      </c>
      <c r="K306" s="18">
        <v>0</v>
      </c>
      <c r="L306" s="19">
        <f t="shared" si="14"/>
        <v>0</v>
      </c>
      <c r="M306" s="8"/>
      <c r="N306" s="266"/>
    </row>
    <row r="307" spans="1:14" s="3" customFormat="1" ht="12.2" customHeight="1" x14ac:dyDescent="0.15">
      <c r="A307" s="1" t="s">
        <v>449</v>
      </c>
      <c r="B307" s="2" t="s">
        <v>358</v>
      </c>
      <c r="C307" s="2" t="s">
        <v>343</v>
      </c>
      <c r="D307" s="2" t="s">
        <v>431</v>
      </c>
      <c r="E307" s="6">
        <v>2800</v>
      </c>
      <c r="F307" s="18">
        <v>0</v>
      </c>
      <c r="G307" s="18">
        <v>0</v>
      </c>
      <c r="H307" s="18">
        <v>0</v>
      </c>
      <c r="I307" s="18">
        <v>0</v>
      </c>
      <c r="J307" s="18">
        <v>0</v>
      </c>
      <c r="K307" s="18">
        <v>0</v>
      </c>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63792.95</v>
      </c>
      <c r="G309" s="42">
        <f t="shared" si="15"/>
        <v>16041.470000000001</v>
      </c>
      <c r="H309" s="42">
        <f t="shared" si="15"/>
        <v>87491.65</v>
      </c>
      <c r="I309" s="42">
        <f t="shared" si="15"/>
        <v>8538.0600000000013</v>
      </c>
      <c r="J309" s="42">
        <f t="shared" si="15"/>
        <v>2587.0299999999997</v>
      </c>
      <c r="K309" s="42">
        <f t="shared" si="15"/>
        <v>2051.7600000000002</v>
      </c>
      <c r="L309" s="41">
        <f t="shared" si="15"/>
        <v>180502.91999999998</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3779.5200000000004</v>
      </c>
      <c r="G314" s="18">
        <v>948.85999999999979</v>
      </c>
      <c r="H314" s="18">
        <v>18268.459999999995</v>
      </c>
      <c r="I314" s="18">
        <v>0</v>
      </c>
      <c r="J314" s="18">
        <v>0</v>
      </c>
      <c r="K314" s="18">
        <v>0</v>
      </c>
      <c r="L314" s="19">
        <f>SUM(F314:K314)</f>
        <v>22996.839999999997</v>
      </c>
      <c r="M314" s="8"/>
      <c r="N314" s="266"/>
    </row>
    <row r="315" spans="1:14" s="3" customFormat="1" ht="12.2" customHeight="1" x14ac:dyDescent="0.15">
      <c r="A315" s="1" t="s">
        <v>439</v>
      </c>
      <c r="B315" s="2" t="s">
        <v>359</v>
      </c>
      <c r="C315" s="2" t="s">
        <v>291</v>
      </c>
      <c r="D315" s="2" t="s">
        <v>431</v>
      </c>
      <c r="E315" s="6">
        <v>1200</v>
      </c>
      <c r="F315" s="18">
        <v>0</v>
      </c>
      <c r="G315" s="18">
        <v>0</v>
      </c>
      <c r="H315" s="18">
        <v>9844.5400000000009</v>
      </c>
      <c r="I315" s="18">
        <v>1277.0599999999997</v>
      </c>
      <c r="J315" s="18">
        <v>1602.58</v>
      </c>
      <c r="K315" s="18">
        <v>0</v>
      </c>
      <c r="L315" s="19">
        <f>SUM(F315:K315)</f>
        <v>12724.18</v>
      </c>
      <c r="M315" s="8"/>
      <c r="N315" s="266"/>
    </row>
    <row r="316" spans="1:14" s="3" customFormat="1" ht="12.2" customHeight="1" x14ac:dyDescent="0.15">
      <c r="A316" s="1" t="s">
        <v>440</v>
      </c>
      <c r="B316" s="2" t="s">
        <v>359</v>
      </c>
      <c r="C316" s="2" t="s">
        <v>292</v>
      </c>
      <c r="D316" s="2" t="s">
        <v>431</v>
      </c>
      <c r="E316" s="6">
        <v>1300</v>
      </c>
      <c r="F316" s="18">
        <v>3150</v>
      </c>
      <c r="G316" s="18">
        <v>240.99</v>
      </c>
      <c r="H316" s="18">
        <v>4212.22</v>
      </c>
      <c r="I316" s="18">
        <v>10956.72</v>
      </c>
      <c r="J316" s="18">
        <v>12073.820000000002</v>
      </c>
      <c r="K316" s="18">
        <v>2935.62</v>
      </c>
      <c r="L316" s="19">
        <f>SUM(F316:K316)</f>
        <v>33569.370000000003</v>
      </c>
      <c r="M316" s="8"/>
      <c r="N316" s="266"/>
    </row>
    <row r="317" spans="1:14" s="3" customFormat="1" ht="12.2" customHeight="1" x14ac:dyDescent="0.15">
      <c r="A317" s="1" t="s">
        <v>441</v>
      </c>
      <c r="B317" s="2" t="s">
        <v>359</v>
      </c>
      <c r="C317" s="2" t="s">
        <v>293</v>
      </c>
      <c r="D317" s="2" t="s">
        <v>431</v>
      </c>
      <c r="E317" s="6">
        <v>1400</v>
      </c>
      <c r="F317" s="18">
        <v>0</v>
      </c>
      <c r="G317" s="18">
        <v>0</v>
      </c>
      <c r="H317" s="18">
        <v>0</v>
      </c>
      <c r="I317" s="18">
        <v>0</v>
      </c>
      <c r="J317" s="18">
        <v>0</v>
      </c>
      <c r="K317" s="18">
        <v>0</v>
      </c>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66369.469999999987</v>
      </c>
      <c r="G319" s="18">
        <v>17770.289999999997</v>
      </c>
      <c r="H319" s="18">
        <v>56614.64</v>
      </c>
      <c r="I319" s="18">
        <v>5421.3799999999974</v>
      </c>
      <c r="J319" s="18">
        <v>1787.4700000000005</v>
      </c>
      <c r="K319" s="18">
        <v>0</v>
      </c>
      <c r="L319" s="19">
        <f t="shared" ref="L319:L325" si="16">SUM(F319:K319)</f>
        <v>147963.24999999997</v>
      </c>
      <c r="M319" s="8"/>
      <c r="N319" s="266"/>
    </row>
    <row r="320" spans="1:14" s="3" customFormat="1" ht="12.2" customHeight="1" x14ac:dyDescent="0.15">
      <c r="A320" s="1" t="s">
        <v>443</v>
      </c>
      <c r="B320" s="2" t="s">
        <v>359</v>
      </c>
      <c r="C320" s="2" t="s">
        <v>295</v>
      </c>
      <c r="D320" s="2" t="s">
        <v>431</v>
      </c>
      <c r="E320" s="6">
        <v>2200</v>
      </c>
      <c r="F320" s="18">
        <v>13445.56</v>
      </c>
      <c r="G320" s="18">
        <v>2301.64</v>
      </c>
      <c r="H320" s="18">
        <v>29921.810000000009</v>
      </c>
      <c r="I320" s="18">
        <v>4489.8700000000008</v>
      </c>
      <c r="J320" s="18">
        <v>0</v>
      </c>
      <c r="K320" s="18">
        <v>0</v>
      </c>
      <c r="L320" s="19">
        <f t="shared" si="16"/>
        <v>50158.880000000012</v>
      </c>
      <c r="M320" s="8"/>
      <c r="N320" s="266"/>
    </row>
    <row r="321" spans="1:14" s="3" customFormat="1" ht="12.2" customHeight="1" x14ac:dyDescent="0.15">
      <c r="A321" s="1" t="s">
        <v>444</v>
      </c>
      <c r="B321" s="2" t="s">
        <v>359</v>
      </c>
      <c r="C321" s="2" t="s">
        <v>296</v>
      </c>
      <c r="D321" s="2" t="s">
        <v>431</v>
      </c>
      <c r="E321" s="6">
        <v>2300</v>
      </c>
      <c r="F321" s="18">
        <v>0</v>
      </c>
      <c r="G321" s="18">
        <v>0</v>
      </c>
      <c r="H321" s="18">
        <v>0</v>
      </c>
      <c r="I321" s="18">
        <v>0</v>
      </c>
      <c r="J321" s="18">
        <v>0</v>
      </c>
      <c r="K321" s="18">
        <v>0</v>
      </c>
      <c r="L321" s="19">
        <f t="shared" si="16"/>
        <v>0</v>
      </c>
      <c r="M321" s="8"/>
      <c r="N321" s="266"/>
    </row>
    <row r="322" spans="1:14" s="3" customFormat="1" ht="12.2" customHeight="1" x14ac:dyDescent="0.15">
      <c r="A322" s="1" t="s">
        <v>445</v>
      </c>
      <c r="B322" s="2" t="s">
        <v>359</v>
      </c>
      <c r="C322" s="2" t="s">
        <v>297</v>
      </c>
      <c r="D322" s="2" t="s">
        <v>431</v>
      </c>
      <c r="E322" s="6">
        <v>2400</v>
      </c>
      <c r="F322" s="18">
        <v>0</v>
      </c>
      <c r="G322" s="18">
        <v>0</v>
      </c>
      <c r="H322" s="18">
        <v>0</v>
      </c>
      <c r="I322" s="18">
        <v>0</v>
      </c>
      <c r="J322" s="18">
        <v>0</v>
      </c>
      <c r="K322" s="18">
        <v>0</v>
      </c>
      <c r="L322" s="19">
        <f t="shared" si="16"/>
        <v>0</v>
      </c>
      <c r="M322" s="8"/>
      <c r="N322" s="266"/>
    </row>
    <row r="323" spans="1:14" s="3" customFormat="1" ht="12.2" customHeight="1" x14ac:dyDescent="0.15">
      <c r="A323" s="1" t="s">
        <v>446</v>
      </c>
      <c r="B323" s="2" t="s">
        <v>359</v>
      </c>
      <c r="C323" s="2" t="s">
        <v>298</v>
      </c>
      <c r="D323" s="2" t="s">
        <v>431</v>
      </c>
      <c r="E323" s="6">
        <v>2500</v>
      </c>
      <c r="F323" s="18">
        <v>0</v>
      </c>
      <c r="G323" s="18">
        <v>0</v>
      </c>
      <c r="H323" s="18">
        <v>0</v>
      </c>
      <c r="I323" s="18">
        <v>0</v>
      </c>
      <c r="J323" s="18">
        <v>0</v>
      </c>
      <c r="K323" s="18">
        <v>2688.6499999999996</v>
      </c>
      <c r="L323" s="19">
        <f t="shared" si="16"/>
        <v>2688.6499999999996</v>
      </c>
      <c r="M323" s="8"/>
      <c r="N323" s="266"/>
    </row>
    <row r="324" spans="1:14" s="3" customFormat="1" ht="12.2" customHeight="1" x14ac:dyDescent="0.15">
      <c r="A324" s="1" t="s">
        <v>447</v>
      </c>
      <c r="B324" s="2" t="s">
        <v>359</v>
      </c>
      <c r="C324" s="2" t="s">
        <v>299</v>
      </c>
      <c r="D324" s="2" t="s">
        <v>431</v>
      </c>
      <c r="E324" s="6">
        <v>2600</v>
      </c>
      <c r="F324" s="18">
        <v>0</v>
      </c>
      <c r="G324" s="18">
        <v>0</v>
      </c>
      <c r="H324" s="18">
        <v>0</v>
      </c>
      <c r="I324" s="18">
        <v>0</v>
      </c>
      <c r="J324" s="18">
        <v>0</v>
      </c>
      <c r="K324" s="18">
        <v>0</v>
      </c>
      <c r="L324" s="19">
        <f t="shared" si="16"/>
        <v>0</v>
      </c>
      <c r="M324" s="8"/>
      <c r="N324" s="266"/>
    </row>
    <row r="325" spans="1:14" s="3" customFormat="1" ht="12.2" customHeight="1" x14ac:dyDescent="0.15">
      <c r="A325" s="1" t="s">
        <v>448</v>
      </c>
      <c r="B325" s="2" t="s">
        <v>359</v>
      </c>
      <c r="C325" s="2" t="s">
        <v>300</v>
      </c>
      <c r="D325" s="2" t="s">
        <v>431</v>
      </c>
      <c r="E325" s="6">
        <v>2700</v>
      </c>
      <c r="F325" s="18">
        <v>0</v>
      </c>
      <c r="G325" s="18">
        <v>0</v>
      </c>
      <c r="H325" s="18">
        <v>0</v>
      </c>
      <c r="I325" s="18">
        <v>0</v>
      </c>
      <c r="J325" s="18">
        <v>0</v>
      </c>
      <c r="K325" s="18">
        <v>0</v>
      </c>
      <c r="L325" s="19">
        <f t="shared" si="16"/>
        <v>0</v>
      </c>
      <c r="M325" s="8"/>
      <c r="N325" s="266"/>
    </row>
    <row r="326" spans="1:14" s="3" customFormat="1" ht="12.2" customHeight="1" x14ac:dyDescent="0.15">
      <c r="A326" s="1" t="s">
        <v>449</v>
      </c>
      <c r="B326" s="2" t="s">
        <v>359</v>
      </c>
      <c r="C326" s="2" t="s">
        <v>343</v>
      </c>
      <c r="D326" s="2" t="s">
        <v>431</v>
      </c>
      <c r="E326" s="6">
        <v>2800</v>
      </c>
      <c r="F326" s="18">
        <v>0</v>
      </c>
      <c r="G326" s="18">
        <v>0</v>
      </c>
      <c r="H326" s="18">
        <v>0</v>
      </c>
      <c r="I326" s="18">
        <v>0</v>
      </c>
      <c r="J326" s="18">
        <v>0</v>
      </c>
      <c r="K326" s="18">
        <v>0</v>
      </c>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86744.549999999988</v>
      </c>
      <c r="G328" s="42">
        <f t="shared" si="17"/>
        <v>21261.779999999995</v>
      </c>
      <c r="H328" s="42">
        <f t="shared" si="17"/>
        <v>118861.67000000001</v>
      </c>
      <c r="I328" s="42">
        <f t="shared" si="17"/>
        <v>22145.03</v>
      </c>
      <c r="J328" s="42">
        <f t="shared" si="17"/>
        <v>15463.870000000003</v>
      </c>
      <c r="K328" s="42">
        <f t="shared" si="17"/>
        <v>5624.2699999999995</v>
      </c>
      <c r="L328" s="41">
        <f t="shared" si="17"/>
        <v>270101.17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v>102951.05000000002</v>
      </c>
      <c r="G333" s="18">
        <v>28473.610000000004</v>
      </c>
      <c r="H333" s="18">
        <v>3574.35</v>
      </c>
      <c r="I333" s="18">
        <v>2746.1800000000003</v>
      </c>
      <c r="J333" s="18"/>
      <c r="K333" s="18">
        <v>11125.32</v>
      </c>
      <c r="L333" s="19">
        <f t="shared" si="18"/>
        <v>148870.51000000004</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102951.05000000002</v>
      </c>
      <c r="G337" s="41">
        <f t="shared" si="19"/>
        <v>28473.610000000004</v>
      </c>
      <c r="H337" s="41">
        <f t="shared" si="19"/>
        <v>3574.35</v>
      </c>
      <c r="I337" s="41">
        <f t="shared" si="19"/>
        <v>2746.1800000000003</v>
      </c>
      <c r="J337" s="41">
        <f t="shared" si="19"/>
        <v>0</v>
      </c>
      <c r="K337" s="41">
        <f t="shared" si="19"/>
        <v>11125.32</v>
      </c>
      <c r="L337" s="41">
        <f t="shared" si="18"/>
        <v>148870.51000000004</v>
      </c>
      <c r="M337" s="8"/>
      <c r="N337" s="266"/>
    </row>
    <row r="338" spans="1:43" s="3" customFormat="1" ht="12.2" customHeight="1" thickTop="1" x14ac:dyDescent="0.15">
      <c r="A338" s="38" t="s">
        <v>468</v>
      </c>
      <c r="B338" s="40">
        <v>14</v>
      </c>
      <c r="C338" s="40">
        <v>7</v>
      </c>
      <c r="D338" s="39" t="s">
        <v>431</v>
      </c>
      <c r="E338" s="40"/>
      <c r="F338" s="41">
        <f t="shared" ref="F338:L338" si="20">F290+F309+F328+F337</f>
        <v>1278661.6600000001</v>
      </c>
      <c r="G338" s="41">
        <f t="shared" si="20"/>
        <v>570986.05000000005</v>
      </c>
      <c r="H338" s="41">
        <f t="shared" si="20"/>
        <v>522950.55000000005</v>
      </c>
      <c r="I338" s="41">
        <f t="shared" si="20"/>
        <v>100832.09</v>
      </c>
      <c r="J338" s="41">
        <f t="shared" si="20"/>
        <v>70273.98000000001</v>
      </c>
      <c r="K338" s="41">
        <f t="shared" si="20"/>
        <v>75301.94</v>
      </c>
      <c r="L338" s="41">
        <f t="shared" si="20"/>
        <v>2619006.2700000005</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1278661.6600000001</v>
      </c>
      <c r="G352" s="41">
        <f>G338</f>
        <v>570986.05000000005</v>
      </c>
      <c r="H352" s="41">
        <f>H338</f>
        <v>522950.55000000005</v>
      </c>
      <c r="I352" s="41">
        <f>I338</f>
        <v>100832.09</v>
      </c>
      <c r="J352" s="41">
        <f>J338</f>
        <v>70273.98000000001</v>
      </c>
      <c r="K352" s="47">
        <f>K338+K351</f>
        <v>75301.94</v>
      </c>
      <c r="L352" s="41">
        <f>L338+L351</f>
        <v>2619006.2700000005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106592.85+152023.29-3602.45+104704.1</f>
        <v>359717.79000000004</v>
      </c>
      <c r="I358" s="18"/>
      <c r="J358" s="18"/>
      <c r="K358" s="18"/>
      <c r="L358" s="13">
        <f>SUM(F358:K358)</f>
        <v>359717.79000000004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136795.38</v>
      </c>
      <c r="I359" s="18"/>
      <c r="J359" s="18"/>
      <c r="K359" s="18"/>
      <c r="L359" s="19">
        <f>SUM(F359:K359)</f>
        <v>136795.38</v>
      </c>
      <c r="M359" s="8"/>
      <c r="N359" s="266"/>
    </row>
    <row r="360" spans="1:22" s="3" customFormat="1" ht="12.2" customHeight="1" x14ac:dyDescent="0.15">
      <c r="A360" s="3" t="s">
        <v>543</v>
      </c>
      <c r="B360" s="2" t="s">
        <v>366</v>
      </c>
      <c r="C360" s="6">
        <v>3</v>
      </c>
      <c r="D360" s="2" t="s">
        <v>431</v>
      </c>
      <c r="E360" s="6"/>
      <c r="F360" s="18"/>
      <c r="G360" s="18"/>
      <c r="H360" s="18">
        <v>128032.56</v>
      </c>
      <c r="I360" s="18"/>
      <c r="J360" s="18"/>
      <c r="K360" s="18"/>
      <c r="L360" s="19">
        <f>SUM(F360:K360)</f>
        <v>128032.56</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624545.73</v>
      </c>
      <c r="I362" s="47">
        <f t="shared" si="22"/>
        <v>0</v>
      </c>
      <c r="J362" s="47">
        <f t="shared" si="22"/>
        <v>0</v>
      </c>
      <c r="K362" s="47">
        <f t="shared" si="22"/>
        <v>0</v>
      </c>
      <c r="L362" s="47">
        <f t="shared" si="22"/>
        <v>624545.73</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f>29+169358.65+1955.04</f>
        <v>171342.69</v>
      </c>
      <c r="I389" s="18"/>
      <c r="J389" s="24" t="s">
        <v>288</v>
      </c>
      <c r="K389" s="24" t="s">
        <v>288</v>
      </c>
      <c r="L389" s="56">
        <f t="shared" si="25"/>
        <v>171342.69</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171342.69</v>
      </c>
      <c r="I393" s="65">
        <f>SUM(I387:I392)</f>
        <v>0</v>
      </c>
      <c r="J393" s="45" t="s">
        <v>288</v>
      </c>
      <c r="K393" s="45" t="s">
        <v>288</v>
      </c>
      <c r="L393" s="47">
        <f>SUM(L387:L392)</f>
        <v>171342.69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f>295258.67-300</f>
        <v>294958.67</v>
      </c>
      <c r="I400" s="18"/>
      <c r="J400" s="24" t="s">
        <v>288</v>
      </c>
      <c r="K400" s="24" t="s">
        <v>288</v>
      </c>
      <c r="L400" s="56">
        <f t="shared" si="26"/>
        <v>294958.67</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294958.67</v>
      </c>
      <c r="I401" s="47">
        <f>SUM(I395:I400)</f>
        <v>0</v>
      </c>
      <c r="J401" s="45" t="s">
        <v>288</v>
      </c>
      <c r="K401" s="45" t="s">
        <v>288</v>
      </c>
      <c r="L401" s="47">
        <f>SUM(L395:L400)</f>
        <v>294958.67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466301.36</v>
      </c>
      <c r="I408" s="47">
        <f>I393+I401+I407</f>
        <v>0</v>
      </c>
      <c r="J408" s="24" t="s">
        <v>288</v>
      </c>
      <c r="K408" s="24" t="s">
        <v>288</v>
      </c>
      <c r="L408" s="47">
        <f>L393+L401+L407</f>
        <v>466301.36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152861.57999999999</v>
      </c>
      <c r="I426" s="18"/>
      <c r="J426" s="18"/>
      <c r="K426" s="18"/>
      <c r="L426" s="56">
        <f t="shared" si="29"/>
        <v>152861.57999999999</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152861.57999999999</v>
      </c>
      <c r="I427" s="47">
        <f t="shared" si="30"/>
        <v>0</v>
      </c>
      <c r="J427" s="47">
        <f t="shared" si="30"/>
        <v>0</v>
      </c>
      <c r="K427" s="47">
        <f t="shared" si="30"/>
        <v>0</v>
      </c>
      <c r="L427" s="47">
        <f t="shared" si="30"/>
        <v>152861.57999999999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152861.57999999999</v>
      </c>
      <c r="I434" s="47">
        <f t="shared" si="32"/>
        <v>0</v>
      </c>
      <c r="J434" s="47">
        <f t="shared" si="32"/>
        <v>0</v>
      </c>
      <c r="K434" s="47">
        <f t="shared" si="32"/>
        <v>0</v>
      </c>
      <c r="L434" s="47">
        <f t="shared" si="32"/>
        <v>152861.57999999999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32517</v>
      </c>
      <c r="G440" s="18">
        <v>6780648.1200000001</v>
      </c>
      <c r="H440" s="18"/>
      <c r="I440" s="56">
        <f t="shared" si="33"/>
        <v>6813165.1200000001</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32517</v>
      </c>
      <c r="G446" s="13">
        <f>SUM(G439:G445)</f>
        <v>6780648.1200000001</v>
      </c>
      <c r="H446" s="13">
        <f>SUM(H439:H445)</f>
        <v>0</v>
      </c>
      <c r="I446" s="13">
        <f>SUM(I439:I445)</f>
        <v>6813165.1200000001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32517</v>
      </c>
      <c r="G459" s="18">
        <v>6780648.1200000001</v>
      </c>
      <c r="H459" s="18"/>
      <c r="I459" s="56">
        <f t="shared" si="34"/>
        <v>6813165.1200000001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32517</v>
      </c>
      <c r="G460" s="83">
        <f>SUM(G454:G459)</f>
        <v>6780648.1200000001</v>
      </c>
      <c r="H460" s="83">
        <f>SUM(H454:H459)</f>
        <v>0</v>
      </c>
      <c r="I460" s="83">
        <f>SUM(I454:I459)</f>
        <v>6813165.1200000001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32517</v>
      </c>
      <c r="G461" s="42">
        <f>G452+G460</f>
        <v>6780648.1200000001</v>
      </c>
      <c r="H461" s="42">
        <f>H452+H460</f>
        <v>0</v>
      </c>
      <c r="I461" s="42">
        <f>I452+I460</f>
        <v>6813165.1200000001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629280.07999999996</v>
      </c>
      <c r="G465" s="18">
        <v>25757.15</v>
      </c>
      <c r="H465" s="18">
        <f>75818.41-10353.27</f>
        <v>65465.14</v>
      </c>
      <c r="I465" s="18">
        <v>477588.74</v>
      </c>
      <c r="J465" s="18">
        <f>6334518.21+132719.13+30073.56+2414.44</f>
        <v>6499725.3399999999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33136706.99-650428.64+0.1</f>
        <v>32486278.449999999</v>
      </c>
      <c r="G468" s="18">
        <v>402813.6</v>
      </c>
      <c r="H468" s="18">
        <f>1848239.89+69756</f>
        <v>1917995.89</v>
      </c>
      <c r="I468" s="18"/>
      <c r="J468" s="18">
        <f>1955.04+295258.67+169358.65+29-300</f>
        <v>466301.36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32486278.449999999</v>
      </c>
      <c r="G470" s="53">
        <f>SUM(G468:G469)</f>
        <v>402813.6</v>
      </c>
      <c r="H470" s="53">
        <f>SUM(H468:H469)</f>
        <v>1917995.89</v>
      </c>
      <c r="I470" s="53">
        <f>SUM(I468:I469)</f>
        <v>0</v>
      </c>
      <c r="J470" s="53">
        <f>SUM(J468:J469)</f>
        <v>466301.36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31658143.629999999</v>
      </c>
      <c r="G472" s="18">
        <v>624545.73</v>
      </c>
      <c r="H472" s="18">
        <f>2597259.59+21746.68</f>
        <v>2619006.27</v>
      </c>
      <c r="I472" s="18"/>
      <c r="J472" s="18">
        <f>152861.58</f>
        <v>152861.57999999999</v>
      </c>
      <c r="K472" s="24" t="s">
        <v>288</v>
      </c>
      <c r="L472" s="24" t="s">
        <v>288</v>
      </c>
      <c r="N472" s="265"/>
    </row>
    <row r="473" spans="1:14" s="52" customFormat="1" ht="12.2" customHeight="1" x14ac:dyDescent="0.2">
      <c r="A473" s="93" t="s">
        <v>613</v>
      </c>
      <c r="B473" s="75">
        <v>19</v>
      </c>
      <c r="C473" s="80">
        <v>6</v>
      </c>
      <c r="D473" s="2" t="s">
        <v>432</v>
      </c>
      <c r="E473" s="80"/>
      <c r="F473" s="18">
        <v>0.1</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31658143.73</v>
      </c>
      <c r="G474" s="53">
        <f>SUM(G472:G473)</f>
        <v>624545.73</v>
      </c>
      <c r="H474" s="53">
        <f>SUM(H472:H473)</f>
        <v>2619006.27</v>
      </c>
      <c r="I474" s="53">
        <f>SUM(I472:I473)</f>
        <v>0</v>
      </c>
      <c r="J474" s="53">
        <f>SUM(J472:J473)</f>
        <v>152861.57999999999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1457414.799999997</v>
      </c>
      <c r="G476" s="53">
        <f>(G465+G470)- G474</f>
        <v>-195974.97999999998</v>
      </c>
      <c r="H476" s="53">
        <f>(H465+H470)- H474</f>
        <v>-635545.24000000022</v>
      </c>
      <c r="I476" s="53">
        <f>(I465+I470)- I474</f>
        <v>477588.74</v>
      </c>
      <c r="J476" s="53">
        <f>(J465+J470)- J474</f>
        <v>6813165.1200000001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1611</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1612</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11195000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3.58</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8950000</v>
      </c>
      <c r="G495" s="18"/>
      <c r="H495" s="18"/>
      <c r="I495" s="18"/>
      <c r="J495" s="18"/>
      <c r="K495" s="53">
        <f>SUM(F495:J495)</f>
        <v>8950000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560000</v>
      </c>
      <c r="G497" s="18"/>
      <c r="H497" s="18"/>
      <c r="I497" s="18"/>
      <c r="J497" s="18"/>
      <c r="K497" s="53">
        <f t="shared" si="35"/>
        <v>560000</v>
      </c>
      <c r="L497" s="24" t="s">
        <v>288</v>
      </c>
      <c r="N497" s="265"/>
    </row>
    <row r="498" spans="1:14" s="52" customFormat="1" ht="12.2" customHeight="1" x14ac:dyDescent="0.2">
      <c r="A498" s="200" t="s">
        <v>622</v>
      </c>
      <c r="B498" s="201">
        <v>20</v>
      </c>
      <c r="C498" s="202">
        <v>9</v>
      </c>
      <c r="D498" s="203" t="s">
        <v>432</v>
      </c>
      <c r="E498" s="202"/>
      <c r="F498" s="204">
        <v>8390000</v>
      </c>
      <c r="G498" s="204"/>
      <c r="H498" s="204"/>
      <c r="I498" s="204"/>
      <c r="J498" s="204"/>
      <c r="K498" s="205">
        <f t="shared" si="35"/>
        <v>8390000</v>
      </c>
      <c r="L498" s="206" t="s">
        <v>288</v>
      </c>
      <c r="N498" s="265"/>
    </row>
    <row r="499" spans="1:14" s="52" customFormat="1" ht="12.2" customHeight="1" thickBot="1" x14ac:dyDescent="0.25">
      <c r="A499" s="22" t="s">
        <v>623</v>
      </c>
      <c r="B499" s="75">
        <v>20</v>
      </c>
      <c r="C499" s="115">
        <v>10</v>
      </c>
      <c r="D499" s="2" t="s">
        <v>432</v>
      </c>
      <c r="E499" s="115"/>
      <c r="F499" s="18">
        <v>3155460</v>
      </c>
      <c r="G499" s="18"/>
      <c r="H499" s="18"/>
      <c r="I499" s="18"/>
      <c r="J499" s="18"/>
      <c r="K499" s="53">
        <f t="shared" si="35"/>
        <v>3155460</v>
      </c>
      <c r="L499" s="24" t="s">
        <v>288</v>
      </c>
      <c r="N499" s="265"/>
    </row>
    <row r="500" spans="1:14" s="52" customFormat="1" ht="12.2" customHeight="1" thickTop="1" x14ac:dyDescent="0.2">
      <c r="A500" s="139" t="s">
        <v>624</v>
      </c>
      <c r="B500" s="44">
        <v>20</v>
      </c>
      <c r="C500" s="195">
        <v>11</v>
      </c>
      <c r="D500" s="39" t="s">
        <v>432</v>
      </c>
      <c r="E500" s="195"/>
      <c r="F500" s="42">
        <f>SUM(F498:F499)</f>
        <v>11545460</v>
      </c>
      <c r="G500" s="42">
        <f>SUM(G498:G499)</f>
        <v>0</v>
      </c>
      <c r="H500" s="42">
        <f>SUM(H498:H499)</f>
        <v>0</v>
      </c>
      <c r="I500" s="42">
        <f>SUM(I498:I499)</f>
        <v>0</v>
      </c>
      <c r="J500" s="42">
        <f>SUM(J498:J499)</f>
        <v>0</v>
      </c>
      <c r="K500" s="42">
        <f t="shared" si="35"/>
        <v>11545460</v>
      </c>
      <c r="L500" s="45" t="s">
        <v>288</v>
      </c>
      <c r="N500" s="265"/>
    </row>
    <row r="501" spans="1:14" s="52" customFormat="1" ht="12.2" customHeight="1" x14ac:dyDescent="0.2">
      <c r="A501" s="200" t="s">
        <v>651</v>
      </c>
      <c r="B501" s="201">
        <v>20</v>
      </c>
      <c r="C501" s="202">
        <v>12</v>
      </c>
      <c r="D501" s="203" t="s">
        <v>432</v>
      </c>
      <c r="E501" s="202"/>
      <c r="F501" s="204">
        <v>560000</v>
      </c>
      <c r="G501" s="204"/>
      <c r="H501" s="204"/>
      <c r="I501" s="204"/>
      <c r="J501" s="204"/>
      <c r="K501" s="205">
        <f t="shared" si="35"/>
        <v>560000</v>
      </c>
      <c r="L501" s="206" t="s">
        <v>288</v>
      </c>
      <c r="N501" s="265"/>
    </row>
    <row r="502" spans="1:14" s="52" customFormat="1" ht="12.2" customHeight="1" thickBot="1" x14ac:dyDescent="0.25">
      <c r="A502" s="22" t="s">
        <v>625</v>
      </c>
      <c r="B502" s="75">
        <v>20</v>
      </c>
      <c r="C502" s="115">
        <v>13</v>
      </c>
      <c r="D502" s="2" t="s">
        <v>432</v>
      </c>
      <c r="E502" s="115"/>
      <c r="F502" s="18">
        <f>211145+196865</f>
        <v>408010</v>
      </c>
      <c r="G502" s="18"/>
      <c r="H502" s="18"/>
      <c r="I502" s="18"/>
      <c r="J502" s="18"/>
      <c r="K502" s="53">
        <f t="shared" si="35"/>
        <v>408010</v>
      </c>
      <c r="L502" s="24" t="s">
        <v>288</v>
      </c>
      <c r="N502" s="265"/>
    </row>
    <row r="503" spans="1:14" s="52" customFormat="1" ht="12.2" customHeight="1" thickTop="1" x14ac:dyDescent="0.2">
      <c r="A503" s="139" t="s">
        <v>626</v>
      </c>
      <c r="B503" s="44">
        <v>20</v>
      </c>
      <c r="C503" s="195">
        <v>14</v>
      </c>
      <c r="D503" s="39" t="s">
        <v>432</v>
      </c>
      <c r="E503" s="195"/>
      <c r="F503" s="42">
        <f>SUM(F501:F502)</f>
        <v>968010</v>
      </c>
      <c r="G503" s="42">
        <f>SUM(G501:G502)</f>
        <v>0</v>
      </c>
      <c r="H503" s="42">
        <f>SUM(H501:H502)</f>
        <v>0</v>
      </c>
      <c r="I503" s="42">
        <f>SUM(I501:I502)</f>
        <v>0</v>
      </c>
      <c r="J503" s="42">
        <f>SUM(J501:J502)</f>
        <v>0</v>
      </c>
      <c r="K503" s="42">
        <f t="shared" si="35"/>
        <v>968010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F198+F277</f>
        <v>2025025.3900000001</v>
      </c>
      <c r="G521" s="18">
        <f>G198+G277</f>
        <v>801862.94000000006</v>
      </c>
      <c r="H521" s="18">
        <f>H198+H277-H526</f>
        <v>37924.570000000007</v>
      </c>
      <c r="I521" s="18">
        <f>I198+I277</f>
        <v>12580.949999999999</v>
      </c>
      <c r="J521" s="18">
        <f>J198+J277</f>
        <v>30315.15</v>
      </c>
      <c r="K521" s="18">
        <f>K198+K277</f>
        <v>0</v>
      </c>
      <c r="L521" s="88">
        <f>SUM(F521:K521)</f>
        <v>2907709</v>
      </c>
      <c r="N521" s="265"/>
    </row>
    <row r="522" spans="1:14" s="52" customFormat="1" ht="12.2" customHeight="1" x14ac:dyDescent="0.2">
      <c r="A522" s="22" t="s">
        <v>634</v>
      </c>
      <c r="B522" s="105">
        <v>21</v>
      </c>
      <c r="C522" s="115">
        <v>2</v>
      </c>
      <c r="D522" s="2" t="s">
        <v>432</v>
      </c>
      <c r="E522" s="115"/>
      <c r="F522" s="18">
        <f>F216+F295</f>
        <v>616255.14999999991</v>
      </c>
      <c r="G522" s="18">
        <f>G216+G295</f>
        <v>298103.09999999998</v>
      </c>
      <c r="H522" s="18">
        <f>H216+H295-H527</f>
        <v>623411.98</v>
      </c>
      <c r="I522" s="18">
        <f>I216+I295</f>
        <v>5636.3600000000006</v>
      </c>
      <c r="J522" s="18">
        <f>J216+J295</f>
        <v>0</v>
      </c>
      <c r="K522" s="18">
        <f>K216+K295</f>
        <v>0</v>
      </c>
      <c r="L522" s="88">
        <f>SUM(F522:K522)</f>
        <v>1543406.59</v>
      </c>
      <c r="N522" s="265"/>
    </row>
    <row r="523" spans="1:14" s="52" customFormat="1" ht="12.2" customHeight="1" thickBot="1" x14ac:dyDescent="0.25">
      <c r="A523" s="22" t="s">
        <v>635</v>
      </c>
      <c r="B523" s="105">
        <v>21</v>
      </c>
      <c r="C523" s="115">
        <v>3</v>
      </c>
      <c r="D523" s="2" t="s">
        <v>432</v>
      </c>
      <c r="E523" s="115"/>
      <c r="F523" s="18">
        <f>F234+F314</f>
        <v>884936.94</v>
      </c>
      <c r="G523" s="18">
        <f>G234+G314</f>
        <v>375382.92</v>
      </c>
      <c r="H523" s="18">
        <f>H234+H314-H528</f>
        <v>1640532.44</v>
      </c>
      <c r="I523" s="18">
        <f>I234+I314</f>
        <v>11631</v>
      </c>
      <c r="J523" s="18">
        <f>J234+J314</f>
        <v>285.76</v>
      </c>
      <c r="K523" s="18">
        <f>K234+K314</f>
        <v>2100</v>
      </c>
      <c r="L523" s="88">
        <f>SUM(F523:K523)</f>
        <v>2914869.0599999996</v>
      </c>
      <c r="N523" s="265"/>
    </row>
    <row r="524" spans="1:14" s="52" customFormat="1" ht="12.2" customHeight="1" thickTop="1" x14ac:dyDescent="0.2">
      <c r="A524" s="139" t="s">
        <v>63</v>
      </c>
      <c r="B524" s="107">
        <v>21</v>
      </c>
      <c r="C524" s="195">
        <v>4</v>
      </c>
      <c r="D524" s="196" t="s">
        <v>432</v>
      </c>
      <c r="E524" s="195"/>
      <c r="F524" s="108">
        <f>SUM(F521:F523)</f>
        <v>3526217.48</v>
      </c>
      <c r="G524" s="108">
        <f t="shared" ref="G524:L524" si="36">SUM(G521:G523)</f>
        <v>1475348.96</v>
      </c>
      <c r="H524" s="108">
        <f t="shared" si="36"/>
        <v>2301868.9900000002</v>
      </c>
      <c r="I524" s="108">
        <f t="shared" si="36"/>
        <v>29848.309999999998</v>
      </c>
      <c r="J524" s="108">
        <f t="shared" si="36"/>
        <v>30600.91</v>
      </c>
      <c r="K524" s="108">
        <f t="shared" si="36"/>
        <v>2100</v>
      </c>
      <c r="L524" s="89">
        <f t="shared" si="36"/>
        <v>7365984.6499999994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v>482600.43</v>
      </c>
      <c r="I526" s="18"/>
      <c r="J526" s="18"/>
      <c r="K526" s="18"/>
      <c r="L526" s="88">
        <f>SUM(F526:K526)</f>
        <v>482600.43</v>
      </c>
      <c r="M526" s="8"/>
      <c r="N526" s="266"/>
    </row>
    <row r="527" spans="1:14" s="3" customFormat="1" ht="12.2" customHeight="1" x14ac:dyDescent="0.15">
      <c r="A527" s="22" t="s">
        <v>634</v>
      </c>
      <c r="B527" s="105">
        <v>21</v>
      </c>
      <c r="C527" s="115">
        <v>6</v>
      </c>
      <c r="D527" s="2" t="s">
        <v>432</v>
      </c>
      <c r="E527" s="115"/>
      <c r="F527" s="18"/>
      <c r="G527" s="18"/>
      <c r="H527" s="18">
        <v>242656.42</v>
      </c>
      <c r="I527" s="18"/>
      <c r="J527" s="18"/>
      <c r="K527" s="18"/>
      <c r="L527" s="88">
        <f>SUM(F527:K527)</f>
        <v>242656.42</v>
      </c>
      <c r="M527" s="8"/>
      <c r="N527" s="266"/>
    </row>
    <row r="528" spans="1:14" s="3" customFormat="1" ht="12.2" customHeight="1" thickBot="1" x14ac:dyDescent="0.2">
      <c r="A528" s="22" t="s">
        <v>635</v>
      </c>
      <c r="B528" s="118">
        <v>21</v>
      </c>
      <c r="C528" s="118">
        <v>7</v>
      </c>
      <c r="D528" s="2" t="s">
        <v>432</v>
      </c>
      <c r="E528" s="118"/>
      <c r="F528" s="18"/>
      <c r="G528" s="18"/>
      <c r="H528" s="18">
        <v>317977.82</v>
      </c>
      <c r="I528" s="18"/>
      <c r="J528" s="18"/>
      <c r="K528" s="18"/>
      <c r="L528" s="88">
        <f>SUM(F528:K528)</f>
        <v>317977.82</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1043234.6699999999</v>
      </c>
      <c r="I529" s="89">
        <f t="shared" si="37"/>
        <v>0</v>
      </c>
      <c r="J529" s="89">
        <f t="shared" si="37"/>
        <v>0</v>
      </c>
      <c r="K529" s="89">
        <f t="shared" si="37"/>
        <v>0</v>
      </c>
      <c r="L529" s="89">
        <f t="shared" si="37"/>
        <v>1043234.6699999999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47879.57</v>
      </c>
      <c r="G531" s="18">
        <v>26156.55</v>
      </c>
      <c r="H531" s="18">
        <v>532.25</v>
      </c>
      <c r="I531" s="18">
        <v>271.33</v>
      </c>
      <c r="J531" s="18">
        <v>331.92</v>
      </c>
      <c r="K531" s="18">
        <v>0</v>
      </c>
      <c r="L531" s="88">
        <f>SUM(F531:K531)</f>
        <v>75171.62</v>
      </c>
      <c r="M531" s="8"/>
      <c r="N531" s="266"/>
    </row>
    <row r="532" spans="1:14" s="3" customFormat="1" ht="12.2" customHeight="1" x14ac:dyDescent="0.15">
      <c r="A532" s="22" t="s">
        <v>634</v>
      </c>
      <c r="B532" s="105">
        <v>21</v>
      </c>
      <c r="C532" s="105">
        <v>10</v>
      </c>
      <c r="D532" s="2" t="s">
        <v>432</v>
      </c>
      <c r="E532" s="105"/>
      <c r="F532" s="18">
        <v>24074.34</v>
      </c>
      <c r="G532" s="18">
        <v>13151.78</v>
      </c>
      <c r="H532" s="18">
        <v>267.62</v>
      </c>
      <c r="I532" s="18">
        <v>136.43</v>
      </c>
      <c r="J532" s="18">
        <v>166.89</v>
      </c>
      <c r="K532" s="18">
        <v>0</v>
      </c>
      <c r="L532" s="88">
        <f>SUM(F532:K532)</f>
        <v>37797.060000000005</v>
      </c>
      <c r="M532" s="8"/>
      <c r="N532" s="266"/>
    </row>
    <row r="533" spans="1:14" s="3" customFormat="1" ht="12.2" customHeight="1" thickBot="1" x14ac:dyDescent="0.2">
      <c r="A533" s="22" t="s">
        <v>635</v>
      </c>
      <c r="B533" s="105">
        <v>21</v>
      </c>
      <c r="C533" s="105">
        <v>11</v>
      </c>
      <c r="D533" s="2" t="s">
        <v>432</v>
      </c>
      <c r="E533" s="105"/>
      <c r="F533" s="18">
        <v>31547.108751999989</v>
      </c>
      <c r="G533" s="18">
        <v>17234.140216</v>
      </c>
      <c r="H533" s="18">
        <v>350.69475199999999</v>
      </c>
      <c r="I533" s="18">
        <v>178.7750400000001</v>
      </c>
      <c r="J533" s="18">
        <v>218.69279999999998</v>
      </c>
      <c r="K533" s="18">
        <v>0</v>
      </c>
      <c r="L533" s="88">
        <f>SUM(F533:K533)</f>
        <v>49529.411559999986</v>
      </c>
      <c r="M533" s="8"/>
      <c r="N533" s="266"/>
    </row>
    <row r="534" spans="1:14" s="3" customFormat="1" ht="12.2" customHeight="1" thickTop="1" x14ac:dyDescent="0.15">
      <c r="A534" s="139" t="s">
        <v>67</v>
      </c>
      <c r="B534" s="107">
        <v>21</v>
      </c>
      <c r="C534" s="107">
        <v>12</v>
      </c>
      <c r="D534" s="158" t="s">
        <v>432</v>
      </c>
      <c r="E534" s="107"/>
      <c r="F534" s="89">
        <f>SUM(F531:F533)</f>
        <v>103501.01875199999</v>
      </c>
      <c r="G534" s="89">
        <f t="shared" ref="G534:L534" si="38">SUM(G531:G533)</f>
        <v>56542.470216000002</v>
      </c>
      <c r="H534" s="89">
        <f t="shared" si="38"/>
        <v>1150.564752</v>
      </c>
      <c r="I534" s="89">
        <f t="shared" si="38"/>
        <v>586.53504000000009</v>
      </c>
      <c r="J534" s="89">
        <f t="shared" si="38"/>
        <v>717.50279999999998</v>
      </c>
      <c r="K534" s="89">
        <f t="shared" si="38"/>
        <v>0</v>
      </c>
      <c r="L534" s="89">
        <f t="shared" si="38"/>
        <v>162498.09155999997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2128.1799999999998</v>
      </c>
      <c r="I541" s="18"/>
      <c r="J541" s="18"/>
      <c r="K541" s="18"/>
      <c r="L541" s="88">
        <f>SUM(F541:K541)</f>
        <v>2128.1799999999998</v>
      </c>
      <c r="M541" s="8"/>
      <c r="N541" s="266"/>
    </row>
    <row r="542" spans="1:14" s="3" customFormat="1" ht="12.2" customHeight="1" x14ac:dyDescent="0.15">
      <c r="A542" s="22" t="s">
        <v>634</v>
      </c>
      <c r="B542" s="105">
        <v>21</v>
      </c>
      <c r="C542" s="105">
        <v>18</v>
      </c>
      <c r="D542" s="2" t="s">
        <v>432</v>
      </c>
      <c r="E542" s="105"/>
      <c r="F542" s="18"/>
      <c r="G542" s="18"/>
      <c r="H542" s="18">
        <f>58012.84</f>
        <v>58012.84</v>
      </c>
      <c r="I542" s="18"/>
      <c r="J542" s="18"/>
      <c r="K542" s="18"/>
      <c r="L542" s="88">
        <f>SUM(F542:K542)</f>
        <v>58012.84</v>
      </c>
      <c r="M542" s="8"/>
      <c r="N542" s="266"/>
    </row>
    <row r="543" spans="1:14" s="3" customFormat="1" ht="12.2" customHeight="1" thickBot="1" x14ac:dyDescent="0.2">
      <c r="A543" s="22" t="s">
        <v>635</v>
      </c>
      <c r="B543" s="105">
        <v>21</v>
      </c>
      <c r="C543" s="105">
        <v>19</v>
      </c>
      <c r="D543" s="2" t="s">
        <v>432</v>
      </c>
      <c r="E543" s="105"/>
      <c r="F543" s="18"/>
      <c r="G543" s="18"/>
      <c r="H543" s="18">
        <f>108960.84</f>
        <v>108960.84</v>
      </c>
      <c r="I543" s="18"/>
      <c r="J543" s="18"/>
      <c r="K543" s="18"/>
      <c r="L543" s="88">
        <f>SUM(F543:K543)</f>
        <v>108960.84</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169101.86</v>
      </c>
      <c r="I544" s="193">
        <f t="shared" si="40"/>
        <v>0</v>
      </c>
      <c r="J544" s="193">
        <f t="shared" si="40"/>
        <v>0</v>
      </c>
      <c r="K544" s="193">
        <f t="shared" si="40"/>
        <v>0</v>
      </c>
      <c r="L544" s="193">
        <f t="shared" si="40"/>
        <v>169101.86</v>
      </c>
      <c r="M544" s="8"/>
      <c r="N544" s="266"/>
    </row>
    <row r="545" spans="1:14" s="3" customFormat="1" ht="12.2" customHeight="1" thickTop="1" x14ac:dyDescent="0.15">
      <c r="A545" s="98" t="s">
        <v>72</v>
      </c>
      <c r="B545" s="107">
        <v>21</v>
      </c>
      <c r="C545" s="107">
        <v>21</v>
      </c>
      <c r="D545" s="158" t="s">
        <v>432</v>
      </c>
      <c r="E545" s="107"/>
      <c r="F545" s="89">
        <f>F524+F529+F534+F539+F544</f>
        <v>3629718.4987519998</v>
      </c>
      <c r="G545" s="89">
        <f t="shared" ref="G545:L545" si="41">G524+G529+G534+G539+G544</f>
        <v>1531891.4302159999</v>
      </c>
      <c r="H545" s="89">
        <f t="shared" si="41"/>
        <v>3515356.0847519999</v>
      </c>
      <c r="I545" s="89">
        <f t="shared" si="41"/>
        <v>30434.845039999997</v>
      </c>
      <c r="J545" s="89">
        <f t="shared" si="41"/>
        <v>31318.412799999998</v>
      </c>
      <c r="K545" s="89">
        <f t="shared" si="41"/>
        <v>2100</v>
      </c>
      <c r="L545" s="89">
        <f t="shared" si="41"/>
        <v>8740819.2715600003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2907709</v>
      </c>
      <c r="G549" s="87">
        <f>L526</f>
        <v>482600.43</v>
      </c>
      <c r="H549" s="87">
        <f>L531</f>
        <v>75171.62</v>
      </c>
      <c r="I549" s="87">
        <f>L536</f>
        <v>0</v>
      </c>
      <c r="J549" s="87">
        <f>L541</f>
        <v>2128.1799999999998</v>
      </c>
      <c r="K549" s="87">
        <f>SUM(F549:J549)</f>
        <v>3467609.2300000004</v>
      </c>
      <c r="L549" s="24" t="s">
        <v>288</v>
      </c>
      <c r="M549" s="8"/>
      <c r="N549" s="266"/>
    </row>
    <row r="550" spans="1:14" s="3" customFormat="1" ht="12.2" customHeight="1" x14ac:dyDescent="0.15">
      <c r="A550" s="22" t="s">
        <v>634</v>
      </c>
      <c r="B550" s="75">
        <v>21</v>
      </c>
      <c r="C550" s="75">
        <v>23</v>
      </c>
      <c r="D550" s="2" t="s">
        <v>432</v>
      </c>
      <c r="E550" s="75"/>
      <c r="F550" s="87">
        <f>L522</f>
        <v>1543406.59</v>
      </c>
      <c r="G550" s="87">
        <f>L527</f>
        <v>242656.42</v>
      </c>
      <c r="H550" s="87">
        <f>L532</f>
        <v>37797.060000000005</v>
      </c>
      <c r="I550" s="87">
        <f>L537</f>
        <v>0</v>
      </c>
      <c r="J550" s="87">
        <f>L542</f>
        <v>58012.84</v>
      </c>
      <c r="K550" s="87">
        <f>SUM(F550:J550)</f>
        <v>1881872.9100000001</v>
      </c>
      <c r="L550" s="24" t="s">
        <v>288</v>
      </c>
      <c r="M550" s="8"/>
      <c r="N550" s="266"/>
    </row>
    <row r="551" spans="1:14" s="3" customFormat="1" ht="12.2" customHeight="1" thickBot="1" x14ac:dyDescent="0.2">
      <c r="A551" s="22" t="s">
        <v>635</v>
      </c>
      <c r="B551" s="75">
        <v>21</v>
      </c>
      <c r="C551" s="75">
        <v>24</v>
      </c>
      <c r="D551" s="2" t="s">
        <v>432</v>
      </c>
      <c r="E551" s="75"/>
      <c r="F551" s="87">
        <f>L523</f>
        <v>2914869.0599999996</v>
      </c>
      <c r="G551" s="87">
        <f>L528</f>
        <v>317977.82</v>
      </c>
      <c r="H551" s="87">
        <f>L533</f>
        <v>49529.411559999986</v>
      </c>
      <c r="I551" s="87">
        <f>L538</f>
        <v>0</v>
      </c>
      <c r="J551" s="87">
        <f>L543</f>
        <v>108960.84</v>
      </c>
      <c r="K551" s="87">
        <f>SUM(F551:J551)</f>
        <v>3391337.1315599992</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7365984.6499999994</v>
      </c>
      <c r="G552" s="89">
        <f t="shared" si="42"/>
        <v>1043234.6699999999</v>
      </c>
      <c r="H552" s="89">
        <f t="shared" si="42"/>
        <v>162498.09155999997</v>
      </c>
      <c r="I552" s="89">
        <f t="shared" si="42"/>
        <v>0</v>
      </c>
      <c r="J552" s="89">
        <f t="shared" si="42"/>
        <v>169101.86</v>
      </c>
      <c r="K552" s="89">
        <f t="shared" si="42"/>
        <v>8740819.2715600003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1950.54</v>
      </c>
      <c r="G579" s="18"/>
      <c r="H579" s="18"/>
      <c r="I579" s="87">
        <f t="shared" si="47"/>
        <v>1950.54</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f>4090.01</f>
        <v>4090.01</v>
      </c>
      <c r="I581" s="87">
        <f t="shared" si="47"/>
        <v>4090.01</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466088</v>
      </c>
      <c r="G582" s="18">
        <v>719743</v>
      </c>
      <c r="H582" s="18">
        <v>981338</v>
      </c>
      <c r="I582" s="87">
        <f t="shared" si="47"/>
        <v>2167169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11333</v>
      </c>
      <c r="G583" s="18">
        <v>8581.6</v>
      </c>
      <c r="H583" s="18">
        <v>11827.42</v>
      </c>
      <c r="I583" s="87">
        <f t="shared" si="47"/>
        <v>31742.019999999997</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28001.58</v>
      </c>
      <c r="I584" s="87">
        <f t="shared" si="47"/>
        <v>28001.58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532175.31999999995</v>
      </c>
      <c r="I591" s="18">
        <v>267583.19</v>
      </c>
      <c r="J591" s="18">
        <v>311885.21000000002</v>
      </c>
      <c r="K591" s="104">
        <f t="shared" ref="K591:K597" si="48">SUM(H591:J591)</f>
        <v>1111643.72</v>
      </c>
      <c r="L591" s="24" t="s">
        <v>288</v>
      </c>
      <c r="M591" s="8"/>
      <c r="N591" s="266"/>
    </row>
    <row r="592" spans="1:14" s="3" customFormat="1" ht="12.2" customHeight="1" x14ac:dyDescent="0.15">
      <c r="A592" s="3" t="s">
        <v>638</v>
      </c>
      <c r="B592" s="75">
        <v>23</v>
      </c>
      <c r="C592" s="75">
        <v>2</v>
      </c>
      <c r="D592" s="2" t="s">
        <v>432</v>
      </c>
      <c r="E592" s="75"/>
      <c r="F592" s="102">
        <v>2722</v>
      </c>
      <c r="G592" s="103" t="s">
        <v>97</v>
      </c>
      <c r="H592" s="18">
        <v>2128.1799999999998</v>
      </c>
      <c r="I592" s="18">
        <v>58012.84</v>
      </c>
      <c r="J592" s="18">
        <v>108960.84</v>
      </c>
      <c r="K592" s="104">
        <f t="shared" si="48"/>
        <v>169101.86</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45715</v>
      </c>
      <c r="K593" s="104">
        <f t="shared" si="48"/>
        <v>45715</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f>1342.91+18.78+80.31+152.83+4.03+29.12</f>
        <v>1627.9799999999998</v>
      </c>
      <c r="K594" s="104">
        <f t="shared" si="48"/>
        <v>1627.9799999999998</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534303.5</v>
      </c>
      <c r="I598" s="108">
        <f>SUM(I591:I597)</f>
        <v>325596.03000000003</v>
      </c>
      <c r="J598" s="108">
        <f>SUM(J591:J597)</f>
        <v>468189.03</v>
      </c>
      <c r="K598" s="108">
        <f>SUM(K591:K597)</f>
        <v>1328088.56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530407.46</v>
      </c>
      <c r="I604" s="18">
        <v>209544.04</v>
      </c>
      <c r="J604" s="18">
        <v>288760.78000000003</v>
      </c>
      <c r="K604" s="104">
        <f>SUM(H604:J604)</f>
        <v>1028712.28</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530407.46</v>
      </c>
      <c r="I605" s="108">
        <f>SUM(I602:I604)</f>
        <v>209544.04</v>
      </c>
      <c r="J605" s="108">
        <f>SUM(J602:J604)</f>
        <v>288760.78000000003</v>
      </c>
      <c r="K605" s="108">
        <f>SUM(K602:K604)</f>
        <v>1028712.28</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23020.01</v>
      </c>
      <c r="G611" s="18">
        <v>3804.02</v>
      </c>
      <c r="H611" s="18">
        <v>0</v>
      </c>
      <c r="I611" s="18">
        <v>0</v>
      </c>
      <c r="J611" s="18">
        <v>0</v>
      </c>
      <c r="K611" s="18">
        <v>0</v>
      </c>
      <c r="L611" s="88">
        <f>SUM(F611:K611)</f>
        <v>26824.03</v>
      </c>
      <c r="M611" s="8"/>
      <c r="N611" s="266"/>
    </row>
    <row r="612" spans="1:14" s="3" customFormat="1" ht="12.2" customHeight="1" x14ac:dyDescent="0.15">
      <c r="A612" s="22" t="s">
        <v>634</v>
      </c>
      <c r="B612" s="75">
        <v>23</v>
      </c>
      <c r="C612" s="75">
        <v>14</v>
      </c>
      <c r="D612" s="2" t="s">
        <v>432</v>
      </c>
      <c r="E612" s="75"/>
      <c r="F612" s="18">
        <v>11574.694698000001</v>
      </c>
      <c r="G612" s="18">
        <v>1912.7023639999998</v>
      </c>
      <c r="H612" s="18">
        <v>0</v>
      </c>
      <c r="I612" s="18">
        <v>0</v>
      </c>
      <c r="J612" s="18">
        <v>0</v>
      </c>
      <c r="K612" s="18">
        <v>0</v>
      </c>
      <c r="L612" s="88">
        <f>SUM(F612:K612)</f>
        <v>13487.397062</v>
      </c>
      <c r="M612" s="8"/>
      <c r="N612" s="266"/>
    </row>
    <row r="613" spans="1:14" s="3" customFormat="1" ht="12.2" customHeight="1" thickBot="1" x14ac:dyDescent="0.2">
      <c r="A613" s="22" t="s">
        <v>645</v>
      </c>
      <c r="B613" s="75">
        <v>23</v>
      </c>
      <c r="C613" s="75">
        <v>15</v>
      </c>
      <c r="D613" s="2" t="s">
        <v>432</v>
      </c>
      <c r="E613" s="75"/>
      <c r="F613" s="18">
        <v>15167.525302000004</v>
      </c>
      <c r="G613" s="18">
        <v>2506.4176359999992</v>
      </c>
      <c r="H613" s="18">
        <v>0</v>
      </c>
      <c r="I613" s="18">
        <v>0</v>
      </c>
      <c r="J613" s="18">
        <v>0</v>
      </c>
      <c r="K613" s="18">
        <v>0</v>
      </c>
      <c r="L613" s="88">
        <f>SUM(F613:K613)</f>
        <v>17673.942938000004</v>
      </c>
      <c r="M613" s="8"/>
      <c r="N613" s="266"/>
    </row>
    <row r="614" spans="1:14" s="3" customFormat="1" ht="12.2" customHeight="1" thickTop="1" x14ac:dyDescent="0.15">
      <c r="A614" s="98" t="s">
        <v>340</v>
      </c>
      <c r="B614" s="107">
        <v>23</v>
      </c>
      <c r="C614" s="107">
        <v>16</v>
      </c>
      <c r="D614" s="39" t="s">
        <v>432</v>
      </c>
      <c r="E614" s="107"/>
      <c r="F614" s="108">
        <f t="shared" ref="F614:L614" si="49">SUM(F611:F613)</f>
        <v>49762.23</v>
      </c>
      <c r="G614" s="108">
        <f t="shared" si="49"/>
        <v>8223.14</v>
      </c>
      <c r="H614" s="108">
        <f t="shared" si="49"/>
        <v>0</v>
      </c>
      <c r="I614" s="108">
        <f t="shared" si="49"/>
        <v>0</v>
      </c>
      <c r="J614" s="108">
        <f t="shared" si="49"/>
        <v>0</v>
      </c>
      <c r="K614" s="108">
        <f t="shared" si="49"/>
        <v>0</v>
      </c>
      <c r="L614" s="89">
        <f t="shared" si="49"/>
        <v>57985.37000000001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308752.58999999991</v>
      </c>
      <c r="H617" s="109">
        <f>SUM(F52)</f>
        <v>308752.58999999985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11099.3</v>
      </c>
      <c r="H618" s="109">
        <f>SUM(G52)</f>
        <v>11099.299999999988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307336.46000000002</v>
      </c>
      <c r="H619" s="109">
        <f>SUM(H52)</f>
        <v>307336.4600000002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477588.74</v>
      </c>
      <c r="H620" s="109">
        <f>SUM(I52)</f>
        <v>477588.74</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6813165.1200000001</v>
      </c>
      <c r="H621" s="109">
        <f>SUM(J52)</f>
        <v>6813165.1200000001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1457414.7999999998</v>
      </c>
      <c r="H622" s="109">
        <f>F476</f>
        <v>1457414.799999997</v>
      </c>
      <c r="I622" s="121" t="s">
        <v>101</v>
      </c>
      <c r="J622" s="109">
        <f t="shared" ref="J622:J655" si="50">G622-H622</f>
        <v>2.7939677238464355E-9</v>
      </c>
      <c r="K622" s="109"/>
      <c r="L622" s="109"/>
      <c r="M622" s="8"/>
    </row>
    <row r="623" spans="1:14" s="3" customFormat="1" ht="12.2" customHeight="1" x14ac:dyDescent="0.15">
      <c r="A623" s="97"/>
      <c r="B623" s="105"/>
      <c r="C623" s="119"/>
      <c r="D623" s="119"/>
      <c r="E623" s="119"/>
      <c r="F623" s="119" t="s">
        <v>866</v>
      </c>
      <c r="G623" s="109">
        <f>G51</f>
        <v>-195974.98</v>
      </c>
      <c r="H623" s="109">
        <f>G476</f>
        <v>-195974.97999999998</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-635545.23999999987</v>
      </c>
      <c r="H624" s="109">
        <f>H476</f>
        <v>-635545.24000000022</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477588.74</v>
      </c>
      <c r="H625" s="109">
        <f>I476</f>
        <v>477588.74</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6813165.1200000001</v>
      </c>
      <c r="H626" s="109">
        <f>J476</f>
        <v>6813165.1200000001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32486278.449999999</v>
      </c>
      <c r="H627" s="104">
        <f>SUM(F468)</f>
        <v>32486278.449999999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402813.60000000003</v>
      </c>
      <c r="H628" s="104">
        <f>SUM(G468)</f>
        <v>402813.6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1917995.8900000001</v>
      </c>
      <c r="H629" s="104">
        <f>SUM(H468)</f>
        <v>1917995.89</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466301.35999999993</v>
      </c>
      <c r="H631" s="104">
        <f>SUM(J468)</f>
        <v>466301.36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31658143.629999999</v>
      </c>
      <c r="H632" s="104">
        <f>SUM(F472)</f>
        <v>31658143.629999999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2619006.2700000005</v>
      </c>
      <c r="H633" s="104">
        <f>SUM(H472)</f>
        <v>2619006.27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624545.73</v>
      </c>
      <c r="H635" s="104">
        <f>SUM(G472)</f>
        <v>624545.73</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466301.36</v>
      </c>
      <c r="H637" s="164">
        <f>SUM(J468)</f>
        <v>466301.36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152861.57999999999</v>
      </c>
      <c r="H638" s="164">
        <f>SUM(J472)</f>
        <v>152861.57999999999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32517</v>
      </c>
      <c r="H639" s="104">
        <f>SUM(F461)</f>
        <v>32517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6780648.1200000001</v>
      </c>
      <c r="H640" s="104">
        <f>SUM(G461)</f>
        <v>6780648.1200000001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6813165.1200000001</v>
      </c>
      <c r="H642" s="104">
        <f>SUM(I461)</f>
        <v>6813165.1200000001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466301.35999999993</v>
      </c>
      <c r="H644" s="104">
        <f>H408</f>
        <v>466301.36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466301.35999999993</v>
      </c>
      <c r="H646" s="104">
        <f>L408</f>
        <v>466301.36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1328088.56</v>
      </c>
      <c r="H647" s="104">
        <f>L208+L226+L244</f>
        <v>1328088.56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1028712.28</v>
      </c>
      <c r="H648" s="104">
        <f>(J257+J338)-(J255+J336)</f>
        <v>1028712.28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534303.5</v>
      </c>
      <c r="H649" s="104">
        <f>H598</f>
        <v>534303.5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325596.03000000009</v>
      </c>
      <c r="H650" s="104">
        <f>I598</f>
        <v>325596.03000000003</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468189.03</v>
      </c>
      <c r="H651" s="104">
        <f>J598</f>
        <v>468189.03</v>
      </c>
      <c r="I651" s="140" t="s">
        <v>390</v>
      </c>
      <c r="J651" s="109">
        <f t="shared" si="50"/>
        <v>0</v>
      </c>
      <c r="K651" s="85">
        <f>J651+J650+J649</f>
        <v>0</v>
      </c>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65000</v>
      </c>
      <c r="H653" s="104">
        <f>K264</f>
        <v>65000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15017201.719999999</v>
      </c>
      <c r="G660" s="19">
        <f>(L229+L309+L359)</f>
        <v>7018888.2800000012</v>
      </c>
      <c r="H660" s="19">
        <f>(L247+L328+L360)</f>
        <v>11302832.069999998</v>
      </c>
      <c r="I660" s="19">
        <f>SUM(F660:H660)</f>
        <v>33338922.07</v>
      </c>
      <c r="J660" s="13"/>
      <c r="K660" s="13"/>
      <c r="L660" s="13"/>
      <c r="M660" s="9"/>
    </row>
    <row r="661" spans="1:13" s="3" customFormat="1" ht="12.2" customHeight="1" x14ac:dyDescent="0.2">
      <c r="A661" s="1" t="s">
        <v>127</v>
      </c>
      <c r="F661" s="19">
        <f>(L358/IF(SUM(L358:L360)=0,1,SUM(L358:L360))*(SUM(G97:G110)))</f>
        <v>84093.373071730399</v>
      </c>
      <c r="G661" s="19">
        <f>(L359/IF(SUM(L358:L360)=0,1,SUM(L358:L360))*(SUM(G97:G110)))</f>
        <v>31979.471809912786</v>
      </c>
      <c r="H661" s="19">
        <f>(L360/IF(SUM(L358:L360)=0,1,SUM(L358:L360))*(SUM(G97:G110)))</f>
        <v>29930.935118356825</v>
      </c>
      <c r="I661" s="19">
        <f>SUM(F661:H661)</f>
        <v>146003.78000000003</v>
      </c>
      <c r="J661"/>
      <c r="K661" s="13"/>
      <c r="L661" s="13"/>
      <c r="M661" s="9"/>
    </row>
    <row r="662" spans="1:13" s="3" customFormat="1" ht="12.2" customHeight="1" x14ac:dyDescent="0.2">
      <c r="A662" s="1" t="s">
        <v>128</v>
      </c>
      <c r="F662" s="19">
        <f>(L208+L287)-(J208+J287)</f>
        <v>502351.78</v>
      </c>
      <c r="G662" s="19">
        <f>(L226+L306)-(J226+J306)</f>
        <v>309530.38000000006</v>
      </c>
      <c r="H662" s="19">
        <f>(L244+L325)-(J244+J325)</f>
        <v>447136.53</v>
      </c>
      <c r="I662" s="19">
        <f>SUM(F662:H662)</f>
        <v>1259018.6900000002</v>
      </c>
      <c r="J662"/>
      <c r="K662" s="13"/>
      <c r="L662" s="13"/>
      <c r="M662" s="8"/>
    </row>
    <row r="663" spans="1:13" s="3" customFormat="1" ht="12.2" customHeight="1" x14ac:dyDescent="0.15">
      <c r="A663" s="198" t="s">
        <v>129</v>
      </c>
      <c r="B663" s="169"/>
      <c r="C663" s="169"/>
      <c r="D663" s="169"/>
      <c r="E663" s="169"/>
      <c r="F663" s="199">
        <f>SUM(F575:F587)+SUM(H602:H604)+SUM(L611)</f>
        <v>1036603.03</v>
      </c>
      <c r="G663" s="199">
        <f>SUM(G575:G587)+SUM(I602:I604)+L612</f>
        <v>951356.03706200002</v>
      </c>
      <c r="H663" s="199">
        <f>SUM(H575:H587)+SUM(J602:J604)+L613</f>
        <v>1331691.732938</v>
      </c>
      <c r="I663" s="19">
        <f>SUM(F663:H663)</f>
        <v>3319650.8</v>
      </c>
      <c r="J663" s="13"/>
      <c r="K663" s="13"/>
      <c r="L663" s="13"/>
      <c r="M663" s="9"/>
    </row>
    <row r="664" spans="1:13" s="3" customFormat="1" ht="12.2" customHeight="1" x14ac:dyDescent="0.15">
      <c r="A664" s="1" t="s">
        <v>130</v>
      </c>
      <c r="F664" s="19">
        <f>F660-SUM(F661:F663)</f>
        <v>13394153.536928268</v>
      </c>
      <c r="G664" s="19">
        <f>G660-SUM(G661:G663)</f>
        <v>5726022.3911280883</v>
      </c>
      <c r="H664" s="19">
        <f>H660-SUM(H661:H663)</f>
        <v>9494072.8719436415</v>
      </c>
      <c r="I664" s="19">
        <f>I660-SUM(I661:I663)</f>
        <v>28614248.800000001</v>
      </c>
      <c r="J664" s="13"/>
      <c r="K664" s="13"/>
      <c r="L664" s="13"/>
      <c r="M664" s="9"/>
    </row>
    <row r="665" spans="1:13" s="3" customFormat="1" ht="12.2" customHeight="1" x14ac:dyDescent="0.2">
      <c r="A665" s="1" t="s">
        <v>131</v>
      </c>
      <c r="F665" s="246">
        <v>791.74</v>
      </c>
      <c r="G665" s="247">
        <v>398.17</v>
      </c>
      <c r="H665" s="247">
        <v>521.83000000000004</v>
      </c>
      <c r="I665" s="19">
        <f>SUM(F665:H665)</f>
        <v>1711.7400000000002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16917.36</v>
      </c>
      <c r="G667" s="19">
        <f>ROUND(G664/G665,2)</f>
        <v>14380.85</v>
      </c>
      <c r="H667" s="19">
        <f>ROUND(H664/H665,2)</f>
        <v>18193.8</v>
      </c>
      <c r="I667" s="19">
        <f>ROUND(I664/I665,2)</f>
        <v>16716.47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-3.89</v>
      </c>
      <c r="I670" s="19">
        <f>SUM(F670:H670)</f>
        <v>-3.89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16917.36</v>
      </c>
      <c r="G672" s="19">
        <f>ROUND((G664+G669)/(G665+G670),2)</f>
        <v>14380.85</v>
      </c>
      <c r="H672" s="19">
        <f>ROUND((H664+H669)/(H665+H670),2)</f>
        <v>18330.45</v>
      </c>
      <c r="I672" s="19">
        <f>ROUND((I664+I669)/(I665+I670),2)</f>
        <v>16754.54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algorithmName="SHA-512" hashValue="5/X3L0EgCoDSewl4dVsZmdwMf5KLqGS6PlzeRgiLUozReHW/jeTJB/MMHoCuDTY8vfQen2xFvHz/UTQ2kuZCng==" saltValue="/lC04mKk8fwo5LQSADIYfA==" spinCount="100000"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Set="0"/>
  <pageMargins left="0.3" right="0.3" top="0.75" bottom="0.5" header="0.5" footer="0.5"/>
  <pageSetup scale="90" orientation="landscape" horizontalDpi="300" verticalDpi="300"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showGridLines="0" topLeftCell="A19" zoomScale="125" zoomScaleNormal="125" workbookViewId="0">
      <selection activeCell="B28" sqref="B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Claremont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6696808.46</v>
      </c>
      <c r="C9" s="229">
        <f>'DOE25'!G197+'DOE25'!G215+'DOE25'!G233+'DOE25'!G276+'DOE25'!G295+'DOE25'!G314</f>
        <v>3810733.3200000003</v>
      </c>
    </row>
    <row r="10" spans="1:3" x14ac:dyDescent="0.2">
      <c r="A10" t="s">
        <v>775</v>
      </c>
      <c r="B10" s="240">
        <v>5632105.8600000003</v>
      </c>
      <c r="C10" s="240">
        <f>ROUND(B10/B9*$C$9,2)</f>
        <v>3204877.9</v>
      </c>
    </row>
    <row r="11" spans="1:3" x14ac:dyDescent="0.2">
      <c r="A11" t="s">
        <v>776</v>
      </c>
      <c r="B11" s="240">
        <v>122517.29</v>
      </c>
      <c r="C11" s="240">
        <f>ROUND(B11/B9*$C$9,2)</f>
        <v>69716.899999999994</v>
      </c>
    </row>
    <row r="12" spans="1:3" x14ac:dyDescent="0.2">
      <c r="A12" t="s">
        <v>777</v>
      </c>
      <c r="B12" s="240">
        <f>B9-B10-B11</f>
        <v>942185.30999999959</v>
      </c>
      <c r="C12" s="240">
        <f>ROUND(B12/B9*C9,2)</f>
        <v>536138.52</v>
      </c>
    </row>
    <row r="13" spans="1:3" x14ac:dyDescent="0.2">
      <c r="A13" t="str">
        <f>IF(B9=B13,IF(C9=C13,"Check Total OK","Check Total Error"),"Check Total Error")</f>
        <v>Check Total OK</v>
      </c>
      <c r="B13" s="231">
        <f>SUM(B10:B12)</f>
        <v>6696808.46</v>
      </c>
      <c r="C13" s="231">
        <f>SUM(C10:C12)</f>
        <v>3810733.32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3519553.7199999997</v>
      </c>
      <c r="C18" s="229">
        <f>'DOE25'!G198+'DOE25'!G216+'DOE25'!G234+'DOE25'!G277+'DOE25'!G296+'DOE25'!G315</f>
        <v>1473676</v>
      </c>
    </row>
    <row r="19" spans="1:3" x14ac:dyDescent="0.2">
      <c r="A19" t="s">
        <v>775</v>
      </c>
      <c r="B19" s="240">
        <v>1452925.86</v>
      </c>
      <c r="C19" s="240">
        <f>ROUND(B19/B18*$C$18,2)</f>
        <v>608356.1</v>
      </c>
    </row>
    <row r="20" spans="1:3" x14ac:dyDescent="0.2">
      <c r="A20" t="s">
        <v>776</v>
      </c>
      <c r="B20" s="240">
        <v>1700072.89</v>
      </c>
      <c r="C20" s="240">
        <f>ROUND(B20/B18*$C$18,2)</f>
        <v>711839.29</v>
      </c>
    </row>
    <row r="21" spans="1:3" x14ac:dyDescent="0.2">
      <c r="A21" t="s">
        <v>777</v>
      </c>
      <c r="B21" s="240">
        <f>B18-B19-B20</f>
        <v>366554.96999999974</v>
      </c>
      <c r="C21" s="240">
        <f>ROUND(B21/B18*$C$18,2)</f>
        <v>153480.60999999999</v>
      </c>
    </row>
    <row r="22" spans="1:3" x14ac:dyDescent="0.2">
      <c r="A22" t="str">
        <f>IF(B18=B22,IF(C18=C22,"Check Total OK","Check Total Error"),"Check Total Error")</f>
        <v>Check Total OK</v>
      </c>
      <c r="B22" s="231">
        <f>SUM(B19:B21)</f>
        <v>3519553.7199999997</v>
      </c>
      <c r="C22" s="231">
        <f>SUM(C19:C21)</f>
        <v>1473676</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414974.89</v>
      </c>
      <c r="C27" s="234">
        <f>'DOE25'!G199+'DOE25'!G217+'DOE25'!G235+'DOE25'!G278+'DOE25'!G297+'DOE25'!G316</f>
        <v>246498.03</v>
      </c>
    </row>
    <row r="28" spans="1:3" x14ac:dyDescent="0.2">
      <c r="A28" t="s">
        <v>775</v>
      </c>
      <c r="B28" s="240">
        <v>411824.89</v>
      </c>
      <c r="C28" s="240">
        <f>ROUND(B28/$B$27*$C$27,2)</f>
        <v>244626.91</v>
      </c>
    </row>
    <row r="29" spans="1:3" x14ac:dyDescent="0.2">
      <c r="A29" t="s">
        <v>776</v>
      </c>
      <c r="B29" s="240">
        <v>0</v>
      </c>
      <c r="C29" s="240">
        <f>ROUND(B29/$B$27*$C$27,2)</f>
        <v>0</v>
      </c>
    </row>
    <row r="30" spans="1:3" x14ac:dyDescent="0.2">
      <c r="A30" t="s">
        <v>777</v>
      </c>
      <c r="B30" s="240">
        <f>B27-B28-B29</f>
        <v>3150</v>
      </c>
      <c r="C30" s="240">
        <f>ROUND(B30/$B$27*$C$27,2)</f>
        <v>1871.12</v>
      </c>
    </row>
    <row r="31" spans="1:3" x14ac:dyDescent="0.2">
      <c r="A31" t="str">
        <f>IF(B27=B31,IF(C27=C31,"Check Total OK","Check Total Error"),"Check Total Error")</f>
        <v>Check Total OK</v>
      </c>
      <c r="B31" s="231">
        <f>SUM(B28:B30)</f>
        <v>414974.89</v>
      </c>
      <c r="C31" s="231">
        <f>SUM(C28:C30)</f>
        <v>246498.03</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279768.07</v>
      </c>
      <c r="C36" s="235">
        <f>'DOE25'!G200+'DOE25'!G218+'DOE25'!G236+'DOE25'!G279+'DOE25'!G298+'DOE25'!G317</f>
        <v>72747.62</v>
      </c>
    </row>
    <row r="37" spans="1:3" x14ac:dyDescent="0.2">
      <c r="A37" t="s">
        <v>775</v>
      </c>
      <c r="B37" s="240">
        <v>8555.2800000000007</v>
      </c>
      <c r="C37" s="240">
        <f>ROUND(B37/$B$36*$C$36,2)</f>
        <v>2224.62</v>
      </c>
    </row>
    <row r="38" spans="1:3" x14ac:dyDescent="0.2">
      <c r="A38" t="s">
        <v>776</v>
      </c>
      <c r="B38" s="240">
        <v>0</v>
      </c>
      <c r="C38" s="240">
        <f>ROUND(B38/$B$36*$C$36,2)</f>
        <v>0</v>
      </c>
    </row>
    <row r="39" spans="1:3" x14ac:dyDescent="0.2">
      <c r="A39" t="s">
        <v>777</v>
      </c>
      <c r="B39" s="240">
        <f>B36-B37-B38</f>
        <v>271212.78999999998</v>
      </c>
      <c r="C39" s="240">
        <f>ROUND(B39/$B$36*$C$36,2)</f>
        <v>70523</v>
      </c>
    </row>
    <row r="40" spans="1:3" x14ac:dyDescent="0.2">
      <c r="A40" t="str">
        <f>IF(B36=B40,IF(C36=C40,"Check Total OK","Check Total Error"),"Check Total Error")</f>
        <v>Check Total OK</v>
      </c>
      <c r="B40" s="231">
        <f>SUM(B37:B39)</f>
        <v>279768.07</v>
      </c>
      <c r="C40" s="231">
        <f>SUM(C37:C39)</f>
        <v>72747.62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25" zoomScaleNormal="125" workbookViewId="0">
      <pane ySplit="4" topLeftCell="A11" activePane="bottomLeft" state="frozen"/>
      <selection activeCell="F46" sqref="F46"/>
      <selection pane="bottomLeft" activeCell="L27" sqref="L27:M32"/>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Claremont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19169834.759999998</v>
      </c>
      <c r="D5" s="20">
        <f>SUM('DOE25'!L197:L200)+SUM('DOE25'!L215:L218)+SUM('DOE25'!L233:L236)-F5-G5-H5</f>
        <v>19121378.219999995</v>
      </c>
      <c r="E5" s="243"/>
      <c r="F5" s="244"/>
      <c r="G5" s="53">
        <f>SUM('DOE25'!J197:J200)+SUM('DOE25'!J215:J218)+SUM('DOE25'!J233:J236)</f>
        <v>13256.19</v>
      </c>
      <c r="H5" s="53">
        <f>SUM('DOE25'!K197:K200)+SUM('DOE25'!K215:K218)+SUM('DOE25'!K233:K236)</f>
        <v>35200.35</v>
      </c>
      <c r="I5" s="256"/>
    </row>
    <row r="6" spans="1:9" x14ac:dyDescent="0.2">
      <c r="A6" s="32">
        <v>2100</v>
      </c>
      <c r="B6" t="s">
        <v>796</v>
      </c>
      <c r="C6" s="276">
        <f t="shared" si="0"/>
        <v>1525872</v>
      </c>
      <c r="D6" s="20">
        <f>'DOE25'!L202+'DOE25'!L220+'DOE25'!L238-F6-G6-H6</f>
        <v>1523767.01</v>
      </c>
      <c r="E6" s="243"/>
      <c r="F6" s="244"/>
      <c r="G6" s="53">
        <f>'DOE25'!J202+'DOE25'!J220+'DOE25'!J238</f>
        <v>1115.99</v>
      </c>
      <c r="H6" s="53">
        <f>'DOE25'!K202+'DOE25'!K220+'DOE25'!K238</f>
        <v>989</v>
      </c>
      <c r="I6" s="256"/>
    </row>
    <row r="7" spans="1:9" x14ac:dyDescent="0.2">
      <c r="A7" s="32">
        <v>2200</v>
      </c>
      <c r="B7" t="s">
        <v>821</v>
      </c>
      <c r="C7" s="276">
        <f t="shared" si="0"/>
        <v>1563882.3399999999</v>
      </c>
      <c r="D7" s="20">
        <f>'DOE25'!L203+'DOE25'!L221+'DOE25'!L239-F7-G7-H7</f>
        <v>692813.86999999988</v>
      </c>
      <c r="E7" s="243"/>
      <c r="F7" s="244"/>
      <c r="G7" s="53">
        <f>'DOE25'!J203+'DOE25'!J221+'DOE25'!J239</f>
        <v>871068.47</v>
      </c>
      <c r="H7" s="53">
        <f>'DOE25'!K203+'DOE25'!K221+'DOE25'!K239</f>
        <v>0</v>
      </c>
      <c r="I7" s="256"/>
    </row>
    <row r="8" spans="1:9" x14ac:dyDescent="0.2">
      <c r="A8" s="32">
        <v>2300</v>
      </c>
      <c r="B8" t="s">
        <v>797</v>
      </c>
      <c r="C8" s="276">
        <f t="shared" si="0"/>
        <v>1124988.9499999997</v>
      </c>
      <c r="D8" s="243"/>
      <c r="E8" s="20">
        <f>'DOE25'!L204+'DOE25'!L222+'DOE25'!L240-F8-G8-H8-D9-D11</f>
        <v>1101629.1399999997</v>
      </c>
      <c r="F8" s="244"/>
      <c r="G8" s="53">
        <f>'DOE25'!J204+'DOE25'!J222+'DOE25'!J240</f>
        <v>0</v>
      </c>
      <c r="H8" s="53">
        <f>'DOE25'!K204+'DOE25'!K222+'DOE25'!K240</f>
        <v>23359.81</v>
      </c>
      <c r="I8" s="256"/>
    </row>
    <row r="9" spans="1:9" ht="14.25" x14ac:dyDescent="0.2">
      <c r="A9" s="32">
        <v>2310</v>
      </c>
      <c r="B9" s="185" t="s">
        <v>890</v>
      </c>
      <c r="C9" s="276">
        <f t="shared" si="0"/>
        <v>171612.29</v>
      </c>
      <c r="D9" s="244">
        <v>171612.29</v>
      </c>
      <c r="E9" s="243"/>
      <c r="F9" s="253"/>
      <c r="G9" s="253"/>
      <c r="H9" s="253"/>
      <c r="I9" s="256"/>
    </row>
    <row r="10" spans="1:9" ht="14.25" x14ac:dyDescent="0.2">
      <c r="A10" s="32">
        <v>2317</v>
      </c>
      <c r="B10" s="185" t="s">
        <v>891</v>
      </c>
      <c r="C10" s="276">
        <f t="shared" si="0"/>
        <v>42892.5</v>
      </c>
      <c r="D10" s="243"/>
      <c r="E10" s="244">
        <v>42892.5</v>
      </c>
      <c r="F10" s="253"/>
      <c r="G10" s="253"/>
      <c r="H10" s="253"/>
      <c r="I10" s="256"/>
    </row>
    <row r="11" spans="1:9" ht="14.25" x14ac:dyDescent="0.2">
      <c r="A11" s="32">
        <v>2321</v>
      </c>
      <c r="B11" s="185" t="s">
        <v>892</v>
      </c>
      <c r="C11" s="276">
        <f t="shared" si="0"/>
        <v>486406</v>
      </c>
      <c r="D11" s="244">
        <v>486406</v>
      </c>
      <c r="E11" s="243"/>
      <c r="F11" s="253"/>
      <c r="G11" s="253"/>
      <c r="H11" s="253"/>
      <c r="I11" s="256"/>
    </row>
    <row r="12" spans="1:9" x14ac:dyDescent="0.2">
      <c r="A12" s="32">
        <v>2400</v>
      </c>
      <c r="B12" t="s">
        <v>711</v>
      </c>
      <c r="C12" s="276">
        <f t="shared" si="0"/>
        <v>2422873.08</v>
      </c>
      <c r="D12" s="20">
        <f>'DOE25'!L205+'DOE25'!L223+'DOE25'!L241-F12-G12-H12</f>
        <v>2409445.2800000003</v>
      </c>
      <c r="E12" s="243"/>
      <c r="F12" s="244"/>
      <c r="G12" s="53">
        <f>'DOE25'!J205+'DOE25'!J223+'DOE25'!J241</f>
        <v>89.78</v>
      </c>
      <c r="H12" s="53">
        <f>'DOE25'!K205+'DOE25'!K223+'DOE25'!K241</f>
        <v>13338.02</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2400747.8899999997</v>
      </c>
      <c r="D14" s="20">
        <f>'DOE25'!L207+'DOE25'!L225+'DOE25'!L243-F14-G14-H14</f>
        <v>2396909.8899999997</v>
      </c>
      <c r="E14" s="243"/>
      <c r="F14" s="244"/>
      <c r="G14" s="53">
        <f>'DOE25'!J207+'DOE25'!J225+'DOE25'!J243</f>
        <v>3838</v>
      </c>
      <c r="H14" s="53">
        <f>'DOE25'!K207+'DOE25'!K225+'DOE25'!K243</f>
        <v>0</v>
      </c>
      <c r="I14" s="256"/>
    </row>
    <row r="15" spans="1:9" x14ac:dyDescent="0.2">
      <c r="A15" s="32">
        <v>2700</v>
      </c>
      <c r="B15" t="s">
        <v>799</v>
      </c>
      <c r="C15" s="276">
        <f t="shared" si="0"/>
        <v>1328088.56</v>
      </c>
      <c r="D15" s="20">
        <f>'DOE25'!L208+'DOE25'!L226+'DOE25'!L244-F15-G15-H15</f>
        <v>1258893.69</v>
      </c>
      <c r="E15" s="243"/>
      <c r="F15" s="244"/>
      <c r="G15" s="53">
        <f>'DOE25'!J208+'DOE25'!J226+'DOE25'!J244</f>
        <v>69069.87</v>
      </c>
      <c r="H15" s="53">
        <f>'DOE25'!K208+'DOE25'!K226+'DOE25'!K244</f>
        <v>125</v>
      </c>
      <c r="I15" s="256"/>
    </row>
    <row r="16" spans="1:9" x14ac:dyDescent="0.2">
      <c r="A16" s="32">
        <v>2800</v>
      </c>
      <c r="B16" t="s">
        <v>800</v>
      </c>
      <c r="C16" s="276">
        <f t="shared" si="0"/>
        <v>49934.709999999992</v>
      </c>
      <c r="D16" s="243"/>
      <c r="E16" s="20">
        <f>'DOE25'!L209+'DOE25'!L227+'DOE25'!L245-F16-G16-H16</f>
        <v>49934.709999999992</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1348903.0499999998</v>
      </c>
      <c r="D25" s="243"/>
      <c r="E25" s="243"/>
      <c r="F25" s="255"/>
      <c r="G25" s="253"/>
      <c r="H25" s="253"/>
      <c r="I25" s="254">
        <f>'DOE25'!L260+'DOE25'!L261+'DOE25'!L341+'DOE25'!L342</f>
        <v>1348903.0499999998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624545.73</v>
      </c>
      <c r="D29" s="284">
        <f>'DOE25'!L358+'DOE25'!L359+'DOE25'!L360-'DOE25'!I367-F29-G29-H29</f>
        <v>624545.73</v>
      </c>
      <c r="E29" s="243"/>
      <c r="F29" s="244">
        <v>0</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2619006.2700000005</v>
      </c>
      <c r="D31" s="20">
        <f>'DOE25'!L290+'DOE25'!L309+'DOE25'!L328+'DOE25'!L333+'DOE25'!L334+'DOE25'!L335-F31-G31-H31</f>
        <v>2473430.3500000006</v>
      </c>
      <c r="E31" s="243"/>
      <c r="F31" s="244">
        <v>0</v>
      </c>
      <c r="G31" s="53">
        <f>'DOE25'!J290+'DOE25'!J309+'DOE25'!J328+'DOE25'!J333+'DOE25'!J334+'DOE25'!J335</f>
        <v>70273.98000000001</v>
      </c>
      <c r="H31" s="53">
        <f>'DOE25'!K290+'DOE25'!K309+'DOE25'!K328+'DOE25'!K333+'DOE25'!K334+'DOE25'!K335</f>
        <v>75301.94</v>
      </c>
      <c r="I31" s="256"/>
    </row>
    <row r="32" spans="1:9" ht="12" thickBot="1" x14ac:dyDescent="0.25">
      <c r="C32" s="277"/>
      <c r="G32" s="251"/>
      <c r="H32" s="251"/>
      <c r="I32" s="258"/>
    </row>
    <row r="33" spans="1:9" ht="12" thickTop="1" x14ac:dyDescent="0.2">
      <c r="B33" t="s">
        <v>809</v>
      </c>
      <c r="D33" s="245">
        <f t="shared" ref="D33:I33" si="1">SUM(D5:D31)</f>
        <v>31159202.330000002</v>
      </c>
      <c r="E33" s="245">
        <f t="shared" si="1"/>
        <v>1194456.3499999996</v>
      </c>
      <c r="F33" s="245">
        <f t="shared" si="1"/>
        <v>0</v>
      </c>
      <c r="G33" s="245">
        <f t="shared" si="1"/>
        <v>1028712.28</v>
      </c>
      <c r="H33" s="245">
        <f t="shared" si="1"/>
        <v>148314.12</v>
      </c>
      <c r="I33" s="245">
        <f t="shared" si="1"/>
        <v>1348903.0499999998</v>
      </c>
    </row>
    <row r="35" spans="1:9" ht="12" thickBot="1" x14ac:dyDescent="0.25">
      <c r="B35" s="251" t="s">
        <v>831</v>
      </c>
      <c r="D35" s="252">
        <f>E33</f>
        <v>1194456.3499999996</v>
      </c>
      <c r="E35" s="248"/>
    </row>
    <row r="36" spans="1:9" ht="12" thickTop="1" x14ac:dyDescent="0.2">
      <c r="B36" t="s">
        <v>810</v>
      </c>
      <c r="D36" s="20">
        <f>D33</f>
        <v>31159202.330000002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showGridLines="0" topLeftCell="A16" zoomScaleNormal="100" workbookViewId="0">
      <selection activeCell="E8" sqref="E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Claremont School District</v>
      </c>
      <c r="B2" s="126">
        <f>'DOE25'!B2</f>
        <v>0</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14657483.93</v>
      </c>
      <c r="G4" s="303">
        <f>'DOE25'!L211+'DOE25'!L290</f>
        <v>14657483.93</v>
      </c>
      <c r="H4" s="304">
        <f>F4-G4</f>
        <v>0</v>
      </c>
      <c r="I4" s="310" t="str">
        <f>IF(H4=0,"","Does not match DOE25 page 7 and 11 Totals!!")</f>
        <v/>
      </c>
      <c r="N4"/>
    </row>
    <row r="5" spans="1:18" x14ac:dyDescent="0.2">
      <c r="A5" s="21" t="s">
        <v>978</v>
      </c>
      <c r="B5" s="305">
        <f>IFERROR(VLOOKUP(A5,'School Tables'!$C$3:$D$368,2,FALSE),"")</f>
        <v>20145</v>
      </c>
      <c r="C5" s="297" t="str">
        <f>IFERROR(INDEX('School Tables'!$B$3:$B$368,MATCH('School Level Expenditures'!B5,'School Tables'!$D$3:$D$368,0)),"")</f>
        <v>Claremont</v>
      </c>
      <c r="D5" s="294">
        <v>3100089.69</v>
      </c>
      <c r="E5" s="294">
        <v>495391.12</v>
      </c>
      <c r="F5" s="313">
        <f>D5+E5</f>
        <v>3595480.81</v>
      </c>
      <c r="G5" s="297"/>
      <c r="H5" s="297"/>
      <c r="I5" s="126"/>
      <c r="N5"/>
    </row>
    <row r="6" spans="1:18" x14ac:dyDescent="0.2">
      <c r="A6" s="21" t="s">
        <v>980</v>
      </c>
      <c r="B6" s="305">
        <f>IFERROR(VLOOKUP(A6,'School Tables'!$C$3:$D$368,2,FALSE),"")</f>
        <v>20165</v>
      </c>
      <c r="C6" s="297" t="str">
        <f>IFERROR(INDEX('School Tables'!$B$3:$B$368,MATCH('School Level Expenditures'!B6,'School Tables'!$D$3:$D$368,0)),"")</f>
        <v>Claremont</v>
      </c>
      <c r="D6" s="294">
        <v>4708901.01</v>
      </c>
      <c r="E6" s="294">
        <v>752477.5</v>
      </c>
      <c r="F6" s="308">
        <f t="shared" ref="F6:F20" si="0">D6+E6</f>
        <v>5461378.5099999998</v>
      </c>
      <c r="G6" s="297"/>
      <c r="H6" s="297"/>
      <c r="I6" s="126"/>
      <c r="N6"/>
    </row>
    <row r="7" spans="1:18" x14ac:dyDescent="0.2">
      <c r="A7" s="21" t="s">
        <v>979</v>
      </c>
      <c r="B7" s="305">
        <f>IFERROR(VLOOKUP(A7,'School Tables'!$C$3:$D$368,2,FALSE),"")</f>
        <v>20160</v>
      </c>
      <c r="C7" s="297" t="str">
        <f>IFERROR(INDEX('School Tables'!$B$3:$B$368,MATCH('School Level Expenditures'!B7,'School Tables'!$D$3:$D$368,0)),"")</f>
        <v>Claremont</v>
      </c>
      <c r="D7" s="294">
        <v>4828961.5599999996</v>
      </c>
      <c r="E7" s="294">
        <v>771663.05</v>
      </c>
      <c r="F7" s="308">
        <f t="shared" si="0"/>
        <v>5600624.6099999994</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6882092.9000000013</v>
      </c>
      <c r="G24" s="303">
        <f>'DOE25'!L229+'DOE25'!L309</f>
        <v>6882092.9000000013</v>
      </c>
      <c r="H24" s="304">
        <f>F24-G24</f>
        <v>0</v>
      </c>
      <c r="I24" s="310" t="str">
        <f>IF(H24=0,"","Does not match DOE25 page 8 and 12 Totals!!")</f>
        <v/>
      </c>
      <c r="N24"/>
    </row>
    <row r="25" spans="1:14" x14ac:dyDescent="0.2">
      <c r="A25" s="21" t="s">
        <v>976</v>
      </c>
      <c r="B25" s="305">
        <f>IFERROR(VLOOKUP(A25,'School Tables'!$I$3:$J$80,2,FALSE),"")</f>
        <v>20115</v>
      </c>
      <c r="C25" s="297" t="str">
        <f t="array" ref="C25">IFERROR(INDEX('School Tables'!$H$3:$H$80,MATCH('School Level Expenditures'!B25,'School Tables'!$J$3:$J$80,0)),"")</f>
        <v>Claremont</v>
      </c>
      <c r="D25" s="294">
        <f>'DOE25'!L229</f>
        <v>6701589.9800000014</v>
      </c>
      <c r="E25" s="294">
        <f>'DOE25'!L309</f>
        <v>180502.91999999998</v>
      </c>
      <c r="F25" s="308">
        <f>D25+E25</f>
        <v>6882092.9000000013</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11174799.509999998</v>
      </c>
      <c r="G36" s="303">
        <f>'DOE25'!L247+'DOE25'!L328</f>
        <v>11174799.509999998</v>
      </c>
      <c r="H36" s="304">
        <f>F36-G36</f>
        <v>0</v>
      </c>
      <c r="I36" s="310" t="str">
        <f>IF(H36=0,"","Does not match DOE25 page 9 and 13 Totals!!")</f>
        <v/>
      </c>
      <c r="N36"/>
    </row>
    <row r="37" spans="1:14" x14ac:dyDescent="0.2">
      <c r="A37" s="21" t="s">
        <v>977</v>
      </c>
      <c r="B37" s="305">
        <f>IFERROR(VLOOKUP(A37,'School Tables'!$O$3:$P$122,2,FALSE),"")</f>
        <v>20140</v>
      </c>
      <c r="C37" s="297" t="str">
        <f t="array" ref="C37">IFERROR(INDEX('School Tables'!$N$3:$N$122,MATCH('School Level Expenditures'!B37,'School Tables'!$P$3:$P$122,0)),"")</f>
        <v>Claremont</v>
      </c>
      <c r="D37" s="294">
        <f>'DOE25'!L247</f>
        <v>10904698.339999998</v>
      </c>
      <c r="E37" s="294">
        <f>'DOE25'!L328</f>
        <v>270101.17</v>
      </c>
      <c r="F37" s="308">
        <f t="shared" ref="F37:F42" si="2">D37+E37</f>
        <v>11174799.509999998</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si="2"/>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si="2"/>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C8" sqref="C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Claremont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250381.3899999999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6813165.1200000001</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9716.56</v>
      </c>
      <c r="D11" s="95">
        <f>'DOE25'!G12</f>
        <v>0</v>
      </c>
      <c r="E11" s="95">
        <f>'DOE25'!H12</f>
        <v>40881.26</v>
      </c>
      <c r="F11" s="95">
        <f>'DOE25'!I12</f>
        <v>477588.74</v>
      </c>
      <c r="G11" s="95">
        <f>'DOE25'!J12</f>
        <v>0</v>
      </c>
      <c r="H11" s="124"/>
      <c r="I11" s="124"/>
    </row>
    <row r="12" spans="1:9" x14ac:dyDescent="0.2">
      <c r="A12" s="1" t="s">
        <v>143</v>
      </c>
      <c r="B12" s="6">
        <v>140</v>
      </c>
      <c r="C12" s="95">
        <f>'DOE25'!F13</f>
        <v>-35246.019999999997</v>
      </c>
      <c r="D12" s="95">
        <f>'DOE25'!G13</f>
        <v>0</v>
      </c>
      <c r="E12" s="95">
        <f>'DOE25'!H13</f>
        <v>266524.2</v>
      </c>
      <c r="F12" s="95">
        <f>'DOE25'!I13</f>
        <v>0</v>
      </c>
      <c r="G12" s="95">
        <f>'DOE25'!J13</f>
        <v>0</v>
      </c>
      <c r="H12" s="124"/>
      <c r="I12" s="124"/>
    </row>
    <row r="13" spans="1:9" x14ac:dyDescent="0.2">
      <c r="A13" s="1" t="s">
        <v>144</v>
      </c>
      <c r="B13" s="6">
        <v>150</v>
      </c>
      <c r="C13" s="95">
        <f>'DOE25'!F14</f>
        <v>28484.760000000006</v>
      </c>
      <c r="D13" s="95">
        <f>'DOE25'!G14</f>
        <v>0</v>
      </c>
      <c r="E13" s="95">
        <f>'DOE25'!H14</f>
        <v>-69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11099.3</v>
      </c>
      <c r="E15" s="95">
        <f>'DOE25'!H16</f>
        <v>0</v>
      </c>
      <c r="F15" s="95">
        <f>'DOE25'!I16</f>
        <v>0</v>
      </c>
      <c r="G15" s="24" t="s">
        <v>288</v>
      </c>
      <c r="H15" s="124"/>
      <c r="I15" s="124"/>
    </row>
    <row r="16" spans="1:9" x14ac:dyDescent="0.2">
      <c r="A16" s="1" t="s">
        <v>147</v>
      </c>
      <c r="B16" s="6">
        <v>180</v>
      </c>
      <c r="C16" s="95">
        <f>'DOE25'!F17</f>
        <v>55415.9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308752.58999999991</v>
      </c>
      <c r="D18" s="41">
        <f>SUM(D8:D17)</f>
        <v>11099.3</v>
      </c>
      <c r="E18" s="41">
        <f>SUM(E8:E17)</f>
        <v>307336.46000000002</v>
      </c>
      <c r="F18" s="41">
        <f>SUM(F8:F17)</f>
        <v>477588.74</v>
      </c>
      <c r="G18" s="41">
        <f>SUM(G8:G17)</f>
        <v>6813165.1200000001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-1253037.55</v>
      </c>
      <c r="D21" s="95">
        <f>'DOE25'!G22</f>
        <v>206036.22</v>
      </c>
      <c r="E21" s="95">
        <f>'DOE25'!H22</f>
        <v>0</v>
      </c>
      <c r="F21" s="95">
        <f>'DOE25'!I22</f>
        <v>0</v>
      </c>
      <c r="G21" s="95">
        <f>'DOE25'!J22</f>
        <v>0</v>
      </c>
      <c r="H21" s="124"/>
      <c r="I21" s="124"/>
    </row>
    <row r="22" spans="1:9" x14ac:dyDescent="0.2">
      <c r="A22" s="1" t="s">
        <v>151</v>
      </c>
      <c r="B22" s="6">
        <v>410</v>
      </c>
      <c r="C22" s="95">
        <f>'DOE25'!F23</f>
        <v>0</v>
      </c>
      <c r="D22" s="95">
        <f>'DOE25'!G23</f>
        <v>0</v>
      </c>
      <c r="E22" s="95">
        <f>'DOE25'!H23</f>
        <v>735563.47</v>
      </c>
      <c r="F22" s="95">
        <f>'DOE25'!I23</f>
        <v>0</v>
      </c>
      <c r="G22" s="95">
        <f>'DOE25'!J23</f>
        <v>0</v>
      </c>
      <c r="H22" s="124"/>
      <c r="I22" s="124"/>
    </row>
    <row r="23" spans="1:9" x14ac:dyDescent="0.2">
      <c r="A23" s="1" t="s">
        <v>152</v>
      </c>
      <c r="B23" s="6">
        <v>420</v>
      </c>
      <c r="C23" s="95">
        <f>'DOE25'!F24</f>
        <v>770.28</v>
      </c>
      <c r="D23" s="95">
        <f>'DOE25'!G24</f>
        <v>-4922.87</v>
      </c>
      <c r="E23" s="95">
        <f>'DOE25'!H24</f>
        <v>-1202.82</v>
      </c>
      <c r="F23" s="95">
        <f>'DOE25'!I24</f>
        <v>0</v>
      </c>
      <c r="G23" s="95">
        <f>'DOE25'!J24</f>
        <v>0</v>
      </c>
      <c r="H23" s="124"/>
      <c r="I23" s="124"/>
    </row>
    <row r="24" spans="1:9" x14ac:dyDescent="0.2">
      <c r="A24" s="1" t="s">
        <v>153</v>
      </c>
      <c r="B24" s="6">
        <v>430</v>
      </c>
      <c r="C24" s="95">
        <f>'DOE25'!F25</f>
        <v>103904.44</v>
      </c>
      <c r="D24" s="95">
        <f>'DOE25'!G25</f>
        <v>0</v>
      </c>
      <c r="E24" s="95">
        <f>'DOE25'!H25</f>
        <v>208521.05000000002</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5960.93</v>
      </c>
      <c r="E29" s="95">
        <f>'DOE25'!H30</f>
        <v>0</v>
      </c>
      <c r="F29" s="95">
        <f>'DOE25'!I30</f>
        <v>0</v>
      </c>
      <c r="G29" s="24" t="s">
        <v>288</v>
      </c>
      <c r="H29" s="124"/>
      <c r="I29" s="124"/>
    </row>
    <row r="30" spans="1:9" ht="12" thickBot="1" x14ac:dyDescent="0.25">
      <c r="A30" s="1" t="s">
        <v>159</v>
      </c>
      <c r="B30" s="71">
        <v>490</v>
      </c>
      <c r="C30" s="95">
        <f>'DOE25'!F31</f>
        <v>-299.38</v>
      </c>
      <c r="D30" s="95">
        <f>'DOE25'!G31</f>
        <v>0</v>
      </c>
      <c r="E30" s="95">
        <f>'DOE25'!H31</f>
        <v>0</v>
      </c>
      <c r="F30" s="95">
        <f>'DOE25'!I31</f>
        <v>0</v>
      </c>
      <c r="G30" s="95">
        <f>'DOE25'!J31</f>
        <v>0</v>
      </c>
      <c r="H30" s="124"/>
      <c r="I30" s="124"/>
    </row>
    <row r="31" spans="1:9" ht="12" thickTop="1" x14ac:dyDescent="0.2">
      <c r="A31" s="38" t="s">
        <v>160</v>
      </c>
      <c r="B31" s="2"/>
      <c r="C31" s="41">
        <f>SUM(C21:C30)</f>
        <v>-1148662.21</v>
      </c>
      <c r="D31" s="41">
        <f>SUM(D21:D30)</f>
        <v>207074.28</v>
      </c>
      <c r="E31" s="41">
        <f>SUM(E21:E30)</f>
        <v>942881.70000000007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388714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145303.96</v>
      </c>
      <c r="D47" s="95">
        <f>'DOE25'!G48</f>
        <v>-195974.98</v>
      </c>
      <c r="E47" s="95">
        <f>'DOE25'!H48</f>
        <v>-635545.23999999987</v>
      </c>
      <c r="F47" s="95">
        <f>'DOE25'!I48</f>
        <v>477588.74</v>
      </c>
      <c r="G47" s="95">
        <f>'DOE25'!J48</f>
        <v>6813165.1200000001</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923396.83999999985</v>
      </c>
      <c r="D49" s="24" t="s">
        <v>288</v>
      </c>
      <c r="E49" s="24" t="s">
        <v>288</v>
      </c>
      <c r="F49" s="24" t="s">
        <v>288</v>
      </c>
      <c r="G49" s="24" t="s">
        <v>288</v>
      </c>
      <c r="H49" s="124"/>
      <c r="I49" s="124"/>
    </row>
    <row r="50" spans="1:9" ht="12.75" thickTop="1" thickBot="1" x14ac:dyDescent="0.25">
      <c r="A50" s="38" t="s">
        <v>884</v>
      </c>
      <c r="B50" s="48"/>
      <c r="C50" s="41">
        <f>SUM(C34:C49)</f>
        <v>1457414.7999999998</v>
      </c>
      <c r="D50" s="41">
        <f>SUM(D34:D49)</f>
        <v>-195974.98</v>
      </c>
      <c r="E50" s="41">
        <f>SUM(E34:E49)</f>
        <v>-635545.23999999987</v>
      </c>
      <c r="F50" s="41">
        <f>SUM(F34:F49)</f>
        <v>477588.74</v>
      </c>
      <c r="G50" s="41">
        <f>SUM(G34:G49)</f>
        <v>6813165.1200000001</v>
      </c>
      <c r="H50" s="124"/>
      <c r="I50" s="124"/>
    </row>
    <row r="51" spans="1:9" ht="12" thickTop="1" x14ac:dyDescent="0.2">
      <c r="A51" s="38" t="s">
        <v>885</v>
      </c>
      <c r="B51" s="2"/>
      <c r="C51" s="41">
        <f>C50+C31</f>
        <v>308752.58999999985</v>
      </c>
      <c r="D51" s="41">
        <f>D50+D31</f>
        <v>11099.299999999988</v>
      </c>
      <c r="E51" s="41">
        <f>E50+E31</f>
        <v>307336.4600000002</v>
      </c>
      <c r="F51" s="41">
        <f>F50+F31</f>
        <v>477588.74</v>
      </c>
      <c r="G51" s="41">
        <f>G50+G31</f>
        <v>6813165.1200000001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15815758</v>
      </c>
      <c r="D56" s="95">
        <f>'DOE25'!G60</f>
        <v>0</v>
      </c>
      <c r="E56" s="95">
        <f>'DOE25'!H60</f>
        <v>0</v>
      </c>
      <c r="F56" s="95">
        <f>'DOE25'!I60</f>
        <v>0</v>
      </c>
      <c r="G56" s="95">
        <f>'DOE25'!J60</f>
        <v>0</v>
      </c>
      <c r="H56"/>
      <c r="I56"/>
    </row>
    <row r="57" spans="1:9" x14ac:dyDescent="0.2">
      <c r="A57" s="1" t="s">
        <v>164</v>
      </c>
      <c r="B57" s="6" t="s">
        <v>165</v>
      </c>
      <c r="C57" s="95">
        <f>'DOE25'!F79</f>
        <v>663701.44999999995</v>
      </c>
      <c r="D57" s="24" t="s">
        <v>288</v>
      </c>
      <c r="E57" s="95">
        <f>'DOE25'!H79</f>
        <v>4756</v>
      </c>
      <c r="F57" s="24" t="s">
        <v>288</v>
      </c>
      <c r="G57" s="24" t="s">
        <v>288</v>
      </c>
      <c r="H57"/>
      <c r="I57"/>
    </row>
    <row r="58" spans="1:9" x14ac:dyDescent="0.2">
      <c r="A58" s="1" t="s">
        <v>166</v>
      </c>
      <c r="B58" s="6" t="s">
        <v>167</v>
      </c>
      <c r="C58" s="95">
        <f>'DOE25'!F94</f>
        <v>1668.35</v>
      </c>
      <c r="D58" s="24" t="s">
        <v>288</v>
      </c>
      <c r="E58" s="95">
        <f>'DOE25'!H94</f>
        <v>0</v>
      </c>
      <c r="F58" s="24" t="s">
        <v>288</v>
      </c>
      <c r="G58" s="24" t="s">
        <v>288</v>
      </c>
      <c r="H58"/>
      <c r="I58"/>
    </row>
    <row r="59" spans="1:9" x14ac:dyDescent="0.2">
      <c r="A59" s="69" t="s">
        <v>168</v>
      </c>
      <c r="B59" s="37" t="s">
        <v>169</v>
      </c>
      <c r="C59" s="95">
        <f>'DOE25'!F96</f>
        <v>66757.41</v>
      </c>
      <c r="D59" s="95">
        <f>'DOE25'!G96</f>
        <v>0</v>
      </c>
      <c r="E59" s="95">
        <f>'DOE25'!H96</f>
        <v>0</v>
      </c>
      <c r="F59" s="95">
        <f>'DOE25'!I96</f>
        <v>0</v>
      </c>
      <c r="G59" s="95">
        <f>'DOE25'!J96</f>
        <v>466301.35999999993</v>
      </c>
      <c r="H59"/>
      <c r="I59"/>
    </row>
    <row r="60" spans="1:9" x14ac:dyDescent="0.2">
      <c r="A60" s="1" t="s">
        <v>170</v>
      </c>
      <c r="B60" s="118" t="s">
        <v>171</v>
      </c>
      <c r="C60" s="24" t="s">
        <v>288</v>
      </c>
      <c r="D60" s="95">
        <f>'DOE25'!G97</f>
        <v>146003.78</v>
      </c>
      <c r="E60" s="24" t="s">
        <v>288</v>
      </c>
      <c r="F60" s="24" t="s">
        <v>288</v>
      </c>
      <c r="G60" s="24" t="s">
        <v>288</v>
      </c>
      <c r="H60"/>
      <c r="I60"/>
    </row>
    <row r="61" spans="1:9" ht="12" thickBot="1" x14ac:dyDescent="0.25">
      <c r="A61" s="1" t="s">
        <v>172</v>
      </c>
      <c r="B61" s="118" t="s">
        <v>173</v>
      </c>
      <c r="C61" s="95">
        <f>SUM('DOE25'!F98:F110)</f>
        <v>691656.03999999992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1423783.25</v>
      </c>
      <c r="D62" s="130">
        <f>SUM(D57:D61)</f>
        <v>146003.78</v>
      </c>
      <c r="E62" s="130">
        <f>SUM(E57:E61)</f>
        <v>4756</v>
      </c>
      <c r="F62" s="130">
        <f>SUM(F57:F61)</f>
        <v>0</v>
      </c>
      <c r="G62" s="130">
        <f>SUM(G57:G61)</f>
        <v>466301.35999999993</v>
      </c>
      <c r="H62"/>
      <c r="I62"/>
    </row>
    <row r="63" spans="1:9" ht="12" thickTop="1" x14ac:dyDescent="0.2">
      <c r="A63" s="29" t="s">
        <v>175</v>
      </c>
      <c r="B63" s="6"/>
      <c r="C63" s="22">
        <f>C56+C62</f>
        <v>17239541.25</v>
      </c>
      <c r="D63" s="22">
        <f>D56+D62</f>
        <v>146003.78</v>
      </c>
      <c r="E63" s="22">
        <f>E56+E62</f>
        <v>4756</v>
      </c>
      <c r="F63" s="22">
        <f>F56+F62</f>
        <v>0</v>
      </c>
      <c r="G63" s="22">
        <f>G56+G62</f>
        <v>466301.35999999993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12195221.560000001</v>
      </c>
      <c r="D66" s="24" t="s">
        <v>288</v>
      </c>
      <c r="E66" s="24" t="s">
        <v>288</v>
      </c>
      <c r="F66" s="24" t="s">
        <v>288</v>
      </c>
      <c r="G66" s="24" t="s">
        <v>288</v>
      </c>
      <c r="H66"/>
      <c r="I66"/>
    </row>
    <row r="67" spans="1:9" x14ac:dyDescent="0.2">
      <c r="A67" s="1" t="s">
        <v>770</v>
      </c>
      <c r="B67" s="6">
        <v>3112</v>
      </c>
      <c r="C67" s="95">
        <f>'DOE25'!F118</f>
        <v>1502693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13697914.560000001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154507.32</v>
      </c>
      <c r="D74" s="24"/>
      <c r="E74" s="24"/>
      <c r="F74" s="24"/>
      <c r="G74" s="24"/>
      <c r="H74"/>
      <c r="I74"/>
    </row>
    <row r="75" spans="1:9" x14ac:dyDescent="0.2">
      <c r="A75" s="1" t="s">
        <v>256</v>
      </c>
      <c r="B75" s="6">
        <v>3230</v>
      </c>
      <c r="C75" s="95">
        <f>'DOE25'!F126</f>
        <v>289627.14</v>
      </c>
      <c r="D75" s="24" t="s">
        <v>288</v>
      </c>
      <c r="E75" s="24" t="s">
        <v>288</v>
      </c>
      <c r="F75" s="24" t="s">
        <v>288</v>
      </c>
      <c r="G75" s="24" t="s">
        <v>288</v>
      </c>
      <c r="H75"/>
      <c r="I75"/>
    </row>
    <row r="76" spans="1:9" x14ac:dyDescent="0.2">
      <c r="A76" s="1" t="s">
        <v>257</v>
      </c>
      <c r="B76" s="6" t="s">
        <v>179</v>
      </c>
      <c r="C76" s="95">
        <f>SUM('DOE25'!F127:F130)</f>
        <v>4803.8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798.48</v>
      </c>
      <c r="E77" s="95">
        <f>SUM('DOE25'!H131:H135)</f>
        <v>0</v>
      </c>
      <c r="F77" s="95">
        <f>SUM('DOE25'!I131:I135)</f>
        <v>0</v>
      </c>
      <c r="G77" s="95">
        <f>SUM('DOE25'!J131:J135)</f>
        <v>0</v>
      </c>
      <c r="H77"/>
      <c r="I77"/>
    </row>
    <row r="78" spans="1:9" ht="12.75" thickTop="1" thickBot="1" x14ac:dyDescent="0.25">
      <c r="A78" s="29" t="s">
        <v>259</v>
      </c>
      <c r="B78" s="6"/>
      <c r="C78" s="130">
        <f>SUM(C72:C77)</f>
        <v>448938.26</v>
      </c>
      <c r="D78" s="130">
        <f>SUM(D72:D77)</f>
        <v>798.48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14146852.82</v>
      </c>
      <c r="D81" s="130">
        <f>SUM(D79:D80)+D78+D70</f>
        <v>798.48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656357.38</v>
      </c>
      <c r="D88" s="95">
        <f>SUM('DOE25'!G153:G161)</f>
        <v>256011.34000000003</v>
      </c>
      <c r="E88" s="95">
        <f>SUM('DOE25'!H153:H161)</f>
        <v>1848239.8900000001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656357.38</v>
      </c>
      <c r="D91" s="131">
        <f>SUM(D85:D90)</f>
        <v>256011.34000000003</v>
      </c>
      <c r="E91" s="131">
        <f>SUM(E85:E90)</f>
        <v>1848239.8900000001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65000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443527</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443527</v>
      </c>
      <c r="D103" s="86">
        <f>SUM(D93:D102)</f>
        <v>0</v>
      </c>
      <c r="E103" s="86">
        <f>SUM(E93:E102)</f>
        <v>65000</v>
      </c>
      <c r="F103" s="86">
        <f>SUM(F93:F102)</f>
        <v>0</v>
      </c>
      <c r="G103" s="86">
        <f>SUM(G93:G102)</f>
        <v>0</v>
      </c>
    </row>
    <row r="104" spans="1:7" ht="12.75" thickTop="1" thickBot="1" x14ac:dyDescent="0.25">
      <c r="A104" s="33" t="s">
        <v>761</v>
      </c>
      <c r="C104" s="86">
        <f>C63+C81+C91+C103</f>
        <v>32486278.449999999</v>
      </c>
      <c r="D104" s="86">
        <f>D63+D81+D91+D103</f>
        <v>402813.60000000003</v>
      </c>
      <c r="E104" s="86">
        <f>E63+E81+E91+E103</f>
        <v>1917995.8900000001</v>
      </c>
      <c r="F104" s="86">
        <f>F63+F81+F91+F103</f>
        <v>0</v>
      </c>
      <c r="G104" s="86">
        <f>G63+G81+G103</f>
        <v>466301.35999999993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10278559.65</v>
      </c>
      <c r="D109" s="24" t="s">
        <v>288</v>
      </c>
      <c r="E109" s="95">
        <f>('DOE25'!L276)+('DOE25'!L295)+('DOE25'!L314)</f>
        <v>927865.53</v>
      </c>
      <c r="F109" s="24" t="s">
        <v>288</v>
      </c>
      <c r="G109" s="24" t="s">
        <v>288</v>
      </c>
    </row>
    <row r="110" spans="1:7" x14ac:dyDescent="0.2">
      <c r="A110" t="s">
        <v>198</v>
      </c>
      <c r="B110" s="32" t="s">
        <v>199</v>
      </c>
      <c r="C110" s="95">
        <f>('DOE25'!L198)+('DOE25'!L216)+('DOE25'!L234)</f>
        <v>7779195.9900000002</v>
      </c>
      <c r="D110" s="24" t="s">
        <v>288</v>
      </c>
      <c r="E110" s="95">
        <f>('DOE25'!L277)+('DOE25'!L296)+('DOE25'!L315)</f>
        <v>611911.34000000008</v>
      </c>
      <c r="F110" s="24" t="s">
        <v>288</v>
      </c>
      <c r="G110" s="24" t="s">
        <v>288</v>
      </c>
    </row>
    <row r="111" spans="1:7" x14ac:dyDescent="0.2">
      <c r="A111" t="s">
        <v>200</v>
      </c>
      <c r="B111" s="32" t="s">
        <v>165</v>
      </c>
      <c r="C111" s="95">
        <f>('DOE25'!L199)+('DOE25'!L217)+('DOE25'!L235)</f>
        <v>697245.46</v>
      </c>
      <c r="D111" s="24" t="s">
        <v>288</v>
      </c>
      <c r="E111" s="95">
        <f>('DOE25'!L278)+('DOE25'!L297)+('DOE25'!L316)</f>
        <v>33569.370000000003</v>
      </c>
      <c r="F111" s="24" t="s">
        <v>288</v>
      </c>
      <c r="G111" s="24" t="s">
        <v>288</v>
      </c>
    </row>
    <row r="112" spans="1:7" x14ac:dyDescent="0.2">
      <c r="A112" t="s">
        <v>201</v>
      </c>
      <c r="B112" s="32" t="s">
        <v>167</v>
      </c>
      <c r="C112" s="95">
        <f>('DOE25'!L200)+('DOE25'!L218)+('DOE25'!L236)</f>
        <v>414833.66000000003</v>
      </c>
      <c r="D112" s="24" t="s">
        <v>288</v>
      </c>
      <c r="E112" s="95">
        <f>+('DOE25'!L279)+('DOE25'!L298)+('DOE25'!L317)</f>
        <v>73065.09</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148870.51000000004</v>
      </c>
      <c r="F114" s="24" t="s">
        <v>288</v>
      </c>
      <c r="G114" s="24" t="s">
        <v>288</v>
      </c>
    </row>
    <row r="115" spans="1:7" ht="12.75" thickTop="1" thickBot="1" x14ac:dyDescent="0.25">
      <c r="A115" s="33" t="s">
        <v>205</v>
      </c>
      <c r="C115" s="86">
        <f>SUM(C109:C114)</f>
        <v>19169834.760000002</v>
      </c>
      <c r="D115" s="86">
        <f>SUM(D109:D114)</f>
        <v>0</v>
      </c>
      <c r="E115" s="86">
        <f>SUM(E109:E114)</f>
        <v>1795281.8400000003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1525872</v>
      </c>
      <c r="D118" s="24" t="s">
        <v>288</v>
      </c>
      <c r="E118" s="95">
        <f>+('DOE25'!L281)+('DOE25'!L300)+('DOE25'!L319)</f>
        <v>565884.12</v>
      </c>
      <c r="F118" s="24" t="s">
        <v>288</v>
      </c>
      <c r="G118" s="24" t="s">
        <v>288</v>
      </c>
    </row>
    <row r="119" spans="1:7" x14ac:dyDescent="0.2">
      <c r="A119" t="s">
        <v>208</v>
      </c>
      <c r="B119" s="32" t="s">
        <v>209</v>
      </c>
      <c r="C119" s="95">
        <f>('DOE25'!L203)+('DOE25'!L221)+('DOE25'!L239)</f>
        <v>1563882.3399999999</v>
      </c>
      <c r="D119" s="24" t="s">
        <v>288</v>
      </c>
      <c r="E119" s="95">
        <f>+('DOE25'!L282)+('DOE25'!L301)+('DOE25'!L320)</f>
        <v>196599.31</v>
      </c>
      <c r="F119" s="24" t="s">
        <v>288</v>
      </c>
      <c r="G119" s="24" t="s">
        <v>288</v>
      </c>
    </row>
    <row r="120" spans="1:7" x14ac:dyDescent="0.2">
      <c r="A120" t="s">
        <v>210</v>
      </c>
      <c r="B120" s="32" t="s">
        <v>211</v>
      </c>
      <c r="C120" s="95">
        <f>('DOE25'!L204)+('DOE25'!L222)+('DOE25'!L240)</f>
        <v>1783007.2399999998</v>
      </c>
      <c r="D120" s="24" t="s">
        <v>288</v>
      </c>
      <c r="E120" s="95">
        <f>+('DOE25'!L283)+('DOE25'!L302)+('DOE25'!L321)</f>
        <v>0</v>
      </c>
      <c r="F120" s="24" t="s">
        <v>288</v>
      </c>
      <c r="G120" s="24" t="s">
        <v>288</v>
      </c>
    </row>
    <row r="121" spans="1:7" x14ac:dyDescent="0.2">
      <c r="A121" t="s">
        <v>212</v>
      </c>
      <c r="B121" s="32" t="s">
        <v>213</v>
      </c>
      <c r="C121" s="95">
        <f>('DOE25'!L205)+('DOE25'!L223)+('DOE25'!L241)</f>
        <v>2422873.08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61241</v>
      </c>
      <c r="F122" s="24" t="s">
        <v>288</v>
      </c>
      <c r="G122" s="24" t="s">
        <v>288</v>
      </c>
    </row>
    <row r="123" spans="1:7" x14ac:dyDescent="0.2">
      <c r="A123" t="s">
        <v>216</v>
      </c>
      <c r="B123" s="32" t="s">
        <v>217</v>
      </c>
      <c r="C123" s="95">
        <f>('DOE25'!L207)+('DOE25'!L225)+('DOE25'!L243)</f>
        <v>2400747.8899999997</v>
      </c>
      <c r="D123" s="24" t="s">
        <v>288</v>
      </c>
      <c r="E123" s="95">
        <f>+('DOE25'!L286)+('DOE25'!L305)+('DOE25'!L324)</f>
        <v>0</v>
      </c>
      <c r="F123" s="24" t="s">
        <v>288</v>
      </c>
      <c r="G123" s="24" t="s">
        <v>288</v>
      </c>
    </row>
    <row r="124" spans="1:7" x14ac:dyDescent="0.2">
      <c r="A124" t="s">
        <v>218</v>
      </c>
      <c r="B124" s="32" t="s">
        <v>219</v>
      </c>
      <c r="C124" s="95">
        <f>('DOE25'!L208)+('DOE25'!L226)+('DOE25'!L244+'DOE25'!L254)</f>
        <v>1328088.56</v>
      </c>
      <c r="D124" s="24" t="s">
        <v>288</v>
      </c>
      <c r="E124" s="95">
        <f>+('DOE25'!L287)+('DOE25'!L306)+('DOE25'!L325)</f>
        <v>0</v>
      </c>
      <c r="F124" s="24" t="s">
        <v>288</v>
      </c>
      <c r="G124" s="24" t="s">
        <v>288</v>
      </c>
    </row>
    <row r="125" spans="1:7" x14ac:dyDescent="0.2">
      <c r="A125" t="s">
        <v>220</v>
      </c>
      <c r="B125" s="32" t="s">
        <v>221</v>
      </c>
      <c r="C125" s="95">
        <f>('DOE25'!L209)+('DOE25'!L227)+('DOE25'!L245)</f>
        <v>49934.709999999992</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624545.73</v>
      </c>
      <c r="E127" s="24" t="s">
        <v>288</v>
      </c>
      <c r="F127" s="24" t="s">
        <v>288</v>
      </c>
      <c r="G127" s="24" t="s">
        <v>288</v>
      </c>
    </row>
    <row r="128" spans="1:7" ht="12.75" thickTop="1" thickBot="1" x14ac:dyDescent="0.25">
      <c r="A128" s="33" t="s">
        <v>226</v>
      </c>
      <c r="C128" s="86">
        <f>SUM(C118:C127)</f>
        <v>11074405.820000002</v>
      </c>
      <c r="D128" s="86">
        <f>SUM(D118:D127)</f>
        <v>624545.73</v>
      </c>
      <c r="E128" s="86">
        <f>SUM(E118:E127)</f>
        <v>823724.42999999993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718825.22</v>
      </c>
      <c r="D131" s="24" t="s">
        <v>288</v>
      </c>
      <c r="E131" s="129">
        <f>'DOE25'!L341</f>
        <v>0</v>
      </c>
      <c r="F131" s="24" t="s">
        <v>288</v>
      </c>
      <c r="G131" s="24" t="s">
        <v>288</v>
      </c>
    </row>
    <row r="132" spans="1:7" x14ac:dyDescent="0.2">
      <c r="A132" t="s">
        <v>230</v>
      </c>
      <c r="B132" s="32">
        <v>5120</v>
      </c>
      <c r="C132" s="95">
        <f>'DOE25'!L261</f>
        <v>630077.82999999996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65000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171342.69</v>
      </c>
      <c r="D138" s="24" t="s">
        <v>288</v>
      </c>
      <c r="E138" s="24" t="s">
        <v>288</v>
      </c>
      <c r="F138" s="24" t="s">
        <v>288</v>
      </c>
      <c r="G138" s="24" t="s">
        <v>288</v>
      </c>
    </row>
    <row r="139" spans="1:7" x14ac:dyDescent="0.2">
      <c r="A139" t="s">
        <v>239</v>
      </c>
      <c r="B139" s="32">
        <v>5252</v>
      </c>
      <c r="C139" s="95">
        <f>'DOE25'!L401</f>
        <v>294958.67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-466301.36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1413903.0499999998</v>
      </c>
      <c r="D144" s="141">
        <f>SUM(D130:D143)</f>
        <v>0</v>
      </c>
      <c r="E144" s="141">
        <f>SUM(E130:E143)</f>
        <v>0</v>
      </c>
      <c r="F144" s="141">
        <f>SUM(F130:F143)</f>
        <v>0</v>
      </c>
      <c r="G144" s="141">
        <f>SUM(G130:G143)</f>
        <v>0</v>
      </c>
    </row>
    <row r="145" spans="1:9" ht="12.75" thickTop="1" thickBot="1" x14ac:dyDescent="0.25">
      <c r="A145" s="33" t="s">
        <v>244</v>
      </c>
      <c r="C145" s="86">
        <f>(C115+C128+C144)</f>
        <v>31658143.630000006</v>
      </c>
      <c r="D145" s="86">
        <f>(D115+D128+D144)</f>
        <v>624545.73</v>
      </c>
      <c r="E145" s="86">
        <f>(E115+E128+E144)</f>
        <v>2619006.2700000005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08/13</v>
      </c>
      <c r="C152" s="152">
        <f>'DOE25'!G491</f>
        <v>0</v>
      </c>
      <c r="D152" s="152">
        <f>'DOE25'!H491</f>
        <v>0</v>
      </c>
      <c r="E152" s="152">
        <f>'DOE25'!I491</f>
        <v>0</v>
      </c>
      <c r="F152" s="152">
        <f>'DOE25'!J491</f>
        <v>0</v>
      </c>
      <c r="G152" s="24" t="s">
        <v>288</v>
      </c>
    </row>
    <row r="153" spans="1:9" x14ac:dyDescent="0.2">
      <c r="A153" s="136" t="s">
        <v>29</v>
      </c>
      <c r="B153" s="152" t="str">
        <f>'DOE25'!F492</f>
        <v>08/33</v>
      </c>
      <c r="C153" s="152">
        <f>'DOE25'!G492</f>
        <v>0</v>
      </c>
      <c r="D153" s="152">
        <f>'DOE25'!H492</f>
        <v>0</v>
      </c>
      <c r="E153" s="152">
        <f>'DOE25'!I492</f>
        <v>0</v>
      </c>
      <c r="F153" s="152">
        <f>'DOE25'!J492</f>
        <v>0</v>
      </c>
      <c r="G153" s="24" t="s">
        <v>288</v>
      </c>
    </row>
    <row r="154" spans="1:9" x14ac:dyDescent="0.2">
      <c r="A154" s="136" t="s">
        <v>30</v>
      </c>
      <c r="B154" s="137">
        <f>'DOE25'!F493</f>
        <v>11195000</v>
      </c>
      <c r="C154" s="137">
        <f>'DOE25'!G493</f>
        <v>0</v>
      </c>
      <c r="D154" s="137">
        <f>'DOE25'!H493</f>
        <v>0</v>
      </c>
      <c r="E154" s="137">
        <f>'DOE25'!I493</f>
        <v>0</v>
      </c>
      <c r="F154" s="137">
        <f>'DOE25'!J493</f>
        <v>0</v>
      </c>
      <c r="G154" s="24" t="s">
        <v>288</v>
      </c>
    </row>
    <row r="155" spans="1:9" x14ac:dyDescent="0.2">
      <c r="A155" s="136" t="s">
        <v>31</v>
      </c>
      <c r="B155" s="137">
        <f>'DOE25'!F494</f>
        <v>3.58</v>
      </c>
      <c r="C155" s="137">
        <f>'DOE25'!G494</f>
        <v>0</v>
      </c>
      <c r="D155" s="137">
        <f>'DOE25'!H494</f>
        <v>0</v>
      </c>
      <c r="E155" s="137">
        <f>'DOE25'!I494</f>
        <v>0</v>
      </c>
      <c r="F155" s="137">
        <f>'DOE25'!J494</f>
        <v>0</v>
      </c>
      <c r="G155" s="24" t="s">
        <v>288</v>
      </c>
    </row>
    <row r="156" spans="1:9" x14ac:dyDescent="0.2">
      <c r="A156" s="22" t="s">
        <v>32</v>
      </c>
      <c r="B156" s="137">
        <f>'DOE25'!F495</f>
        <v>8950000</v>
      </c>
      <c r="C156" s="137">
        <f>'DOE25'!G495</f>
        <v>0</v>
      </c>
      <c r="D156" s="137">
        <f>'DOE25'!H495</f>
        <v>0</v>
      </c>
      <c r="E156" s="137">
        <f>'DOE25'!I495</f>
        <v>0</v>
      </c>
      <c r="F156" s="137">
        <f>'DOE25'!J495</f>
        <v>0</v>
      </c>
      <c r="G156" s="138">
        <f>SUM(B156:F156)</f>
        <v>8950000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560000</v>
      </c>
      <c r="C158" s="137">
        <f>'DOE25'!G497</f>
        <v>0</v>
      </c>
      <c r="D158" s="137">
        <f>'DOE25'!H497</f>
        <v>0</v>
      </c>
      <c r="E158" s="137">
        <f>'DOE25'!I497</f>
        <v>0</v>
      </c>
      <c r="F158" s="137">
        <f>'DOE25'!J497</f>
        <v>0</v>
      </c>
      <c r="G158" s="138">
        <f t="shared" si="0"/>
        <v>560000</v>
      </c>
    </row>
    <row r="159" spans="1:9" x14ac:dyDescent="0.2">
      <c r="A159" s="22" t="s">
        <v>35</v>
      </c>
      <c r="B159" s="137">
        <f>'DOE25'!F498</f>
        <v>8390000</v>
      </c>
      <c r="C159" s="137">
        <f>'DOE25'!G498</f>
        <v>0</v>
      </c>
      <c r="D159" s="137">
        <f>'DOE25'!H498</f>
        <v>0</v>
      </c>
      <c r="E159" s="137">
        <f>'DOE25'!I498</f>
        <v>0</v>
      </c>
      <c r="F159" s="137">
        <f>'DOE25'!J498</f>
        <v>0</v>
      </c>
      <c r="G159" s="138">
        <f t="shared" si="0"/>
        <v>8390000</v>
      </c>
    </row>
    <row r="160" spans="1:9" x14ac:dyDescent="0.2">
      <c r="A160" s="22" t="s">
        <v>36</v>
      </c>
      <c r="B160" s="137">
        <f>'DOE25'!F499</f>
        <v>3155460</v>
      </c>
      <c r="C160" s="137">
        <f>'DOE25'!G499</f>
        <v>0</v>
      </c>
      <c r="D160" s="137">
        <f>'DOE25'!H499</f>
        <v>0</v>
      </c>
      <c r="E160" s="137">
        <f>'DOE25'!I499</f>
        <v>0</v>
      </c>
      <c r="F160" s="137">
        <f>'DOE25'!J499</f>
        <v>0</v>
      </c>
      <c r="G160" s="138">
        <f t="shared" si="0"/>
        <v>3155460</v>
      </c>
    </row>
    <row r="161" spans="1:7" x14ac:dyDescent="0.2">
      <c r="A161" s="22" t="s">
        <v>37</v>
      </c>
      <c r="B161" s="137">
        <f>'DOE25'!F500</f>
        <v>11545460</v>
      </c>
      <c r="C161" s="137">
        <f>'DOE25'!G500</f>
        <v>0</v>
      </c>
      <c r="D161" s="137">
        <f>'DOE25'!H500</f>
        <v>0</v>
      </c>
      <c r="E161" s="137">
        <f>'DOE25'!I500</f>
        <v>0</v>
      </c>
      <c r="F161" s="137">
        <f>'DOE25'!J500</f>
        <v>0</v>
      </c>
      <c r="G161" s="138">
        <f t="shared" si="0"/>
        <v>11545460</v>
      </c>
    </row>
    <row r="162" spans="1:7" x14ac:dyDescent="0.2">
      <c r="A162" s="22" t="s">
        <v>38</v>
      </c>
      <c r="B162" s="137">
        <f>'DOE25'!F501</f>
        <v>560000</v>
      </c>
      <c r="C162" s="137">
        <f>'DOE25'!G501</f>
        <v>0</v>
      </c>
      <c r="D162" s="137">
        <f>'DOE25'!H501</f>
        <v>0</v>
      </c>
      <c r="E162" s="137">
        <f>'DOE25'!I501</f>
        <v>0</v>
      </c>
      <c r="F162" s="137">
        <f>'DOE25'!J501</f>
        <v>0</v>
      </c>
      <c r="G162" s="138">
        <f t="shared" si="0"/>
        <v>560000</v>
      </c>
    </row>
    <row r="163" spans="1:7" x14ac:dyDescent="0.2">
      <c r="A163" s="22" t="s">
        <v>39</v>
      </c>
      <c r="B163" s="137">
        <f>'DOE25'!F502</f>
        <v>408010</v>
      </c>
      <c r="C163" s="137">
        <f>'DOE25'!G502</f>
        <v>0</v>
      </c>
      <c r="D163" s="137">
        <f>'DOE25'!H502</f>
        <v>0</v>
      </c>
      <c r="E163" s="137">
        <f>'DOE25'!I502</f>
        <v>0</v>
      </c>
      <c r="F163" s="137">
        <f>'DOE25'!J502</f>
        <v>0</v>
      </c>
      <c r="G163" s="138">
        <f t="shared" si="0"/>
        <v>408010</v>
      </c>
    </row>
    <row r="164" spans="1:7" x14ac:dyDescent="0.2">
      <c r="A164" s="22" t="s">
        <v>246</v>
      </c>
      <c r="B164" s="137">
        <f>'DOE25'!F503</f>
        <v>968010</v>
      </c>
      <c r="C164" s="137">
        <f>'DOE25'!G503</f>
        <v>0</v>
      </c>
      <c r="D164" s="137">
        <f>'DOE25'!H503</f>
        <v>0</v>
      </c>
      <c r="E164" s="137">
        <f>'DOE25'!I503</f>
        <v>0</v>
      </c>
      <c r="F164" s="137">
        <f>'DOE25'!J503</f>
        <v>0</v>
      </c>
      <c r="G164" s="138">
        <f t="shared" si="0"/>
        <v>968010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showGridLines="0"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Claremont School District</v>
      </c>
    </row>
    <row r="3" spans="1:4" x14ac:dyDescent="0.2">
      <c r="B3" s="188" t="s">
        <v>1602</v>
      </c>
    </row>
    <row r="4" spans="1:4" x14ac:dyDescent="0.2">
      <c r="B4" t="s">
        <v>61</v>
      </c>
      <c r="C4" s="179">
        <f>IF('DOE25'!F665+'DOE25'!F670=0,0,ROUND('DOE25'!F672,0))</f>
        <v>16917</v>
      </c>
    </row>
    <row r="5" spans="1:4" x14ac:dyDescent="0.2">
      <c r="B5" t="s">
        <v>700</v>
      </c>
      <c r="C5" s="179">
        <f>IF('DOE25'!G665+'DOE25'!G670=0,0,ROUND('DOE25'!G672,0))</f>
        <v>14381</v>
      </c>
    </row>
    <row r="6" spans="1:4" x14ac:dyDescent="0.2">
      <c r="B6" t="s">
        <v>62</v>
      </c>
      <c r="C6" s="179">
        <f>IF('DOE25'!H665+'DOE25'!H670=0,0,ROUND('DOE25'!H672,0))</f>
        <v>18330</v>
      </c>
    </row>
    <row r="7" spans="1:4" x14ac:dyDescent="0.2">
      <c r="B7" t="s">
        <v>701</v>
      </c>
      <c r="C7" s="179">
        <f>IF('DOE25'!I665+'DOE25'!I670=0,0,ROUND('DOE25'!I672,0))</f>
        <v>16755</v>
      </c>
    </row>
    <row r="9" spans="1:4" x14ac:dyDescent="0.2">
      <c r="A9" s="187" t="s">
        <v>94</v>
      </c>
      <c r="B9" s="188" t="s">
        <v>1603</v>
      </c>
      <c r="C9" s="181" t="s">
        <v>720</v>
      </c>
      <c r="D9" s="181" t="s">
        <v>721</v>
      </c>
    </row>
    <row r="10" spans="1:4" x14ac:dyDescent="0.2">
      <c r="A10">
        <v>1100</v>
      </c>
      <c r="B10" t="s">
        <v>702</v>
      </c>
      <c r="C10" s="179">
        <f>ROUND('DOE25'!L197+'DOE25'!L215+'DOE25'!L233+'DOE25'!L276+'DOE25'!L295+'DOE25'!L314,0)</f>
        <v>11206425</v>
      </c>
      <c r="D10" s="182">
        <f>ROUND((C10/$C$28)*100,1)</f>
        <v>33</v>
      </c>
    </row>
    <row r="11" spans="1:4" x14ac:dyDescent="0.2">
      <c r="A11">
        <v>1200</v>
      </c>
      <c r="B11" t="s">
        <v>703</v>
      </c>
      <c r="C11" s="179">
        <f>ROUND('DOE25'!L198+'DOE25'!L216+'DOE25'!L234+'DOE25'!L277+'DOE25'!L296+'DOE25'!L315,0)</f>
        <v>8391107</v>
      </c>
      <c r="D11" s="182">
        <f>ROUND((C11/$C$28)*100,1)</f>
        <v>24.7</v>
      </c>
    </row>
    <row r="12" spans="1:4" x14ac:dyDescent="0.2">
      <c r="A12">
        <v>1300</v>
      </c>
      <c r="B12" t="s">
        <v>704</v>
      </c>
      <c r="C12" s="179">
        <f>ROUND('DOE25'!L199+'DOE25'!L217+'DOE25'!L235+'DOE25'!L278+'DOE25'!L297+'DOE25'!L316,0)</f>
        <v>730815</v>
      </c>
      <c r="D12" s="182">
        <f>ROUND((C12/$C$28)*100,1)</f>
        <v>2.2000000000000002</v>
      </c>
    </row>
    <row r="13" spans="1:4" x14ac:dyDescent="0.2">
      <c r="A13">
        <v>1400</v>
      </c>
      <c r="B13" t="s">
        <v>705</v>
      </c>
      <c r="C13" s="179">
        <f>ROUND('DOE25'!L200+'DOE25'!L218+'DOE25'!L236+'DOE25'!L279+'DOE25'!L298+'DOE25'!L317,0)</f>
        <v>487899</v>
      </c>
      <c r="D13" s="182">
        <f>ROUND((C13/$C$28)*100,1)</f>
        <v>1.4</v>
      </c>
    </row>
    <row r="14" spans="1:4" x14ac:dyDescent="0.2">
      <c r="D14" s="182"/>
    </row>
    <row r="15" spans="1:4" x14ac:dyDescent="0.2">
      <c r="A15">
        <v>2100</v>
      </c>
      <c r="B15" t="s">
        <v>706</v>
      </c>
      <c r="C15" s="179">
        <f>ROUND('DOE25'!L202+'DOE25'!L220+'DOE25'!L238+'DOE25'!L281+'DOE25'!L300+'DOE25'!L319,0)</f>
        <v>2091756</v>
      </c>
      <c r="D15" s="182">
        <f t="shared" ref="D15:D27" si="0">ROUND((C15/$C$28)*100,1)</f>
        <v>6.2</v>
      </c>
    </row>
    <row r="16" spans="1:4" x14ac:dyDescent="0.2">
      <c r="A16">
        <v>2200</v>
      </c>
      <c r="B16" t="s">
        <v>707</v>
      </c>
      <c r="C16" s="179">
        <f>ROUND('DOE25'!L203+'DOE25'!L221+'DOE25'!L239+'DOE25'!L282+'DOE25'!L301+'DOE25'!L320,0)</f>
        <v>1760482</v>
      </c>
      <c r="D16" s="182">
        <f t="shared" si="0"/>
        <v>5.2</v>
      </c>
    </row>
    <row r="17" spans="1:4" x14ac:dyDescent="0.2">
      <c r="A17" s="183" t="s">
        <v>723</v>
      </c>
      <c r="B17" t="s">
        <v>738</v>
      </c>
      <c r="C17" s="179">
        <f>ROUND('DOE25'!L204+'DOE25'!L209+'DOE25'!L222+'DOE25'!L227+'DOE25'!L240+'DOE25'!L245+'DOE25'!L283+'DOE25'!L288+'DOE25'!L302+'DOE25'!L307+'DOE25'!L321+'DOE25'!L326,0)</f>
        <v>1832942</v>
      </c>
      <c r="D17" s="182">
        <f t="shared" si="0"/>
        <v>5.4</v>
      </c>
    </row>
    <row r="18" spans="1:4" x14ac:dyDescent="0.2">
      <c r="A18">
        <v>2400</v>
      </c>
      <c r="B18" t="s">
        <v>711</v>
      </c>
      <c r="C18" s="179">
        <f>ROUND('DOE25'!L205+'DOE25'!L223+'DOE25'!L241+'DOE25'!L284+'DOE25'!L303+'DOE25'!L322,0)</f>
        <v>2422873</v>
      </c>
      <c r="D18" s="182">
        <f t="shared" si="0"/>
        <v>7.1</v>
      </c>
    </row>
    <row r="19" spans="1:4" x14ac:dyDescent="0.2">
      <c r="A19">
        <v>2500</v>
      </c>
      <c r="B19" t="s">
        <v>708</v>
      </c>
      <c r="C19" s="179">
        <f>ROUND('DOE25'!L206+'DOE25'!L224+'DOE25'!L242+'DOE25'!L285+'DOE25'!L304+'DOE25'!L323,0)</f>
        <v>61241</v>
      </c>
      <c r="D19" s="182">
        <f t="shared" si="0"/>
        <v>0.2</v>
      </c>
    </row>
    <row r="20" spans="1:4" x14ac:dyDescent="0.2">
      <c r="A20">
        <v>2600</v>
      </c>
      <c r="B20" t="s">
        <v>709</v>
      </c>
      <c r="C20" s="179">
        <f>ROUND('DOE25'!L207+'DOE25'!L225+'DOE25'!L243+'DOE25'!L286+'DOE25'!L305+'DOE25'!L324,0)</f>
        <v>2400748</v>
      </c>
      <c r="D20" s="182">
        <f t="shared" si="0"/>
        <v>7.1</v>
      </c>
    </row>
    <row r="21" spans="1:4" x14ac:dyDescent="0.2">
      <c r="A21">
        <v>2700</v>
      </c>
      <c r="B21" t="s">
        <v>710</v>
      </c>
      <c r="C21" s="179">
        <f>ROUND('DOE25'!L208+'DOE25'!L226+'DOE25'!L244+'DOE25'!L287+'DOE25'!L306+'DOE25'!L325,0)</f>
        <v>1328089</v>
      </c>
      <c r="D21" s="182">
        <f t="shared" si="0"/>
        <v>3.9</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148871</v>
      </c>
      <c r="D24" s="182">
        <f t="shared" si="0"/>
        <v>0.4</v>
      </c>
    </row>
    <row r="25" spans="1:4" x14ac:dyDescent="0.2">
      <c r="A25">
        <v>5120</v>
      </c>
      <c r="B25" t="s">
        <v>716</v>
      </c>
      <c r="C25" s="179">
        <f>ROUND('DOE25'!L261+'DOE25'!L342,0)</f>
        <v>630078</v>
      </c>
      <c r="D25" s="182">
        <f t="shared" si="0"/>
        <v>1.9</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478542.22</v>
      </c>
      <c r="D27" s="182">
        <f t="shared" si="0"/>
        <v>1.4</v>
      </c>
    </row>
    <row r="28" spans="1:4" x14ac:dyDescent="0.2">
      <c r="B28" s="187" t="s">
        <v>719</v>
      </c>
      <c r="C28" s="180">
        <f>SUM(C10:C27)</f>
        <v>33971868.219999999</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33971868.219999999</v>
      </c>
    </row>
    <row r="31" spans="1:4" x14ac:dyDescent="0.2">
      <c r="B31" s="33"/>
      <c r="C31" s="180"/>
    </row>
    <row r="32" spans="1:4" x14ac:dyDescent="0.2">
      <c r="A32">
        <v>5100</v>
      </c>
      <c r="B32" s="33" t="s">
        <v>726</v>
      </c>
      <c r="C32" s="180">
        <f>ROUND('DOE25'!L260+'DOE25'!L341,0)</f>
        <v>718825</v>
      </c>
    </row>
    <row r="34" spans="1:4" x14ac:dyDescent="0.2">
      <c r="A34" s="187" t="s">
        <v>94</v>
      </c>
      <c r="B34" s="188" t="s">
        <v>1604</v>
      </c>
      <c r="C34" s="181" t="s">
        <v>720</v>
      </c>
      <c r="D34" s="181" t="s">
        <v>721</v>
      </c>
    </row>
    <row r="35" spans="1:4" x14ac:dyDescent="0.2">
      <c r="A35">
        <v>1100</v>
      </c>
      <c r="B35" s="185" t="s">
        <v>727</v>
      </c>
      <c r="C35" s="179">
        <f>ROUND('DOE25'!F60+'DOE25'!G60+'DOE25'!H60+'DOE25'!I60+'DOE25'!J60,0)</f>
        <v>15815758</v>
      </c>
      <c r="D35" s="182">
        <f t="shared" ref="D35:D40" si="1">ROUND((C35/$C$41)*100,1)</f>
        <v>45.7</v>
      </c>
    </row>
    <row r="36" spans="1:4" x14ac:dyDescent="0.2">
      <c r="B36" s="185" t="s">
        <v>739</v>
      </c>
      <c r="C36" s="179">
        <f>SUM('DOE25'!F112:J112)-SUM('DOE25'!G97:G110)+('DOE25'!F174+'DOE25'!F175+'DOE25'!I174+'DOE25'!I175)-C35</f>
        <v>1894840.6099999994</v>
      </c>
      <c r="D36" s="182">
        <f t="shared" si="1"/>
        <v>5.5</v>
      </c>
    </row>
    <row r="37" spans="1:4" x14ac:dyDescent="0.2">
      <c r="A37" s="183" t="s">
        <v>835</v>
      </c>
      <c r="B37" s="185" t="s">
        <v>728</v>
      </c>
      <c r="C37" s="179">
        <f>ROUND('DOE25'!F117+'DOE25'!F118,0)</f>
        <v>13697915</v>
      </c>
      <c r="D37" s="182">
        <f t="shared" si="1"/>
        <v>39.6</v>
      </c>
    </row>
    <row r="38" spans="1:4" x14ac:dyDescent="0.2">
      <c r="A38" s="183" t="s">
        <v>734</v>
      </c>
      <c r="B38" s="185" t="s">
        <v>729</v>
      </c>
      <c r="C38" s="179">
        <f>ROUND(SUM('DOE25'!F140:J140)-SUM('DOE25'!F117:F119),0)</f>
        <v>449737</v>
      </c>
      <c r="D38" s="182">
        <f t="shared" si="1"/>
        <v>1.3</v>
      </c>
    </row>
    <row r="39" spans="1:4" x14ac:dyDescent="0.2">
      <c r="A39">
        <v>4000</v>
      </c>
      <c r="B39" s="185" t="s">
        <v>730</v>
      </c>
      <c r="C39" s="179">
        <f>ROUND('DOE25'!F169+'DOE25'!G169+'DOE25'!H169+'DOE25'!I169,0)</f>
        <v>2760609</v>
      </c>
      <c r="D39" s="182">
        <f t="shared" si="1"/>
        <v>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34618859.609999999</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showGridLines="0" workbookViewId="0">
      <pane ySplit="3" topLeftCell="A4" activePane="bottomLeft" state="frozen"/>
      <selection activeCell="F46" sqref="F46"/>
      <selection pane="bottomLeft" activeCell="O15" sqref="O15"/>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Claremont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2019-12-18T13:18:12Z</cp:lastPrinted>
  <dcterms:created xsi:type="dcterms:W3CDTF">1997-12-04T19:04:30Z</dcterms:created>
  <dcterms:modified xsi:type="dcterms:W3CDTF">2019-12-18T13:25:48Z</dcterms:modified>
</cp:coreProperties>
</file>