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72" i="1" l="1"/>
  <c r="H197" i="1"/>
  <c r="F50" i="1"/>
  <c r="F13" i="1"/>
  <c r="H398" i="1" l="1"/>
  <c r="J96" i="1"/>
  <c r="J468" i="1"/>
  <c r="H526" i="1" l="1"/>
  <c r="H240" i="1"/>
  <c r="H204" i="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C11" i="10" s="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20" i="10" s="1"/>
  <c r="L243" i="1"/>
  <c r="G15" i="13"/>
  <c r="H15" i="13"/>
  <c r="L208" i="1"/>
  <c r="H647" i="1" s="1"/>
  <c r="L226" i="1"/>
  <c r="L244" i="1"/>
  <c r="G17" i="13"/>
  <c r="H17" i="13"/>
  <c r="L251" i="1"/>
  <c r="G18" i="13"/>
  <c r="H18" i="13"/>
  <c r="L252" i="1"/>
  <c r="D18" i="13" s="1"/>
  <c r="C18" i="13" s="1"/>
  <c r="G19" i="13"/>
  <c r="H19" i="13"/>
  <c r="L253" i="1"/>
  <c r="G29" i="13"/>
  <c r="H29" i="13"/>
  <c r="L358" i="1"/>
  <c r="L359" i="1"/>
  <c r="F661" i="1" s="1"/>
  <c r="L360" i="1"/>
  <c r="G661" i="1" s="1"/>
  <c r="I367" i="1"/>
  <c r="J290" i="1"/>
  <c r="J309" i="1"/>
  <c r="J328" i="1"/>
  <c r="K290" i="1"/>
  <c r="K309" i="1"/>
  <c r="K328" i="1"/>
  <c r="L276" i="1"/>
  <c r="L277" i="1"/>
  <c r="L278" i="1"/>
  <c r="L279" i="1"/>
  <c r="E112" i="2" s="1"/>
  <c r="L281" i="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C13" i="10"/>
  <c r="C18" i="10"/>
  <c r="L250" i="1"/>
  <c r="C113" i="2" s="1"/>
  <c r="L332" i="1"/>
  <c r="L254" i="1"/>
  <c r="L268" i="1"/>
  <c r="C26" i="10" s="1"/>
  <c r="L269" i="1"/>
  <c r="L349" i="1"/>
  <c r="L350" i="1"/>
  <c r="I665" i="1"/>
  <c r="I670" i="1"/>
  <c r="G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C131" i="2"/>
  <c r="A1" i="2"/>
  <c r="A2" i="2"/>
  <c r="C8" i="2"/>
  <c r="D8" i="2"/>
  <c r="D18" i="2" s="1"/>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C112" i="2"/>
  <c r="E113" i="2"/>
  <c r="C114" i="2"/>
  <c r="D115" i="2"/>
  <c r="F115" i="2"/>
  <c r="G115" i="2"/>
  <c r="C119" i="2"/>
  <c r="E119" i="2"/>
  <c r="E120" i="2"/>
  <c r="E121" i="2"/>
  <c r="E123" i="2"/>
  <c r="E124" i="2"/>
  <c r="E125" i="2"/>
  <c r="F128" i="2"/>
  <c r="G128" i="2"/>
  <c r="D134" i="2"/>
  <c r="D144" i="2" s="1"/>
  <c r="E134" i="2"/>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H52" i="1" s="1"/>
  <c r="H619" i="1" s="1"/>
  <c r="I51" i="1"/>
  <c r="F177" i="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H643" i="1" s="1"/>
  <c r="G408" i="1"/>
  <c r="H645" i="1" s="1"/>
  <c r="H408" i="1"/>
  <c r="H644"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1" i="1" s="1"/>
  <c r="H639" i="1" s="1"/>
  <c r="G452" i="1"/>
  <c r="H452" i="1"/>
  <c r="F460" i="1"/>
  <c r="G460" i="1"/>
  <c r="G461" i="1" s="1"/>
  <c r="H640" i="1" s="1"/>
  <c r="H460" i="1"/>
  <c r="H461" i="1"/>
  <c r="F470" i="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G545" i="1" s="1"/>
  <c r="H529" i="1"/>
  <c r="I529" i="1"/>
  <c r="J529" i="1"/>
  <c r="K529" i="1"/>
  <c r="F534" i="1"/>
  <c r="G534" i="1"/>
  <c r="H534" i="1"/>
  <c r="I534" i="1"/>
  <c r="J534" i="1"/>
  <c r="K534" i="1"/>
  <c r="F539" i="1"/>
  <c r="G539" i="1"/>
  <c r="H539" i="1"/>
  <c r="I539" i="1"/>
  <c r="J539" i="1"/>
  <c r="J545" i="1" s="1"/>
  <c r="K539" i="1"/>
  <c r="F544" i="1"/>
  <c r="G544" i="1"/>
  <c r="H544" i="1"/>
  <c r="I544" i="1"/>
  <c r="J544" i="1"/>
  <c r="K544" i="1"/>
  <c r="L557" i="1"/>
  <c r="L560" i="1" s="1"/>
  <c r="L558" i="1"/>
  <c r="L559" i="1"/>
  <c r="F560" i="1"/>
  <c r="G560" i="1"/>
  <c r="H560" i="1"/>
  <c r="I560" i="1"/>
  <c r="J560" i="1"/>
  <c r="J571" i="1" s="1"/>
  <c r="K560" i="1"/>
  <c r="L562" i="1"/>
  <c r="L563" i="1"/>
  <c r="L564" i="1"/>
  <c r="F565" i="1"/>
  <c r="F571" i="1" s="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9" i="1"/>
  <c r="G620" i="1"/>
  <c r="G622" i="1"/>
  <c r="G623" i="1"/>
  <c r="G624" i="1"/>
  <c r="G625" i="1"/>
  <c r="H627" i="1"/>
  <c r="H628" i="1"/>
  <c r="H629" i="1"/>
  <c r="H630" i="1"/>
  <c r="H631" i="1"/>
  <c r="H632" i="1"/>
  <c r="H633" i="1"/>
  <c r="H634" i="1"/>
  <c r="H635" i="1"/>
  <c r="H636" i="1"/>
  <c r="H637" i="1"/>
  <c r="H638" i="1"/>
  <c r="G641" i="1"/>
  <c r="H641" i="1"/>
  <c r="G643" i="1"/>
  <c r="G644" i="1"/>
  <c r="G645" i="1"/>
  <c r="G650" i="1"/>
  <c r="G651" i="1"/>
  <c r="G652" i="1"/>
  <c r="H652" i="1"/>
  <c r="G653" i="1"/>
  <c r="H653" i="1"/>
  <c r="G654" i="1"/>
  <c r="H654" i="1"/>
  <c r="H655" i="1"/>
  <c r="C18" i="2"/>
  <c r="D31" i="2"/>
  <c r="D91" i="2"/>
  <c r="G62" i="2"/>
  <c r="E78" i="2"/>
  <c r="J641" i="1"/>
  <c r="D81" i="2"/>
  <c r="I169" i="1"/>
  <c r="H476" i="1"/>
  <c r="H624" i="1" s="1"/>
  <c r="G476" i="1"/>
  <c r="H623" i="1" s="1"/>
  <c r="J623" i="1" s="1"/>
  <c r="J140" i="1"/>
  <c r="G22" i="2"/>
  <c r="H140" i="1"/>
  <c r="F338" i="1"/>
  <c r="F352" i="1" s="1"/>
  <c r="L393" i="1" l="1"/>
  <c r="C138" i="2" s="1"/>
  <c r="L309" i="1"/>
  <c r="E118" i="2"/>
  <c r="E128" i="2" s="1"/>
  <c r="L290" i="1"/>
  <c r="L338" i="1" s="1"/>
  <c r="L352" i="1" s="1"/>
  <c r="G633" i="1" s="1"/>
  <c r="J633" i="1" s="1"/>
  <c r="C12" i="10"/>
  <c r="H112" i="1"/>
  <c r="G164" i="2"/>
  <c r="G161" i="2"/>
  <c r="G157" i="2"/>
  <c r="G156" i="2"/>
  <c r="F81" i="2"/>
  <c r="F104" i="2" s="1"/>
  <c r="C70" i="2"/>
  <c r="D62" i="2"/>
  <c r="D63" i="2" s="1"/>
  <c r="L614" i="1"/>
  <c r="K571" i="1"/>
  <c r="L570" i="1"/>
  <c r="L571" i="1" s="1"/>
  <c r="H571" i="1"/>
  <c r="L565" i="1"/>
  <c r="I571" i="1"/>
  <c r="K545" i="1"/>
  <c r="J643" i="1"/>
  <c r="F192" i="1"/>
  <c r="C110" i="2"/>
  <c r="I552" i="1"/>
  <c r="L351" i="1"/>
  <c r="F130" i="2"/>
  <c r="F144" i="2" s="1"/>
  <c r="F145" i="2" s="1"/>
  <c r="H662" i="1"/>
  <c r="E122" i="2"/>
  <c r="J624" i="1"/>
  <c r="J655" i="1"/>
  <c r="J651" i="1"/>
  <c r="I545" i="1"/>
  <c r="L529" i="1"/>
  <c r="L433" i="1"/>
  <c r="L427" i="1"/>
  <c r="F257" i="1"/>
  <c r="J257" i="1"/>
  <c r="I52" i="1"/>
  <c r="H620" i="1" s="1"/>
  <c r="E31" i="2"/>
  <c r="J644" i="1"/>
  <c r="J645" i="1"/>
  <c r="J640" i="1"/>
  <c r="K598" i="1"/>
  <c r="G647" i="1" s="1"/>
  <c r="J647" i="1" s="1"/>
  <c r="H552" i="1"/>
  <c r="J552" i="1"/>
  <c r="H545" i="1"/>
  <c r="K549" i="1"/>
  <c r="F552" i="1"/>
  <c r="F476" i="1"/>
  <c r="H622" i="1" s="1"/>
  <c r="J622" i="1" s="1"/>
  <c r="D15" i="13"/>
  <c r="C15" i="13" s="1"/>
  <c r="K257" i="1"/>
  <c r="K271" i="1" s="1"/>
  <c r="D6" i="13"/>
  <c r="C6" i="13" s="1"/>
  <c r="L247" i="1"/>
  <c r="G36" i="14" s="1"/>
  <c r="H36" i="14" s="1"/>
  <c r="I36" i="14" s="1"/>
  <c r="H257" i="1"/>
  <c r="H271" i="1" s="1"/>
  <c r="I257" i="1"/>
  <c r="I271" i="1" s="1"/>
  <c r="C120" i="2"/>
  <c r="L211" i="1"/>
  <c r="C78" i="2"/>
  <c r="F112" i="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D5" i="13"/>
  <c r="C5" i="13" s="1"/>
  <c r="E8" i="13"/>
  <c r="C8" i="13" s="1"/>
  <c r="C12" i="13"/>
  <c r="C35" i="10"/>
  <c r="C36" i="10" s="1"/>
  <c r="C29" i="10"/>
  <c r="E81" i="2"/>
  <c r="G649" i="1"/>
  <c r="J649" i="1" s="1"/>
  <c r="L544" i="1"/>
  <c r="L524" i="1"/>
  <c r="J338" i="1"/>
  <c r="J352" i="1" s="1"/>
  <c r="D127" i="2"/>
  <c r="D128" i="2" s="1"/>
  <c r="D145" i="2" s="1"/>
  <c r="C124" i="2"/>
  <c r="C122" i="2"/>
  <c r="C118" i="2"/>
  <c r="C19" i="10"/>
  <c r="C16" i="10"/>
  <c r="D17" i="13"/>
  <c r="C17" i="13" s="1"/>
  <c r="D7" i="13"/>
  <c r="C7" i="13" s="1"/>
  <c r="E16" i="13"/>
  <c r="H660" i="1"/>
  <c r="H664" i="1" s="1"/>
  <c r="H667" i="1" s="1"/>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E104" i="2"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G50" i="2" s="1"/>
  <c r="G51" i="2" s="1"/>
  <c r="J51" i="1"/>
  <c r="G16" i="2"/>
  <c r="G18" i="2" s="1"/>
  <c r="J19" i="1"/>
  <c r="G621" i="1" s="1"/>
  <c r="F545" i="1"/>
  <c r="H434" i="1"/>
  <c r="J620" i="1"/>
  <c r="J619" i="1"/>
  <c r="D103" i="2"/>
  <c r="D104" i="2" s="1"/>
  <c r="I140" i="1"/>
  <c r="A22" i="12"/>
  <c r="H648" i="1"/>
  <c r="J648" i="1" s="1"/>
  <c r="J652" i="1"/>
  <c r="G571" i="1"/>
  <c r="I434" i="1"/>
  <c r="G434" i="1"/>
  <c r="I663" i="1"/>
  <c r="C27" i="10"/>
  <c r="G635" i="1"/>
  <c r="J635" i="1" s="1"/>
  <c r="L408" i="1" l="1"/>
  <c r="G637" i="1" s="1"/>
  <c r="J637" i="1" s="1"/>
  <c r="C63" i="2"/>
  <c r="C81" i="2"/>
  <c r="C104" i="2" s="1"/>
  <c r="I193" i="1"/>
  <c r="G630" i="1" s="1"/>
  <c r="J630" i="1" s="1"/>
  <c r="F193" i="1"/>
  <c r="G627" i="1" s="1"/>
  <c r="J627" i="1" s="1"/>
  <c r="E145" i="2"/>
  <c r="F660" i="1"/>
  <c r="G104" i="2"/>
  <c r="H646" i="1"/>
  <c r="L545" i="1"/>
  <c r="H672" i="1"/>
  <c r="C6" i="10" s="1"/>
  <c r="F664" i="1"/>
  <c r="F672" i="1" s="1"/>
  <c r="C4" i="10" s="1"/>
  <c r="G4" i="14"/>
  <c r="H4" i="14" s="1"/>
  <c r="I4" i="14" s="1"/>
  <c r="C128" i="2"/>
  <c r="E33" i="13"/>
  <c r="D35" i="13" s="1"/>
  <c r="C115" i="2"/>
  <c r="L257" i="1"/>
  <c r="L271" i="1" s="1"/>
  <c r="G632" i="1" s="1"/>
  <c r="J632" i="1" s="1"/>
  <c r="D31" i="13"/>
  <c r="I461" i="1"/>
  <c r="H642" i="1" s="1"/>
  <c r="J642" i="1" s="1"/>
  <c r="G660" i="1"/>
  <c r="G664" i="1" s="1"/>
  <c r="G667" i="1" s="1"/>
  <c r="C25" i="13"/>
  <c r="I33" i="13"/>
  <c r="K552" i="1"/>
  <c r="C28" i="10"/>
  <c r="D23" i="10" s="1"/>
  <c r="H24" i="14"/>
  <c r="I24" i="14" s="1"/>
  <c r="I660" i="1"/>
  <c r="I664" i="1" s="1"/>
  <c r="I672" i="1" s="1"/>
  <c r="C7" i="10" s="1"/>
  <c r="C31" i="13"/>
  <c r="C51" i="2"/>
  <c r="G631" i="1"/>
  <c r="J631" i="1" s="1"/>
  <c r="J646" i="1"/>
  <c r="G193" i="1"/>
  <c r="G628" i="1" s="1"/>
  <c r="J628" i="1" s="1"/>
  <c r="G626" i="1"/>
  <c r="J626" i="1" s="1"/>
  <c r="J52" i="1"/>
  <c r="H621" i="1" s="1"/>
  <c r="J621" i="1" s="1"/>
  <c r="C38" i="10"/>
  <c r="G672" i="1" l="1"/>
  <c r="C5" i="10" s="1"/>
  <c r="F667" i="1"/>
  <c r="C145" i="2"/>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<sst xmlns="http://schemas.openxmlformats.org/spreadsheetml/2006/main" count="5509" uniqueCount="1614">
  <si>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</si>
  <si>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</si>
  <si>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</si>
  <si>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</si>
  <si>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</si>
  <si>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</si>
  <si>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</si>
  <si>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</si>
  <si>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</si>
  <si>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</si>
  <si>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</si>
  <si>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</si>
  <si>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</si>
  <si>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</si>
  <si>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</si>
  <si>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</si>
  <si>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</si>
  <si>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</si>
  <si>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</si>
  <si>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</si>
  <si>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</si>
  <si>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</si>
  <si>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</si>
  <si>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</si>
  <si>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</si>
  <si>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</si>
  <si>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</si>
  <si>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</si>
  <si>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</si>
  <si>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</si>
  <si>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</si>
  <si>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</si>
  <si>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</si>
  <si>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</si>
  <si>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</si>
  <si>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</si>
  <si>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</si>
  <si>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</si>
  <si>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</si>
  <si>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</si>
  <si>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</si>
  <si>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</si>
  <si>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</si>
  <si>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</si>
  <si>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</si>
  <si>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</si>
  <si>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</si>
  <si>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</si>
  <si>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</si>
  <si>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</si>
  <si>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</si>
  <si>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</si>
  <si>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</si>
  <si>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</si>
  <si>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</si>
  <si>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</si>
  <si>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</si>
  <si>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</si>
  <si>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</si>
  <si>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</si>
  <si>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</si>
  <si>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</si>
  <si>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</si>
  <si>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</si>
  <si>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</si>
  <si>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</si>
  <si>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</si>
  <si>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</si>
  <si>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</si>
  <si>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</si>
  <si>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</si>
  <si>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</si>
  <si>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</si>
  <si>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</si>
  <si>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</si>
  <si>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</si>
  <si>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</si>
  <si>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</si>
  <si>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</si>
  <si>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</si>
  <si>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</si>
  <si>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</si>
  <si>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</si>
  <si>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</si>
  <si>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</si>
  <si>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</si>
  <si>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</si>
  <si>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</si>
  <si>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</si>
  <si>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</si>
  <si>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</si>
  <si>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</si>
  <si>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</si>
  <si>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</si>
  <si>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</si>
  <si>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</si>
  <si>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</si>
  <si>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</si>
  <si>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</si>
  <si>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</si>
  <si>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</si>
  <si>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</si>
  <si>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</si>
  <si>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</si>
  <si>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</si>
  <si>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</si>
  <si>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</si>
  <si>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</si>
  <si>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</si>
  <si>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</si>
  <si>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</si>
  <si>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</si>
  <si>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</si>
  <si>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</si>
  <si>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</si>
  <si>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</si>
  <si>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</si>
  <si>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</si>
  <si>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</si>
  <si>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</si>
  <si>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</si>
  <si>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</si>
  <si>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</si>
  <si>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</si>
  <si>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</si>
  <si>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</si>
  <si>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</si>
  <si>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</si>
  <si>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</si>
  <si>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</si>
  <si>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</si>
  <si>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</si>
  <si>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</si>
  <si>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</si>
  <si>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</si>
  <si>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</si>
  <si>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</si>
  <si>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</si>
  <si>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</si>
  <si>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</si>
  <si>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</si>
  <si>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</si>
  <si>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</si>
  <si>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</si>
  <si>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</si>
  <si>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</si>
  <si>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</si>
  <si>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</si>
  <si>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</si>
  <si>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</si>
  <si>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</si>
  <si>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</si>
  <si>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</si>
  <si>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</si>
  <si>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</si>
  <si>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</si>
  <si>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</si>
  <si>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</si>
  <si>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</si>
  <si>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</si>
  <si>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</si>
  <si>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</si>
  <si>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</si>
  <si>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</si>
  <si>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</si>
  <si>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</si>
  <si>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</si>
  <si>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</si>
  <si>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</si>
  <si>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</si>
  <si>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</si>
  <si>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</si>
  <si>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</si>
  <si>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</si>
  <si>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</si>
  <si>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</si>
  <si>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</si>
  <si>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</si>
  <si>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</si>
  <si>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</si>
  <si>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</si>
  <si>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</si>
  <si>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</si>
  <si>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</si>
  <si>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</si>
  <si>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</si>
  <si>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</si>
  <si>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</si>
  <si>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</si>
  <si>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</si>
  <si>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</si>
  <si>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</si>
  <si>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</si>
  <si>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</si>
  <si>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</si>
  <si>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</si>
  <si>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</si>
  <si>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</si>
  <si>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</si>
  <si>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</si>
  <si>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</si>
  <si>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</si>
  <si>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</si>
  <si>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</si>
  <si>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</si>
  <si>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</si>
  <si>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</si>
  <si>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</si>
  <si>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</si>
  <si>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</si>
  <si>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</si>
  <si>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</si>
  <si>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</si>
  <si>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</si>
  <si>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</si>
  <si>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</si>
  <si>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</si>
  <si>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</si>
  <si>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</si>
  <si>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</si>
  <si>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</si>
  <si>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</si>
  <si>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</si>
  <si>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</si>
  <si>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</si>
  <si>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</si>
  <si>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</si>
  <si>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</si>
  <si>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</si>
  <si>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</si>
  <si>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</si>
  <si>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</si>
  <si>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</si>
  <si>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</si>
  <si>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</si>
  <si>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</si>
  <si>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</si>
  <si>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</si>
  <si>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</si>
  <si>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</si>
  <si>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</si>
  <si>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</si>
  <si>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</si>
  <si>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</si>
  <si>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</si>
  <si>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</si>
  <si>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</si>
  <si>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</si>
  <si>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</si>
  <si>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</si>
  <si>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</si>
  <si>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</si>
  <si>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</si>
  <si>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</si>
  <si>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</si>
  <si>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</si>
  <si>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</si>
  <si>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</si>
  <si>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</si>
  <si>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</si>
  <si>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</si>
  <si>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</si>
  <si>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</si>
  <si>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</si>
  <si>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</si>
  <si>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</si>
  <si>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</si>
  <si>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</si>
  <si>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</si>
  <si>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</si>
  <si>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</si>
  <si>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</si>
  <si>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</si>
  <si>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</si>
  <si>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</si>
  <si>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</si>
  <si>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</si>
  <si>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</si>
  <si>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</si>
  <si>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</si>
  <si>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</si>
  <si>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</si>
  <si>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</si>
  <si>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</si>
  <si>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</si>
  <si>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</si>
  <si>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</si>
  <si>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</si>
  <si>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</si>
  <si>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</si>
  <si>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</si>
  <si>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</si>
  <si>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</si>
  <si>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</si>
  <si>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</si>
  <si>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</si>
  <si>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</si>
  <si>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</si>
  <si>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</si>
  <si>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</si>
  <si>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</si>
  <si>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</si>
  <si>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</si>
  <si>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</si>
  <si>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</si>
  <si>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</si>
  <si>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</si>
  <si>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</si>
  <si>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</si>
  <si>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</si>
  <si>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</si>
  <si>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</si>
  <si>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</si>
  <si>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</si>
  <si>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</si>
  <si>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</si>
  <si>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</si>
  <si>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</si>
  <si>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</si>
  <si>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</si>
  <si>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</si>
  <si>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</si>
  <si>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</si>
  <si>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</si>
  <si>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</si>
  <si>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</si>
  <si>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</si>
  <si>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</si>
  <si>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</si>
  <si>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</si>
  <si>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</si>
  <si>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</si>
  <si>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</si>
  <si>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</si>
  <si>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</si>
  <si>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</si>
  <si>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</si>
  <si>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</si>
  <si>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</si>
  <si>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</si>
  <si>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</si>
  <si>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</si>
  <si>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</si>
  <si>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</si>
  <si>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</si>
  <si>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</si>
  <si>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</si>
  <si>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</si>
  <si>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</si>
  <si>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</si>
  <si>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</si>
  <si>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</si>
  <si>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</si>
  <si>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</si>
  <si>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</si>
  <si>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</si>
  <si>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</si>
  <si>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</si>
  <si>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</si>
  <si>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</si>
  <si>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</si>
  <si>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</si>
  <si>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</si>
  <si>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</si>
  <si>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</si>
  <si>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</si>
  <si>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</si>
  <si>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</si>
  <si>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</si>
  <si>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</si>
  <si>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</si>
  <si>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</si>
  <si>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</si>
  <si>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</si>
  <si>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</si>
  <si>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</si>
  <si>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</si>
  <si>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</si>
  <si>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</si>
  <si>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</si>
  <si>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</si>
  <si>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</si>
  <si>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</si>
  <si>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</si>
  <si>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</si>
  <si>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</si>
  <si>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</si>
  <si>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</si>
  <si>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</si>
  <si>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</si>
  <si>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</si>
  <si>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</si>
  <si>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</si>
  <si>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</si>
  <si>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</si>
  <si>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</si>
  <si>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</si>
  <si>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</si>
  <si>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</si>
  <si>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</si>
  <si>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</si>
  <si>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</si>
  <si>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</si>
  <si>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</si>
  <si>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</si>
  <si>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</si>
  <si>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</si>
  <si>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</si>
  <si>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</si>
  <si>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</si>
  <si>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</si>
  <si>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</si>
  <si>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</si>
  <si>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</si>
  <si>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</si>
  <si>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</si>
  <si>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</si>
  <si>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</si>
  <si>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</si>
  <si>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</si>
  <si>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</si>
  <si>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</si>
  <si>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</si>
  <si>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</si>
  <si>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</si>
  <si>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</si>
  <si>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</si>
  <si>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</si>
  <si>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</si>
  <si>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</si>
  <si>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</si>
  <si>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</si>
  <si>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</si>
  <si>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</si>
  <si>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</si>
  <si>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</si>
  <si>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</si>
  <si>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</si>
  <si>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</si>
  <si>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</si>
  <si>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</si>
  <si>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</si>
  <si>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</si>
  <si>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</si>
  <si>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</si>
  <si>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</si>
  <si>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</si>
  <si>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</si>
  <si>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</si>
  <si>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</si>
  <si>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</si>
  <si>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</si>
  <si>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</si>
  <si>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</si>
  <si>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</si>
  <si>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</si>
  <si>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</si>
  <si>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</si>
  <si>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</si>
  <si>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</si>
  <si>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</si>
  <si>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</si>
  <si>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</si>
  <si>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</si>
  <si>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</si>
  <si>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</si>
  <si>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</si>
  <si>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</si>
  <si>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</si>
  <si>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</si>
  <si>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</si>
  <si>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</si>
  <si>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</si>
  <si>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</si>
  <si>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</si>
  <si>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</si>
  <si>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</si>
  <si>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</si>
  <si>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</si>
  <si>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</si>
  <si>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</si>
  <si>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</si>
  <si>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</si>
  <si>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</si>
  <si>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</si>
  <si>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</si>
  <si>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</si>
  <si>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</si>
  <si>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</si>
  <si>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</si>
  <si>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</si>
  <si>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</si>
  <si>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</si>
  <si>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</si>
  <si>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</si>
  <si>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</si>
  <si>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</si>
  <si>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</si>
  <si>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</si>
  <si>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</si>
  <si>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</si>
  <si>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</si>
  <si>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</si>
  <si>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</si>
  <si>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</si>
  <si>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</si>
  <si>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</si>
  <si>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</si>
  <si>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</si>
  <si>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</si>
  <si>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</si>
  <si>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</si>
  <si>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</si>
  <si>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</si>
  <si>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</si>
  <si>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</si>
  <si>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</si>
  <si>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</si>
  <si>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</si>
  <si>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</si>
  <si>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</si>
  <si>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</si>
  <si>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</si>
  <si>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</si>
  <si>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</si>
  <si>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</si>
  <si>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</si>
  <si>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</si>
  <si>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</si>
  <si>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</si>
  <si>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</si>
  <si>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</si>
  <si>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</si>
  <si>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</si>
  <si>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</si>
  <si>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</si>
  <si>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</si>
  <si>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</si>
  <si>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</si>
  <si>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</si>
  <si>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</si>
  <si>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</si>
  <si>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</si>
  <si>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</si>
  <si>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</si>
  <si>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</si>
  <si>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</si>
  <si>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</si>
  <si>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</si>
  <si>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</si>
  <si>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</si>
  <si>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</si>
  <si>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</si>
  <si>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</si>
  <si>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</si>
  <si>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</si>
  <si>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</si>
  <si>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</si>
  <si>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</si>
  <si>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</si>
  <si>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</si>
  <si>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</si>
  <si>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</si>
  <si>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</si>
  <si>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</si>
  <si>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</si>
  <si>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</si>
  <si>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</si>
  <si>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</si>
  <si>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</si>
  <si>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</si>
  <si>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</si>
  <si>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</si>
  <si>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</si>
  <si>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</si>
  <si>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</si>
  <si>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</si>
  <si>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</si>
  <si>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</si>
  <si>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</si>
  <si>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</si>
  <si>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</si>
  <si>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</si>
  <si>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</si>
  <si>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</si>
  <si>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</si>
  <si>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</si>
  <si>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</si>
  <si>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</si>
  <si>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</si>
  <si>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</si>
  <si>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</si>
  <si>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</si>
  <si>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</si>
  <si>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</si>
  <si>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</si>
  <si>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</si>
  <si>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</si>
  <si>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</si>
  <si>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</si>
  <si>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</si>
  <si>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</si>
  <si>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</si>
  <si>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</si>
  <si>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</si>
  <si>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</si>
  <si>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</si>
  <si>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</si>
  <si>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</si>
  <si>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</si>
  <si>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</si>
  <si>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</si>
  <si>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</si>
  <si>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</si>
  <si>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</si>
  <si>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</si>
  <si>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</si>
  <si>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</si>
  <si>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</si>
  <si>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</si>
  <si>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</si>
  <si>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</si>
  <si>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</si>
  <si>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</si>
  <si>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</si>
  <si>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</si>
  <si>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</si>
  <si>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</si>
  <si>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</si>
  <si>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</si>
  <si>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</si>
  <si>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</si>
  <si>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</si>
  <si>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</si>
  <si>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</si>
  <si>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</si>
  <si>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</si>
  <si>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</si>
  <si>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</si>
  <si>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</si>
  <si>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</si>
  <si>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</si>
  <si>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</si>
  <si>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</si>
  <si>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</si>
  <si>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</si>
  <si>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</si>
  <si>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</si>
  <si>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</si>
  <si>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</si>
  <si>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</si>
  <si>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</si>
  <si>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</si>
  <si>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</si>
  <si>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</si>
  <si>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</si>
  <si>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</si>
  <si>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</si>
  <si>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</si>
  <si>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</si>
  <si>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</si>
  <si>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</si>
  <si>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</si>
  <si>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</si>
  <si>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</si>
  <si>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</si>
  <si>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</si>
  <si>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</si>
  <si>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</si>
  <si>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</si>
  <si>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</si>
  <si>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</si>
  <si>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</si>
  <si>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</si>
  <si>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</si>
  <si>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</si>
  <si>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</si>
  <si>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</si>
  <si>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</si>
  <si>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</si>
  <si>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</si>
  <si>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</si>
  <si>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</si>
  <si>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</si>
  <si>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</si>
  <si>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</si>
  <si>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</si>
  <si>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</si>
  <si>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</si>
  <si>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</si>
  <si>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</si>
  <si>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</si>
  <si>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</si>
  <si>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</si>
  <si>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</si>
  <si>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</si>
  <si>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</si>
  <si>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</si>
  <si>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</si>
  <si>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</si>
  <si>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</si>
  <si>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</si>
  <si>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</si>
  <si>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</si>
  <si>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</si>
  <si>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</si>
  <si>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</si>
  <si>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</si>
  <si>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</si>
  <si>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</si>
  <si>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</si>
  <si>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</si>
  <si>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</si>
  <si>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</si>
  <si>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</si>
  <si>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</si>
  <si>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</si>
  <si>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</si>
  <si>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</si>
  <si>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</si>
  <si>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</si>
  <si>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</si>
  <si>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</si>
  <si>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</si>
  <si>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</si>
  <si>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</si>
  <si>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</si>
  <si>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</si>
  <si>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</si>
  <si>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</si>
  <si>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</si>
  <si>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</si>
  <si>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</si>
  <si>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</si>
  <si>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</si>
  <si>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</si>
  <si>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</si>
  <si>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</si>
  <si>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</si>
  <si>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</si>
  <si>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</si>
  <si>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</si>
  <si>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</si>
  <si>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</si>
  <si>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</si>
  <si>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</si>
  <si>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</si>
  <si>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</si>
  <si>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</si>
  <si>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</si>
  <si>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</si>
  <si>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</si>
  <si>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</si>
  <si>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</si>
  <si>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</si>
  <si>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</si>
  <si>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</si>
  <si>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</si>
  <si>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</si>
  <si>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</si>
  <si>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</si>
  <si>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</si>
  <si>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</si>
  <si>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</si>
  <si>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</si>
  <si>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</si>
  <si>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</si>
  <si>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</si>
  <si>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</si>
  <si>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</si>
  <si>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</si>
  <si>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</si>
  <si>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</si>
  <si>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</si>
  <si>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</si>
  <si>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</si>
  <si>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</si>
  <si>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</si>
  <si>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</si>
  <si>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</si>
  <si>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</si>
  <si>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</si>
  <si>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</si>
  <si>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</si>
  <si>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</si>
  <si>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</si>
  <si>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</si>
  <si>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</si>
  <si>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</si>
  <si>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</si>
  <si>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</si>
  <si>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</si>
  <si>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</si>
  <si>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</si>
  <si>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</si>
  <si>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</si>
  <si>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</si>
  <si>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</si>
  <si>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</si>
  <si>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</si>
  <si>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</si>
  <si>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</si>
  <si>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</si>
  <si>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</si>
  <si>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</si>
  <si>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</si>
  <si>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</si>
  <si>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</si>
  <si>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</si>
  <si>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</si>
  <si>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</si>
  <si>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</si>
  <si>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</si>
  <si>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</si>
  <si>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</si>
  <si>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</si>
  <si>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</si>
  <si>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</si>
  <si>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</si>
  <si>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</si>
  <si>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</si>
  <si>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</si>
  <si>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</si>
  <si>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</si>
  <si>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</si>
  <si>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</si>
  <si>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</si>
  <si>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</si>
  <si>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</si>
  <si>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</si>
  <si>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</si>
  <si>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</si>
  <si>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</si>
  <si>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</si>
  <si>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</si>
  <si>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</si>
  <si>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</si>
  <si>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</si>
  <si>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</si>
  <si>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</si>
  <si>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</si>
  <si>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</si>
  <si>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</si>
  <si>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</si>
  <si>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</si>
  <si>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</si>
  <si>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</si>
  <si>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</si>
  <si>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</si>
  <si>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</si>
  <si>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</si>
  <si>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</si>
  <si>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</si>
  <si>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</si>
  <si>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</si>
  <si>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</si>
  <si>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</si>
  <si>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</si>
  <si>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</si>
  <si>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</si>
  <si>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</si>
  <si>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</si>
  <si>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</si>
  <si>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</si>
  <si>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</si>
  <si>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</si>
  <si>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</si>
  <si>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</si>
  <si>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</si>
  <si>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</si>
  <si>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</si>
  <si>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</si>
  <si>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</si>
  <si>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</si>
  <si>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</si>
  <si>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</si>
  <si>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</si>
  <si>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</si>
  <si>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</si>
  <si>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</si>
  <si>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</si>
  <si>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</si>
  <si>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</si>
  <si>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</si>
  <si>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</si>
  <si>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</si>
  <si>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</si>
  <si>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</si>
  <si>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</si>
  <si>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</si>
  <si>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</si>
  <si>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</si>
  <si>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</si>
  <si>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</si>
  <si>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</si>
  <si>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</si>
  <si>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</si>
  <si>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</si>
  <si>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</si>
  <si>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</si>
  <si>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</si>
  <si>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</si>
  <si>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</si>
  <si>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</si>
  <si>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</si>
  <si>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</si>
  <si>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</si>
  <si>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</si>
  <si>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</si>
  <si>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</si>
  <si>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</si>
  <si>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</si>
  <si>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</si>
  <si>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</si>
  <si>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</si>
  <si>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</si>
  <si>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</si>
  <si>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</si>
  <si>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</si>
  <si>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</si>
  <si>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</si>
  <si>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</si>
  <si>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</si>
  <si>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</si>
  <si>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</si>
  <si>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</si>
  <si>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</si>
  <si>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</si>
  <si>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</si>
  <si>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</si>
  <si>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</si>
  <si>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</si>
  <si>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</si>
  <si>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</si>
  <si>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</si>
  <si>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</si>
  <si>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</si>
  <si>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</si>
  <si>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</si>
  <si>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</si>
  <si>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</si>
  <si>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</si>
  <si>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</si>
  <si>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</si>
  <si>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</si>
  <si>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</si>
  <si>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</si>
  <si>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</si>
  <si>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</si>
  <si>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</si>
  <si>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</si>
  <si>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</si>
  <si>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</si>
  <si>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</si>
  <si>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</si>
  <si>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</si>
  <si>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</si>
  <si>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</si>
  <si>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</si>
  <si>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</si>
  <si>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</si>
  <si>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</si>
  <si>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</si>
  <si>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</si>
  <si>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</si>
  <si>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</si>
  <si>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</si>
  <si>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</si>
  <si>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</si>
  <si>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</si>
  <si>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</si>
  <si>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</si>
  <si>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</si>
  <si>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</si>
  <si>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</si>
  <si>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</si>
  <si>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</si>
  <si>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</si>
  <si>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</si>
  <si>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</si>
  <si>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</si>
  <si>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</si>
  <si>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</si>
  <si>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</si>
  <si>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</si>
  <si>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</si>
  <si>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</si>
  <si>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</si>
  <si>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</si>
  <si>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</si>
  <si>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</si>
  <si>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</si>
  <si>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</si>
  <si>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</si>
  <si>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</si>
  <si>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</si>
  <si>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</si>
  <si>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</si>
  <si>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</si>
  <si>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</si>
  <si>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</si>
  <si>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</si>
  <si>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</si>
  <si>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</si>
  <si>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</si>
  <si>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</si>
  <si>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</si>
  <si>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</si>
  <si>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</si>
  <si>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</si>
  <si>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</si>
  <si>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</si>
  <si>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</si>
  <si>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</si>
  <si>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</si>
  <si>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</si>
  <si>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</si>
  <si>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</si>
  <si>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</si>
  <si>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</si>
  <si>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</si>
  <si>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</si>
  <si>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</si>
  <si>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</si>
  <si>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</si>
  <si>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</si>
  <si>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</si>
  <si>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</si>
  <si>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</si>
  <si>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</si>
  <si>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</si>
  <si>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</si>
  <si>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</si>
  <si>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</si>
  <si>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</si>
  <si>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</si>
  <si>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</si>
  <si>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</si>
  <si>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</si>
  <si>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</si>
  <si>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</si>
  <si>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</si>
  <si>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</si>
  <si>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</si>
  <si>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</si>
  <si>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</si>
  <si>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</si>
  <si>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</si>
  <si>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</si>
  <si>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</si>
  <si>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</si>
  <si>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</si>
  <si>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</si>
  <si>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</si>
  <si>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</si>
  <si>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</si>
  <si>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</si>
  <si>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</si>
  <si>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</si>
  <si>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</si>
  <si>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</si>
  <si>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</si>
  <si>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</si>
  <si>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</si>
  <si>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</si>
  <si>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</si>
  <si>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</si>
  <si>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</si>
  <si>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</si>
  <si>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</si>
  <si>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</si>
  <si>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</si>
  <si>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</si>
  <si>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</si>
  <si>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</si>
  <si>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</si>
  <si>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</si>
  <si>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</si>
  <si>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</si>
  <si>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</si>
  <si>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</si>
  <si>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</si>
  <si>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</si>
  <si>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</si>
  <si>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</si>
  <si>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</si>
  <si>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</si>
  <si>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</si>
  <si>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</si>
  <si>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</si>
  <si>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</si>
  <si>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</si>
  <si>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</si>
  <si>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</si>
  <si>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</si>
  <si>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</si>
  <si>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</si>
  <si>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</si>
  <si>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</si>
  <si>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</si>
  <si>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</si>
  <si>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</si>
  <si>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</si>
  <si>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</si>
  <si>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</si>
  <si>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</si>
  <si>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</si>
  <si>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</si>
  <si>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</si>
  <si>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</si>
  <si>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</si>
  <si>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</si>
  <si>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</si>
  <si>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</si>
  <si>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</si>
  <si>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</si>
  <si>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</si>
  <si>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</si>
  <si>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</si>
  <si>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</si>
  <si>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</si>
  <si>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</si>
  <si>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</si>
  <si>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</si>
  <si>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</si>
  <si>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</si>
  <si>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</si>
  <si>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</si>
  <si>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</si>
  <si>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</si>
  <si>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</si>
  <si>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</si>
  <si>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</si>
  <si>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</si>
  <si>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</si>
  <si>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</si>
  <si>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</si>
  <si>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</si>
  <si>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</si>
  <si>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</si>
  <si>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</si>
  <si>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</si>
  <si>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</si>
  <si>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</si>
  <si>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</si>
  <si>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</si>
  <si>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</si>
  <si>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</si>
  <si>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</si>
  <si>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</si>
  <si>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</si>
  <si>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</si>
  <si>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</si>
  <si>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</si>
  <si>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</si>
  <si>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</si>
  <si>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</si>
  <si>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</si>
  <si>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</si>
  <si>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</si>
  <si>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</si>
  <si>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</si>
  <si>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</si>
  <si>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</si>
  <si>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</si>
  <si>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</si>
  <si>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</si>
  <si>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</si>
  <si>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</si>
  <si>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</si>
  <si>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</si>
  <si>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</si>
  <si>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</si>
  <si>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</si>
  <si>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</si>
  <si>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</si>
  <si>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</si>
  <si>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</si>
  <si>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</si>
  <si>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</si>
  <si>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</si>
  <si>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</si>
  <si>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</si>
  <si>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</si>
  <si>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</si>
  <si>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</si>
  <si>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</si>
  <si>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</si>
  <si>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</si>
  <si>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</si>
  <si>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</si>
  <si>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</si>
  <si>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</si>
  <si>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</si>
  <si>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</si>
  <si>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</si>
  <si>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</si>
  <si>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</si>
  <si>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</si>
  <si>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</si>
  <si>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</si>
  <si>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</si>
  <si>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</si>
  <si>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</si>
  <si>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</si>
  <si>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</si>
  <si>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</si>
  <si>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</si>
  <si>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</si>
  <si>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</si>
  <si>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</si>
  <si>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</si>
  <si>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</si>
  <si>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</si>
  <si>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</si>
  <si>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</si>
  <si>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</si>
  <si>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</si>
  <si>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</si>
  <si>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</si>
  <si>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</si>
  <si>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</si>
  <si>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</si>
  <si>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</si>
  <si>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</si>
  <si>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</si>
  <si>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</si>
  <si>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</si>
  <si>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</si>
  <si>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</si>
  <si>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</si>
  <si>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</si>
  <si>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</si>
  <si>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</si>
  <si>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</si>
  <si>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</si>
  <si>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</si>
  <si>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</si>
  <si>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</si>
  <si>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</si>
  <si>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</si>
  <si>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</si>
  <si>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</si>
  <si>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</si>
  <si>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</si>
  <si>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</si>
  <si>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</si>
  <si>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</si>
  <si>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</si>
  <si>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</si>
  <si>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</si>
  <si>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</si>
  <si>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</si>
  <si>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</si>
  <si>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</si>
  <si>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</si>
  <si>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</si>
  <si>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</si>
  <si>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</si>
  <si>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</si>
  <si>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</si>
  <si>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</si>
  <si>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</si>
  <si>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</si>
  <si>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</si>
  <si>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</si>
  <si>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</si>
  <si>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</si>
  <si>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</si>
  <si>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</si>
  <si>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</si>
  <si>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</si>
  <si>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</si>
  <si>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</si>
  <si>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</si>
  <si>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</si>
  <si>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</si>
  <si>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</si>
  <si>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</si>
  <si>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</si>
  <si>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</si>
  <si>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</si>
  <si>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</si>
  <si>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</si>
  <si>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</si>
  <si>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</si>
  <si>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</si>
  <si>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</si>
  <si>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</si>
  <si>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</si>
  <si>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</si>
  <si>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</si>
  <si>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</si>
  <si>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</si>
  <si>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</si>
  <si>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</si>
  <si>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</si>
  <si>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</si>
  <si>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</si>
  <si>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</si>
  <si>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</si>
  <si>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</si>
  <si>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</si>
  <si>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</si>
  <si>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</si>
  <si>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</si>
  <si>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</si>
  <si>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</si>
  <si>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</si>
  <si>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</si>
  <si>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</si>
  <si>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</si>
  <si>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</si>
  <si>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</si>
  <si>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</si>
  <si>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</si>
  <si>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</si>
  <si>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</si>
  <si>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</si>
  <si>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</si>
  <si>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</si>
  <si>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</si>
  <si>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</si>
  <si>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</si>
  <si>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</si>
  <si>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</si>
  <si>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</si>
  <si>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</si>
  <si>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</si>
  <si>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</si>
  <si>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</si>
  <si>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</si>
  <si>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</si>
  <si>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</si>
  <si>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</si>
  <si>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</si>
  <si>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</si>
  <si>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</si>
  <si>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</si>
  <si>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</si>
  <si>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</si>
  <si>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</si>
  <si>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</si>
  <si>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</si>
  <si>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</si>
  <si>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</si>
  <si>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</si>
  <si>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</si>
  <si>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</si>
  <si>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</si>
  <si>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</si>
  <si>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</si>
  <si>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</si>
  <si>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</si>
  <si>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</si>
  <si>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</si>
  <si>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</si>
  <si>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</si>
  <si>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</si>
  <si>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</si>
  <si>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</si>
  <si>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</si>
  <si>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</si>
  <si>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</si>
  <si>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</si>
  <si>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</si>
  <si>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</si>
  <si>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</si>
  <si>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</si>
  <si>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</si>
  <si>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</si>
  <si>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</si>
  <si>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</si>
  <si>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</si>
  <si>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</si>
  <si>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</si>
  <si>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</si>
  <si>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</si>
  <si>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</si>
  <si>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</si>
  <si>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</si>
  <si>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</si>
  <si>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</si>
  <si>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</si>
  <si>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</si>
  <si>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</si>
  <si>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</si>
  <si>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</si>
  <si>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</si>
  <si>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</si>
  <si>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</si>
  <si>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</si>
  <si>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</si>
  <si>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</si>
  <si>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</si>
  <si>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</si>
  <si>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</si>
  <si>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</si>
  <si>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</si>
  <si>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</si>
  <si>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</si>
  <si>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</si>
  <si>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</si>
  <si>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</si>
  <si>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</si>
  <si>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</si>
  <si>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</si>
  <si>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</si>
  <si>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</si>
  <si>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</si>
  <si>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</si>
  <si>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</si>
  <si>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</si>
  <si>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</si>
  <si>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</si>
  <si>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</si>
  <si>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</si>
  <si>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</si>
  <si>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</si>
  <si>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</si>
  <si>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</si>
  <si>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</si>
  <si>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</si>
  <si>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</si>
  <si>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</si>
  <si>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</si>
  <si>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</si>
  <si>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</si>
  <si>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</si>
  <si>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</si>
  <si>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</si>
  <si>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</si>
  <si>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</si>
  <si>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</si>
  <si>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</si>
  <si>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</si>
  <si>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</si>
  <si>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</si>
  <si>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</si>
  <si>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</si>
  <si>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</si>
  <si>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</si>
  <si>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</si>
  <si>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</si>
  <si>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</si>
  <si>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</si>
  <si>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</si>
  <si>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</si>
  <si>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</si>
  <si>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</si>
  <si>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</si>
  <si>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</si>
  <si>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</si>
  <si>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</si>
  <si>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</si>
  <si>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</si>
  <si>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</si>
  <si>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</si>
  <si>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</si>
  <si>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</si>
  <si>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</si>
  <si>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</si>
  <si>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</si>
  <si>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</si>
  <si>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</si>
  <si>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</si>
  <si>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</si>
  <si>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</si>
  <si>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</si>
  <si>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</si>
  <si>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</si>
  <si>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</si>
  <si>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</si>
  <si>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</si>
  <si>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</si>
  <si>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</si>
  <si>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</si>
  <si>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</si>
  <si>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</si>
  <si>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</si>
  <si>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</si>
  <si>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</si>
  <si>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</si>
  <si>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</si>
  <si>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</si>
  <si>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</si>
  <si>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</si>
  <si>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</si>
  <si>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</si>
  <si>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</si>
  <si>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</si>
  <si>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</si>
  <si>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</si>
  <si>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</si>
  <si>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</si>
  <si>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</si>
  <si>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</si>
  <si>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</si>
  <si>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</si>
  <si>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</si>
  <si>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</si>
  <si>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</si>
  <si>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</si>
  <si>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</si>
  <si>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</si>
  <si>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</si>
  <si>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</si>
  <si>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</si>
  <si>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</si>
  <si>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</si>
  <si>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</si>
  <si>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</si>
  <si>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</si>
  <si>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</si>
  <si>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</si>
  <si>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</si>
  <si>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</si>
  <si>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</si>
  <si>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</si>
  <si>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</si>
  <si>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</si>
  <si>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</si>
  <si>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</si>
  <si>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</si>
  <si>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</si>
  <si>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</si>
  <si>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</si>
  <si>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</si>
  <si>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</si>
  <si>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</si>
  <si>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</si>
  <si>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</si>
  <si>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</si>
  <si>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</si>
  <si>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</si>
  <si>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</si>
  <si>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</si>
  <si>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</si>
  <si>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</si>
  <si>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</si>
  <si>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</si>
  <si>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</si>
  <si>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</si>
  <si>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</si>
  <si>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</si>
  <si>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</si>
  <si>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</si>
  <si>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</si>
  <si>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</si>
  <si>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</si>
  <si>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</si>
  <si>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</si>
  <si>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</si>
  <si>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</si>
  <si>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</si>
  <si>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</si>
  <si>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</si>
  <si>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</si>
  <si>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</si>
  <si>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</si>
  <si>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</si>
  <si>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</si>
  <si>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</si>
  <si>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</si>
  <si>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</si>
  <si>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</si>
  <si>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</si>
  <si>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</si>
  <si>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</si>
  <si>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</si>
  <si>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</si>
  <si>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</si>
  <si>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</si>
  <si>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</si>
  <si>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</si>
  <si>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</si>
  <si>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</si>
  <si>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</si>
  <si>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</si>
  <si>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</si>
  <si>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</si>
  <si>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</si>
  <si>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</si>
  <si>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</si>
  <si>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</si>
  <si>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</si>
  <si>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</si>
  <si>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</si>
  <si>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</si>
  <si>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</si>
  <si>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</si>
  <si>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</si>
  <si>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</si>
  <si>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</si>
  <si>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</si>
  <si>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</si>
  <si>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</si>
  <si>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</si>
  <si>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</si>
  <si>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</si>
  <si>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</si>
  <si>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</si>
  <si>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</si>
  <si>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</si>
  <si>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</si>
  <si>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</si>
  <si>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</si>
  <si>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</si>
  <si>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</si>
  <si>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</si>
  <si>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COLUMBIA SCHOOL DISTRICT</t>
  </si>
  <si>
    <t>Note: Columbia tuitions all students to Colebrook</t>
  </si>
  <si>
    <t>18 &amp; 19</t>
  </si>
  <si>
    <t>Trust Funds - Funds invested with the Town and prorated interest based on districts allocation, per Marsha Parkhurst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</si>
</sst>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53">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1" fontId="12" fillId="0" borderId="11" xfId="0" applyNumberFormat="1" applyFont="1" applyBorder="1" applyAlignment="1" applyProtection="1">
      <alignment horizontal="right"/>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0" fontId="4" fillId="0" borderId="0" xfId="0" applyNumberFormat="1" applyFont="1" applyProtection="1">
      <protection locked="0"/>
    </xf>
    <xf numFmtId="40" fontId="4" fillId="0" borderId="0" xfId="0" applyNumberFormat="1" applyFont="1" applyProtection="1">
      <protection locked="0"/>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36" zoomScaleNormal="136" workbookViewId="0">
      <pane xSplit="5" ySplit="3" topLeftCell="F653" activePane="bottomRight" state="frozen"/>
      <selection pane="topRight" activeCell="F1" sqref="F1"/>
      <selection pane="bottomLeft" activeCell="A4" sqref="A4"/>
      <selection pane="bottomRight" activeCell="B619" sqref="B61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107</v>
      </c>
      <c r="C2" s="21">
        <v>107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16217+1049.56+176613.87+10000</f>
        <v>203880.43</v>
      </c>
      <c r="G9" s="18"/>
      <c r="H9" s="18"/>
      <c r="I9" s="18"/>
      <c r="J9" s="67">
        <f>SUM(I439)</f>
        <v>215080.81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4342+3864.1</f>
        <v>8206.1</v>
      </c>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212086.53</v>
      </c>
      <c r="G19" s="41">
        <f>SUM(G9:G18)</f>
        <v>0</v>
      </c>
      <c r="H19" s="41">
        <f>SUM(H9:H18)</f>
        <v>0</v>
      </c>
      <c r="I19" s="41">
        <f>SUM(I9:I18)</f>
        <v>0</v>
      </c>
      <c r="J19" s="41">
        <f>SUM(J9:J18)</f>
        <v>215080.81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21701.51</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21701.51</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215080.81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187029.46+3864.1-508.54</f>
        <v>190385.02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190385.02</v>
      </c>
      <c r="G51" s="41">
        <f>SUM(G35:G50)</f>
        <v>0</v>
      </c>
      <c r="H51" s="41">
        <f>SUM(H35:H50)</f>
        <v>0</v>
      </c>
      <c r="I51" s="41">
        <f>SUM(I35:I50)</f>
        <v>0</v>
      </c>
      <c r="J51" s="41">
        <f>SUM(J35:J50)</f>
        <v>215080.81</v>
      </c>
      <c r="K51" s="45" t="s">
        <v>288</v>
      </c>
      <c r="L51" s="45" t="s">
        <v>288</v>
      </c>
      <c r="N51" s="264"/>
    </row>
    <row r="52" spans="1:14" s="3" customFormat="1" ht="12.2" customHeight="1" thickTop="1" x14ac:dyDescent="0.15">
      <c r="A52" s="38" t="s">
        <v>455</v>
      </c>
      <c r="B52" s="39" t="s">
        <v>289</v>
      </c>
      <c r="C52" s="6">
        <v>37</v>
      </c>
      <c r="D52" s="39" t="s">
        <v>653</v>
      </c>
      <c r="E52" s="39"/>
      <c r="F52" s="41">
        <f>F51+F32</f>
        <v>212086.53</v>
      </c>
      <c r="G52" s="41">
        <f>G51+G32</f>
        <v>0</v>
      </c>
      <c r="H52" s="41">
        <f>H51+H32</f>
        <v>0</v>
      </c>
      <c r="I52" s="41">
        <f>I51+I32</f>
        <v>0</v>
      </c>
      <c r="J52" s="41">
        <f>J51+J32</f>
        <v>215080.81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624390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624390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6743.48</v>
      </c>
      <c r="G96" s="18"/>
      <c r="H96" s="18"/>
      <c r="I96" s="18"/>
      <c r="J96" s="18">
        <f>4595.56+310.41</f>
        <v>4905.97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6743.48</v>
      </c>
      <c r="G111" s="41">
        <f>SUM(G96:G110)</f>
        <v>0</v>
      </c>
      <c r="H111" s="41">
        <f>SUM(H96:H110)</f>
        <v>0</v>
      </c>
      <c r="I111" s="41">
        <f>SUM(I96:I110)</f>
        <v>0</v>
      </c>
      <c r="J111" s="41">
        <f>SUM(J96:J110)</f>
        <v>4905.97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631133.48</v>
      </c>
      <c r="G112" s="41">
        <f>G60+G111</f>
        <v>0</v>
      </c>
      <c r="H112" s="41">
        <f>H60+H79+H94+H111</f>
        <v>0</v>
      </c>
      <c r="I112" s="41">
        <f>I60+I111</f>
        <v>0</v>
      </c>
      <c r="J112" s="41">
        <f>J60+J111</f>
        <v>4905.97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338916.33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144746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483662.33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6861.5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295.58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9357.08</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493019.41000000003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1783.94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1783.94</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1783.94</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1125936.83</v>
      </c>
      <c r="G193" s="47">
        <f>G112+G140+G169+G192</f>
        <v>0</v>
      </c>
      <c r="H193" s="47">
        <f>H112+H140+H169+H192</f>
        <v>0</v>
      </c>
      <c r="I193" s="47">
        <f>I112+I140+I169+I192</f>
        <v>0</v>
      </c>
      <c r="J193" s="47">
        <f>J112+J140+J192</f>
        <v>29905.97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f>764801.45-3864.1+508.54</f>
        <v>761445.89</v>
      </c>
      <c r="I197" s="18"/>
      <c r="J197" s="18"/>
      <c r="K197" s="18"/>
      <c r="L197" s="19">
        <f>SUM(F197:K197)</f>
        <v>761445.89</v>
      </c>
      <c r="M197" s="8"/>
      <c r="N197" s="266"/>
    </row>
    <row r="198" spans="1:14" s="3" customFormat="1" ht="12.2" customHeight="1" x14ac:dyDescent="0.15">
      <c r="A198" s="1" t="s">
        <v>439</v>
      </c>
      <c r="B198" s="2" t="s">
        <v>341</v>
      </c>
      <c r="C198" s="2" t="s">
        <v>291</v>
      </c>
      <c r="D198" s="2" t="s">
        <v>431</v>
      </c>
      <c r="E198" s="6">
        <v>1200</v>
      </c>
      <c r="F198" s="18"/>
      <c r="G198" s="18"/>
      <c r="H198" s="18">
        <v>982.16</v>
      </c>
      <c r="I198" s="18"/>
      <c r="J198" s="18"/>
      <c r="K198" s="18"/>
      <c r="L198" s="19">
        <f>SUM(F198:K198)</f>
        <v>982.16</v>
      </c>
      <c r="M198" s="8"/>
      <c r="N198" s="266"/>
    </row>
    <row r="199" spans="1:14" s="3" customFormat="1" ht="12.2" customHeight="1" x14ac:dyDescent="0.15">
      <c r="A199" s="1" t="s">
        <v>440</v>
      </c>
      <c r="B199" s="2" t="s">
        <v>341</v>
      </c>
      <c r="C199" s="2" t="s">
        <v>292</v>
      </c>
      <c r="D199" s="2" t="s">
        <v>431</v>
      </c>
      <c r="E199" s="6">
        <v>1300</v>
      </c>
      <c r="F199" s="18"/>
      <c r="G199" s="18"/>
      <c r="H199" s="18">
        <v>13500</v>
      </c>
      <c r="I199" s="18"/>
      <c r="J199" s="18"/>
      <c r="K199" s="18"/>
      <c r="L199" s="19">
        <f>SUM(F199:K199)</f>
        <v>13500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v>112.48</v>
      </c>
      <c r="H202" s="18">
        <v>46741.03</v>
      </c>
      <c r="I202" s="18"/>
      <c r="J202" s="18"/>
      <c r="K202" s="18"/>
      <c r="L202" s="19">
        <f t="shared" ref="L202:L208" si="0">SUM(F202:K202)</f>
        <v>46853.51</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759.5</v>
      </c>
      <c r="G204" s="18">
        <v>115.3</v>
      </c>
      <c r="H204" s="18">
        <f>39937.83+1549.6</f>
        <v>41487.43</v>
      </c>
      <c r="I204" s="18">
        <v>14.49</v>
      </c>
      <c r="J204" s="18">
        <v>0</v>
      </c>
      <c r="K204" s="18">
        <v>1818.43</v>
      </c>
      <c r="L204" s="19">
        <f t="shared" si="0"/>
        <v>44195.15</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44255.21</v>
      </c>
      <c r="I208" s="18"/>
      <c r="J208" s="18"/>
      <c r="K208" s="18"/>
      <c r="L208" s="19">
        <f t="shared" si="0"/>
        <v>44255.21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759.5</v>
      </c>
      <c r="G211" s="41">
        <f t="shared" si="1"/>
        <v>227.78</v>
      </c>
      <c r="H211" s="41">
        <f t="shared" si="1"/>
        <v>908411.72000000009</v>
      </c>
      <c r="I211" s="41">
        <f t="shared" si="1"/>
        <v>14.49</v>
      </c>
      <c r="J211" s="41">
        <f t="shared" si="1"/>
        <v>0</v>
      </c>
      <c r="K211" s="41">
        <f t="shared" si="1"/>
        <v>1818.43</v>
      </c>
      <c r="L211" s="41">
        <f t="shared" si="1"/>
        <v>911231.92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350751.78</v>
      </c>
      <c r="I233" s="18"/>
      <c r="J233" s="18"/>
      <c r="K233" s="18"/>
      <c r="L233" s="19">
        <f>SUM(F233:K233)</f>
        <v>350751.78</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v>3.81</v>
      </c>
      <c r="H238" s="18">
        <v>983.3</v>
      </c>
      <c r="I238" s="18"/>
      <c r="J238" s="18"/>
      <c r="K238" s="18"/>
      <c r="L238" s="19">
        <f t="shared" ref="L238:L244" si="4">SUM(F238:K238)</f>
        <v>987.1099999999999</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465.5</v>
      </c>
      <c r="G240" s="18">
        <v>73.739999999999995</v>
      </c>
      <c r="H240" s="18">
        <f>19926.87+571.8</f>
        <v>20498.669999999998</v>
      </c>
      <c r="I240" s="18"/>
      <c r="J240" s="18"/>
      <c r="K240" s="18">
        <v>991.93</v>
      </c>
      <c r="L240" s="19">
        <f t="shared" si="4"/>
        <v>22029.84</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26848.19</v>
      </c>
      <c r="I244" s="18"/>
      <c r="J244" s="18"/>
      <c r="K244" s="18"/>
      <c r="L244" s="19">
        <f t="shared" si="4"/>
        <v>26848.19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465.5</v>
      </c>
      <c r="G247" s="41">
        <f t="shared" si="5"/>
        <v>77.55</v>
      </c>
      <c r="H247" s="41">
        <f t="shared" si="5"/>
        <v>399081.94</v>
      </c>
      <c r="I247" s="41">
        <f t="shared" si="5"/>
        <v>0</v>
      </c>
      <c r="J247" s="41">
        <f t="shared" si="5"/>
        <v>0</v>
      </c>
      <c r="K247" s="41">
        <f t="shared" si="5"/>
        <v>991.93</v>
      </c>
      <c r="L247" s="41">
        <f t="shared" si="5"/>
        <v>400616.92000000004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1225</v>
      </c>
      <c r="G257" s="41">
        <f t="shared" si="8"/>
        <v>305.33</v>
      </c>
      <c r="H257" s="41">
        <f t="shared" si="8"/>
        <v>1307493.6600000001</v>
      </c>
      <c r="I257" s="41">
        <f t="shared" si="8"/>
        <v>14.49</v>
      </c>
      <c r="J257" s="41">
        <f t="shared" si="8"/>
        <v>0</v>
      </c>
      <c r="K257" s="41">
        <f t="shared" si="8"/>
        <v>2810.36</v>
      </c>
      <c r="L257" s="41">
        <f t="shared" si="8"/>
        <v>1311848.8400000001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v>
      </c>
      <c r="L266" s="19">
        <f t="shared" si="9"/>
        <v>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5050.38</v>
      </c>
      <c r="L268" s="19">
        <f t="shared" si="9"/>
        <v>5050.38</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30050.38</v>
      </c>
      <c r="L270" s="41">
        <f t="shared" si="9"/>
        <v>30050.38</v>
      </c>
      <c r="N270" s="264"/>
    </row>
    <row r="271" spans="1:14" s="3" customFormat="1" ht="12.2" customHeight="1" thickTop="1" x14ac:dyDescent="0.2">
      <c r="A271" s="43" t="s">
        <v>464</v>
      </c>
      <c r="B271" s="40">
        <v>10</v>
      </c>
      <c r="C271" s="40">
        <v>18</v>
      </c>
      <c r="D271" s="39" t="s">
        <v>431</v>
      </c>
      <c r="E271" s="40"/>
      <c r="F271" s="42">
        <f t="shared" ref="F271:L271" si="11">F257+F270</f>
        <v>1225</v>
      </c>
      <c r="G271" s="42">
        <f t="shared" si="11"/>
        <v>305.33</v>
      </c>
      <c r="H271" s="42">
        <f t="shared" si="11"/>
        <v>1307493.6600000001</v>
      </c>
      <c r="I271" s="42">
        <f t="shared" si="11"/>
        <v>14.49</v>
      </c>
      <c r="J271" s="42">
        <f t="shared" si="11"/>
        <v>0</v>
      </c>
      <c r="K271" s="42">
        <f t="shared" si="11"/>
        <v>32860.74</v>
      </c>
      <c r="L271" s="42">
        <f t="shared" si="11"/>
        <v>1341899.22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v>0</v>
      </c>
      <c r="G398" s="18">
        <v>25000</v>
      </c>
      <c r="H398" s="18">
        <f>4595.56+310.41</f>
        <v>4905.97</v>
      </c>
      <c r="I398" s="18"/>
      <c r="J398" s="24" t="s">
        <v>288</v>
      </c>
      <c r="K398" s="24" t="s">
        <v>288</v>
      </c>
      <c r="L398" s="56">
        <f t="shared" si="26"/>
        <v>29905.97</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25000</v>
      </c>
      <c r="H401" s="47">
        <f>SUM(H395:H400)</f>
        <v>4905.97</v>
      </c>
      <c r="I401" s="47">
        <f>SUM(I395:I400)</f>
        <v>0</v>
      </c>
      <c r="J401" s="45" t="s">
        <v>288</v>
      </c>
      <c r="K401" s="45" t="s">
        <v>288</v>
      </c>
      <c r="L401" s="47">
        <f>SUM(L395:L400)</f>
        <v>29905.97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v>
      </c>
      <c r="H408" s="47">
        <f>H393+H401+H407</f>
        <v>4905.97</v>
      </c>
      <c r="I408" s="47">
        <f>I393+I401+I407</f>
        <v>0</v>
      </c>
      <c r="J408" s="24" t="s">
        <v>288</v>
      </c>
      <c r="K408" s="24" t="s">
        <v>288</v>
      </c>
      <c r="L408" s="47">
        <f>L393+L401+L407</f>
        <v>29905.97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215080.81</v>
      </c>
      <c r="H439" s="18"/>
      <c r="I439" s="56">
        <f t="shared" ref="I439:I445" si="33">SUM(F439:H439)</f>
        <v>215080.81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215080.81</v>
      </c>
      <c r="H446" s="13">
        <f>SUM(H439:H445)</f>
        <v>0</v>
      </c>
      <c r="I446" s="13">
        <f>SUM(I439:I445)</f>
        <v>215080.81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215080.81</v>
      </c>
      <c r="H459" s="18"/>
      <c r="I459" s="56">
        <f t="shared" si="34"/>
        <v>215080.81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215080.81</v>
      </c>
      <c r="H460" s="83">
        <f>SUM(H454:H459)</f>
        <v>0</v>
      </c>
      <c r="I460" s="83">
        <f>SUM(I454:I459)</f>
        <v>215080.81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215080.81</v>
      </c>
      <c r="H461" s="42">
        <f>H452+H460</f>
        <v>0</v>
      </c>
      <c r="I461" s="42">
        <f>I452+I460</f>
        <v>215080.81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406347.41</v>
      </c>
      <c r="G465" s="18"/>
      <c r="H465" s="18"/>
      <c r="I465" s="18"/>
      <c r="J465" s="18">
        <v>185174.84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1125936.83</v>
      </c>
      <c r="G468" s="18"/>
      <c r="H468" s="18"/>
      <c r="I468" s="18"/>
      <c r="J468" s="18">
        <f>25000+4595.56+310.41</f>
        <v>29905.97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1125936.83</v>
      </c>
      <c r="G470" s="53">
        <f>SUM(G468:G469)</f>
        <v>0</v>
      </c>
      <c r="H470" s="53">
        <f>SUM(H468:H469)</f>
        <v>0</v>
      </c>
      <c r="I470" s="53">
        <f>SUM(I468:I469)</f>
        <v>0</v>
      </c>
      <c r="J470" s="53">
        <f>SUM(J468:J469)</f>
        <v>29905.97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1345254.78-3864.1+508.54</f>
        <v>1341899.22</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1341899.22</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190385.02000000002</v>
      </c>
      <c r="G476" s="53">
        <f>(G465+G470)- G474</f>
        <v>0</v>
      </c>
      <c r="H476" s="53">
        <f>(H465+H470)- H474</f>
        <v>0</v>
      </c>
      <c r="I476" s="53">
        <f>(I465+I470)- I474</f>
        <v>0</v>
      </c>
      <c r="J476" s="53">
        <f>(J465+J470)- J474</f>
        <v>215080.81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982.16</v>
      </c>
      <c r="I521" s="18"/>
      <c r="J521" s="18"/>
      <c r="K521" s="18"/>
      <c r="L521" s="88">
        <f>SUM(F521:K521)</f>
        <v>982.16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982.16</v>
      </c>
      <c r="I524" s="108">
        <f t="shared" si="36"/>
        <v>0</v>
      </c>
      <c r="J524" s="108">
        <f t="shared" si="36"/>
        <v>0</v>
      </c>
      <c r="K524" s="108">
        <f t="shared" si="36"/>
        <v>0</v>
      </c>
      <c r="L524" s="89">
        <f t="shared" si="36"/>
        <v>982.16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v>51.23</v>
      </c>
      <c r="H526" s="18">
        <f>25375.29+1784.26</f>
        <v>27159.55</v>
      </c>
      <c r="I526" s="18"/>
      <c r="J526" s="18"/>
      <c r="K526" s="18"/>
      <c r="L526" s="88">
        <f>SUM(F526:K526)</f>
        <v>27210.78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v>3.81</v>
      </c>
      <c r="H528" s="18">
        <v>983.3</v>
      </c>
      <c r="I528" s="18"/>
      <c r="J528" s="18"/>
      <c r="K528" s="18"/>
      <c r="L528" s="88">
        <f>SUM(F528:K528)</f>
        <v>987.1099999999999</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55.04</v>
      </c>
      <c r="H529" s="89">
        <f t="shared" si="37"/>
        <v>28142.85</v>
      </c>
      <c r="I529" s="89">
        <f t="shared" si="37"/>
        <v>0</v>
      </c>
      <c r="J529" s="89">
        <f t="shared" si="37"/>
        <v>0</v>
      </c>
      <c r="K529" s="89">
        <f t="shared" si="37"/>
        <v>0</v>
      </c>
      <c r="L529" s="89">
        <f t="shared" si="37"/>
        <v>28197.89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3890.91</v>
      </c>
      <c r="I531" s="18"/>
      <c r="J531" s="18"/>
      <c r="K531" s="18"/>
      <c r="L531" s="88">
        <f>SUM(F531:K531)</f>
        <v>3890.91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778.18</v>
      </c>
      <c r="I533" s="18"/>
      <c r="J533" s="18"/>
      <c r="K533" s="18"/>
      <c r="L533" s="88">
        <f>SUM(F533:K533)</f>
        <v>778.18</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4669.09</v>
      </c>
      <c r="I534" s="89">
        <f t="shared" si="38"/>
        <v>0</v>
      </c>
      <c r="J534" s="89">
        <f t="shared" si="38"/>
        <v>0</v>
      </c>
      <c r="K534" s="89">
        <f t="shared" si="38"/>
        <v>0</v>
      </c>
      <c r="L534" s="89">
        <f t="shared" si="38"/>
        <v>4669.09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352">
        <v>1257.93</v>
      </c>
      <c r="I541" s="18"/>
      <c r="J541" s="18"/>
      <c r="K541" s="18"/>
      <c r="L541" s="88">
        <f>SUM(F541:K541)</f>
        <v>1257.93</v>
      </c>
      <c r="M541" s="8"/>
      <c r="N541" s="266"/>
    </row>
    <row r="542" spans="1:14" s="3" customFormat="1" ht="12.2" customHeight="1" x14ac:dyDescent="0.15">
      <c r="A542" s="22" t="s">
        <v>634</v>
      </c>
      <c r="B542" s="105">
        <v>21</v>
      </c>
      <c r="C542" s="105">
        <v>18</v>
      </c>
      <c r="D542" s="2" t="s">
        <v>432</v>
      </c>
      <c r="E542" s="105"/>
      <c r="F542" s="18"/>
      <c r="G542" s="18"/>
      <c r="H542" s="352"/>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352">
        <v>2352.6</v>
      </c>
      <c r="I543" s="18"/>
      <c r="J543" s="18"/>
      <c r="K543" s="18"/>
      <c r="L543" s="88">
        <f>SUM(F543:K543)</f>
        <v>2352.6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3610.5299999999997</v>
      </c>
      <c r="I544" s="193">
        <f t="shared" si="40"/>
        <v>0</v>
      </c>
      <c r="J544" s="193">
        <f t="shared" si="40"/>
        <v>0</v>
      </c>
      <c r="K544" s="193">
        <f t="shared" si="40"/>
        <v>0</v>
      </c>
      <c r="L544" s="193">
        <f t="shared" si="40"/>
        <v>3610.5299999999997</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55.04</v>
      </c>
      <c r="H545" s="89">
        <f t="shared" si="41"/>
        <v>37404.629999999997</v>
      </c>
      <c r="I545" s="89">
        <f t="shared" si="41"/>
        <v>0</v>
      </c>
      <c r="J545" s="89">
        <f t="shared" si="41"/>
        <v>0</v>
      </c>
      <c r="K545" s="89">
        <f t="shared" si="41"/>
        <v>0</v>
      </c>
      <c r="L545" s="89">
        <f t="shared" si="41"/>
        <v>37459.67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982.16</v>
      </c>
      <c r="G549" s="87">
        <f>L526</f>
        <v>27210.78</v>
      </c>
      <c r="H549" s="87">
        <f>L531</f>
        <v>3890.91</v>
      </c>
      <c r="I549" s="87">
        <f>L536</f>
        <v>0</v>
      </c>
      <c r="J549" s="87">
        <f>L541</f>
        <v>1257.93</v>
      </c>
      <c r="K549" s="87">
        <f>SUM(F549:J549)</f>
        <v>33341.78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987.1099999999999</v>
      </c>
      <c r="H551" s="87">
        <f>L533</f>
        <v>778.18</v>
      </c>
      <c r="I551" s="87">
        <f>L538</f>
        <v>0</v>
      </c>
      <c r="J551" s="87">
        <f>L543</f>
        <v>2352.6</v>
      </c>
      <c r="K551" s="87">
        <f>SUM(F551:J551)</f>
        <v>4117.8899999999994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982.16</v>
      </c>
      <c r="G552" s="89">
        <f t="shared" si="42"/>
        <v>28197.89</v>
      </c>
      <c r="H552" s="89">
        <f t="shared" si="42"/>
        <v>4669.09</v>
      </c>
      <c r="I552" s="89">
        <f t="shared" si="42"/>
        <v>0</v>
      </c>
      <c r="J552" s="89">
        <f t="shared" si="42"/>
        <v>3610.5299999999997</v>
      </c>
      <c r="K552" s="89">
        <f t="shared" si="42"/>
        <v>37459.67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351">
        <v>761445.89</v>
      </c>
      <c r="G575" s="18"/>
      <c r="H575" s="18">
        <v>350751.78</v>
      </c>
      <c r="I575" s="87">
        <f>SUM(F575:H575)</f>
        <v>1112197.67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352">
        <v>13500</v>
      </c>
      <c r="I585" s="87">
        <f t="shared" si="47"/>
        <v>13500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42997.279999999999</v>
      </c>
      <c r="I591" s="18"/>
      <c r="J591" s="18">
        <v>24149.200000000001</v>
      </c>
      <c r="K591" s="104">
        <f t="shared" ref="K591:K597" si="48">SUM(H591:J591)</f>
        <v>67146.48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1257.93</v>
      </c>
      <c r="I592" s="18"/>
      <c r="J592" s="18">
        <v>2352.6</v>
      </c>
      <c r="K592" s="104">
        <f t="shared" si="48"/>
        <v>3610.5299999999997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346.39</v>
      </c>
      <c r="K593" s="104">
        <f t="shared" si="48"/>
        <v>346.39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44255.21</v>
      </c>
      <c r="I598" s="108">
        <f>SUM(I591:I597)</f>
        <v>0</v>
      </c>
      <c r="J598" s="108">
        <f>SUM(J591:J597)</f>
        <v>26848.19</v>
      </c>
      <c r="K598" s="108">
        <f>SUM(K591:K597)</f>
        <v>71103.399999999994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212086.53</v>
      </c>
      <c r="H617" s="109">
        <f>SUM(F52)</f>
        <v>212086.53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215080.81</v>
      </c>
      <c r="H621" s="109">
        <f>SUM(J52)</f>
        <v>215080.81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190385.02</v>
      </c>
      <c r="H622" s="109">
        <f>F476</f>
        <v>190385.02000000002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215080.81</v>
      </c>
      <c r="H626" s="109">
        <f>J476</f>
        <v>215080.81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1125936.83</v>
      </c>
      <c r="H627" s="104">
        <f>SUM(F468)</f>
        <v>1125936.83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29905.97</v>
      </c>
      <c r="H631" s="104">
        <f>SUM(J468)</f>
        <v>29905.97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1341899.22</v>
      </c>
      <c r="H632" s="104">
        <f>SUM(F472)</f>
        <v>1341899.22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29905.97</v>
      </c>
      <c r="H637" s="164">
        <f>SUM(J468)</f>
        <v>29905.97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215080.81</v>
      </c>
      <c r="H640" s="104">
        <f>SUM(G461)</f>
        <v>215080.81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215080.81</v>
      </c>
      <c r="H642" s="104">
        <f>SUM(I461)</f>
        <v>215080.81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4905.97</v>
      </c>
      <c r="H644" s="104">
        <f>H408</f>
        <v>4905.97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v>
      </c>
      <c r="H645" s="104">
        <f>G408</f>
        <v>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29905.97</v>
      </c>
      <c r="H646" s="104">
        <f>L408</f>
        <v>29905.97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71103.399999999994</v>
      </c>
      <c r="H647" s="104">
        <f>L208+L226+L244</f>
        <v>71103.399999999994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44255.21</v>
      </c>
      <c r="H649" s="104">
        <f>H598</f>
        <v>44255.21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26848.19</v>
      </c>
      <c r="H651" s="104">
        <f>J598</f>
        <v>26848.19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v>
      </c>
      <c r="H655" s="104">
        <f>K266+K347</f>
        <v>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911231.92</v>
      </c>
      <c r="G660" s="19">
        <f>(L229+L309+L359)</f>
        <v>0</v>
      </c>
      <c r="H660" s="19">
        <f>(L247+L328+L360)</f>
        <v>400616.92000000004</v>
      </c>
      <c r="I660" s="19">
        <f>SUM(F660:H660)</f>
        <v>1311848.8400000001</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44255.21</v>
      </c>
      <c r="G662" s="19">
        <f>(L226+L306)-(J226+J306)</f>
        <v>0</v>
      </c>
      <c r="H662" s="19">
        <f>(L244+L325)-(J244+J325)</f>
        <v>26848.19</v>
      </c>
      <c r="I662" s="19">
        <f>SUM(F662:H662)</f>
        <v>71103.399999999994</v>
      </c>
      <c r="J662"/>
      <c r="K662" s="13"/>
      <c r="L662" s="13"/>
      <c r="M662" s="8"/>
    </row>
    <row r="663" spans="1:13" s="3" customFormat="1" ht="12.2" customHeight="1" x14ac:dyDescent="0.15">
      <c r="A663" s="198" t="s">
        <v>129</v>
      </c>
      <c r="B663" s="169"/>
      <c r="C663" s="169"/>
      <c r="D663" s="169"/>
      <c r="E663" s="169"/>
      <c r="F663" s="199">
        <f>SUM(F575:F587)+SUM(H602:H604)+SUM(L611)</f>
        <v>761445.89</v>
      </c>
      <c r="G663" s="199">
        <f>SUM(G575:G587)+SUM(I602:I604)+L612</f>
        <v>0</v>
      </c>
      <c r="H663" s="199">
        <f>SUM(H575:H587)+SUM(J602:J604)+L613</f>
        <v>364251.78</v>
      </c>
      <c r="I663" s="19">
        <f>SUM(F663:H663)</f>
        <v>1125697.67</v>
      </c>
      <c r="J663" s="13"/>
      <c r="K663" s="13"/>
      <c r="L663" s="13"/>
      <c r="M663" s="9"/>
    </row>
    <row r="664" spans="1:13" s="3" customFormat="1" ht="12.2" customHeight="1" x14ac:dyDescent="0.15">
      <c r="A664" s="1" t="s">
        <v>130</v>
      </c>
      <c r="F664" s="19">
        <f>F660-SUM(F661:F663)</f>
        <v>105530.82000000007</v>
      </c>
      <c r="G664" s="19">
        <f>G660-SUM(G661:G663)</f>
        <v>0</v>
      </c>
      <c r="H664" s="19">
        <f>H660-SUM(H661:H663)</f>
        <v>9516.9500000000116</v>
      </c>
      <c r="I664" s="19">
        <f>I660-SUM(I661:I663)</f>
        <v>115047.77000000025</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-105530.82</v>
      </c>
      <c r="G669" s="18"/>
      <c r="H669" s="18">
        <v>-9516.9500000000007</v>
      </c>
      <c r="I669" s="19">
        <f>SUM(F669:H669)</f>
        <v>-115047.77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COLUMBIA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N22" sqref="N2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COLUMBIA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1126679.83</v>
      </c>
      <c r="D5" s="20">
        <f>SUM('DOE25'!L197:L200)+SUM('DOE25'!L215:L218)+SUM('DOE25'!L233:L236)-F5-G5-H5</f>
        <v>1126679.83</v>
      </c>
      <c r="E5" s="243"/>
      <c r="F5" s="244"/>
      <c r="G5" s="53">
        <f>SUM('DOE25'!J197:J200)+SUM('DOE25'!J215:J218)+SUM('DOE25'!J233:J236)</f>
        <v>0</v>
      </c>
      <c r="H5" s="53">
        <f>SUM('DOE25'!K197:K200)+SUM('DOE25'!K215:K218)+SUM('DOE25'!K233:K236)</f>
        <v>0</v>
      </c>
      <c r="I5" s="256"/>
    </row>
    <row r="6" spans="1:9" x14ac:dyDescent="0.2">
      <c r="A6" s="32">
        <v>2100</v>
      </c>
      <c r="B6" t="s">
        <v>796</v>
      </c>
      <c r="C6" s="276">
        <f t="shared" si="0"/>
        <v>47840.62</v>
      </c>
      <c r="D6" s="20">
        <f>'DOE25'!L202+'DOE25'!L220+'DOE25'!L238-F6-G6-H6</f>
        <v>47840.62</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40823.470000000008</v>
      </c>
      <c r="D8" s="243"/>
      <c r="E8" s="20">
        <f>'DOE25'!L204+'DOE25'!L222+'DOE25'!L240-F8-G8-H8-D9-D11</f>
        <v>38013.110000000008</v>
      </c>
      <c r="F8" s="244"/>
      <c r="G8" s="53">
        <f>'DOE25'!J204+'DOE25'!J222+'DOE25'!J240</f>
        <v>0</v>
      </c>
      <c r="H8" s="53">
        <f>'DOE25'!K204+'DOE25'!K222+'DOE25'!K240</f>
        <v>2810.36</v>
      </c>
      <c r="I8" s="256"/>
    </row>
    <row r="9" spans="1:9" ht="14.25" x14ac:dyDescent="0.2">
      <c r="A9" s="32">
        <v>2310</v>
      </c>
      <c r="B9" s="185" t="s">
        <v>890</v>
      </c>
      <c r="C9" s="276">
        <f t="shared" si="0"/>
        <v>10862.39</v>
      </c>
      <c r="D9" s="244">
        <v>10862.39</v>
      </c>
      <c r="E9" s="243"/>
      <c r="F9" s="253"/>
      <c r="G9" s="253"/>
      <c r="H9" s="253"/>
      <c r="I9" s="256"/>
    </row>
    <row r="10" spans="1:9" ht="14.25" x14ac:dyDescent="0.2">
      <c r="A10" s="32">
        <v>2317</v>
      </c>
      <c r="B10" s="185" t="s">
        <v>891</v>
      </c>
      <c r="C10" s="276">
        <f t="shared" si="0"/>
        <v>4500</v>
      </c>
      <c r="D10" s="243"/>
      <c r="E10" s="244">
        <v>4500</v>
      </c>
      <c r="F10" s="253"/>
      <c r="G10" s="253"/>
      <c r="H10" s="253"/>
      <c r="I10" s="256"/>
    </row>
    <row r="11" spans="1:9" ht="14.25" x14ac:dyDescent="0.2">
      <c r="A11" s="32">
        <v>2321</v>
      </c>
      <c r="B11" s="185" t="s">
        <v>892</v>
      </c>
      <c r="C11" s="276">
        <f t="shared" si="0"/>
        <v>14539.13</v>
      </c>
      <c r="D11" s="244">
        <v>14539.13</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71103.399999999994</v>
      </c>
      <c r="D15" s="20">
        <f>'DOE25'!L208+'DOE25'!L226+'DOE25'!L244-F15-G15-H15</f>
        <v>28669.399999999994</v>
      </c>
      <c r="E15" s="243"/>
      <c r="F15" s="244">
        <v>42434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1228591.3699999999</v>
      </c>
      <c r="E33" s="245">
        <f t="shared" si="1"/>
        <v>42513.110000000008</v>
      </c>
      <c r="F33" s="245">
        <f t="shared" si="1"/>
        <v>42434</v>
      </c>
      <c r="G33" s="245">
        <f t="shared" si="1"/>
        <v>0</v>
      </c>
      <c r="H33" s="245">
        <f t="shared" si="1"/>
        <v>2810.36</v>
      </c>
      <c r="I33" s="245">
        <f t="shared" si="1"/>
        <v>0</v>
      </c>
    </row>
    <row r="35" spans="1:9" ht="12" thickBot="1" x14ac:dyDescent="0.25">
      <c r="B35" s="251" t="s">
        <v>831</v>
      </c>
      <c r="D35" s="252">
        <f>E33</f>
        <v>42513.110000000008</v>
      </c>
      <c r="E35" s="248"/>
    </row>
    <row r="36" spans="1:9" ht="12" thickTop="1" x14ac:dyDescent="0.2">
      <c r="B36" t="s">
        <v>810</v>
      </c>
      <c r="D36" s="20">
        <f>D33</f>
        <v>1228591.3699999999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COLUMBIA SCHOOL DISTRICT</v>
      </c>
      <c r="B2" s="126">
        <f>'DOE25'!B2</f>
        <v>107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911231.92</v>
      </c>
      <c r="G4" s="303">
        <f>'DOE25'!L211+'DOE25'!L290</f>
        <v>911231.92</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911231.92</v>
      </c>
      <c r="E5" s="294"/>
      <c r="F5" s="313">
        <f>D5+E5</f>
        <v>911231.92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400616.92</v>
      </c>
      <c r="G36" s="303">
        <f>'DOE25'!L247+'DOE25'!L328</f>
        <v>400616.92000000004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400616.92</v>
      </c>
      <c r="E37" s="294"/>
      <c r="F37" s="308">
        <f>D37+E37</f>
        <v>400616.92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COLUMBIA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203880.43</v>
      </c>
      <c r="D8" s="95">
        <f>'DOE25'!G9</f>
        <v>0</v>
      </c>
      <c r="E8" s="95">
        <f>'DOE25'!H9</f>
        <v>0</v>
      </c>
      <c r="F8" s="95">
        <f>'DOE25'!I9</f>
        <v>0</v>
      </c>
      <c r="G8" s="95">
        <f>'DOE25'!J9</f>
        <v>215080.81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8206.1</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212086.53</v>
      </c>
      <c r="D18" s="41">
        <f>SUM(D8:D17)</f>
        <v>0</v>
      </c>
      <c r="E18" s="41">
        <f>SUM(E8:E17)</f>
        <v>0</v>
      </c>
      <c r="F18" s="41">
        <f>SUM(F8:F17)</f>
        <v>0</v>
      </c>
      <c r="G18" s="41">
        <f>SUM(G8:G17)</f>
        <v>215080.81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21701.51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21701.51</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215080.81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190385.02</v>
      </c>
      <c r="D49" s="24" t="s">
        <v>288</v>
      </c>
      <c r="E49" s="24" t="s">
        <v>288</v>
      </c>
      <c r="F49" s="24" t="s">
        <v>288</v>
      </c>
      <c r="G49" s="24" t="s">
        <v>288</v>
      </c>
      <c r="H49" s="124"/>
      <c r="I49" s="124"/>
    </row>
    <row r="50" spans="1:9" ht="12.75" thickTop="1" thickBot="1" x14ac:dyDescent="0.25">
      <c r="A50" s="38" t="s">
        <v>884</v>
      </c>
      <c r="B50" s="48"/>
      <c r="C50" s="41">
        <f>SUM(C34:C49)</f>
        <v>190385.02</v>
      </c>
      <c r="D50" s="41">
        <f>SUM(D34:D49)</f>
        <v>0</v>
      </c>
      <c r="E50" s="41">
        <f>SUM(E34:E49)</f>
        <v>0</v>
      </c>
      <c r="F50" s="41">
        <f>SUM(F34:F49)</f>
        <v>0</v>
      </c>
      <c r="G50" s="41">
        <f>SUM(G34:G49)</f>
        <v>215080.81</v>
      </c>
      <c r="H50" s="124"/>
      <c r="I50" s="124"/>
    </row>
    <row r="51" spans="1:9" ht="12" thickTop="1" x14ac:dyDescent="0.2">
      <c r="A51" s="38" t="s">
        <v>885</v>
      </c>
      <c r="B51" s="2"/>
      <c r="C51" s="41">
        <f>C50+C31</f>
        <v>212086.53</v>
      </c>
      <c r="D51" s="41">
        <f>D50+D31</f>
        <v>0</v>
      </c>
      <c r="E51" s="41">
        <f>E50+E31</f>
        <v>0</v>
      </c>
      <c r="F51" s="41">
        <f>F50+F31</f>
        <v>0</v>
      </c>
      <c r="G51" s="41">
        <f>G50+G31</f>
        <v>215080.81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624390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6743.48</v>
      </c>
      <c r="D59" s="95">
        <f>'DOE25'!G96</f>
        <v>0</v>
      </c>
      <c r="E59" s="95">
        <f>'DOE25'!H96</f>
        <v>0</v>
      </c>
      <c r="F59" s="95">
        <f>'DOE25'!I96</f>
        <v>0</v>
      </c>
      <c r="G59" s="95">
        <f>'DOE25'!J96</f>
        <v>4905.97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6743.48</v>
      </c>
      <c r="D62" s="130">
        <f>SUM(D57:D61)</f>
        <v>0</v>
      </c>
      <c r="E62" s="130">
        <f>SUM(E57:E61)</f>
        <v>0</v>
      </c>
      <c r="F62" s="130">
        <f>SUM(F57:F61)</f>
        <v>0</v>
      </c>
      <c r="G62" s="130">
        <f>SUM(G57:G61)</f>
        <v>4905.97</v>
      </c>
      <c r="H62"/>
      <c r="I62"/>
    </row>
    <row r="63" spans="1:9" ht="12" thickTop="1" x14ac:dyDescent="0.2">
      <c r="A63" s="29" t="s">
        <v>175</v>
      </c>
      <c r="B63" s="6"/>
      <c r="C63" s="22">
        <f>C56+C62</f>
        <v>631133.48</v>
      </c>
      <c r="D63" s="22">
        <f>D56+D62</f>
        <v>0</v>
      </c>
      <c r="E63" s="22">
        <f>E56+E62</f>
        <v>0</v>
      </c>
      <c r="F63" s="22">
        <f>F56+F62</f>
        <v>0</v>
      </c>
      <c r="G63" s="22">
        <f>G56+G62</f>
        <v>4905.97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338916.33</v>
      </c>
      <c r="D66" s="24" t="s">
        <v>288</v>
      </c>
      <c r="E66" s="24" t="s">
        <v>288</v>
      </c>
      <c r="F66" s="24" t="s">
        <v>288</v>
      </c>
      <c r="G66" s="24" t="s">
        <v>288</v>
      </c>
      <c r="H66"/>
      <c r="I66"/>
    </row>
    <row r="67" spans="1:9" x14ac:dyDescent="0.2">
      <c r="A67" s="1" t="s">
        <v>770</v>
      </c>
      <c r="B67" s="6">
        <v>3112</v>
      </c>
      <c r="C67" s="95">
        <f>'DOE25'!F118</f>
        <v>144746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483662.33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7157.08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9357.08</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493019.41000000003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1783.94</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1783.94</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1125936.83</v>
      </c>
      <c r="D104" s="86">
        <f>D63+D81+D91+D103</f>
        <v>0</v>
      </c>
      <c r="E104" s="86">
        <f>E63+E81+E91+E103</f>
        <v>0</v>
      </c>
      <c r="F104" s="86">
        <f>F63+F81+F91+F103</f>
        <v>0</v>
      </c>
      <c r="G104" s="86">
        <f>G63+G81+G103</f>
        <v>29905.97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1112197.67</v>
      </c>
      <c r="D109" s="24" t="s">
        <v>288</v>
      </c>
      <c r="E109" s="95">
        <f>('DOE25'!L276)+('DOE25'!L295)+('DOE25'!L314)</f>
        <v>0</v>
      </c>
      <c r="F109" s="24" t="s">
        <v>288</v>
      </c>
      <c r="G109" s="24" t="s">
        <v>288</v>
      </c>
    </row>
    <row r="110" spans="1:7" x14ac:dyDescent="0.2">
      <c r="A110" t="s">
        <v>198</v>
      </c>
      <c r="B110" s="32" t="s">
        <v>199</v>
      </c>
      <c r="C110" s="95">
        <f>('DOE25'!L198)+('DOE25'!L216)+('DOE25'!L234)</f>
        <v>982.16</v>
      </c>
      <c r="D110" s="24" t="s">
        <v>288</v>
      </c>
      <c r="E110" s="95">
        <f>('DOE25'!L277)+('DOE25'!L296)+('DOE25'!L315)</f>
        <v>0</v>
      </c>
      <c r="F110" s="24" t="s">
        <v>288</v>
      </c>
      <c r="G110" s="24" t="s">
        <v>288</v>
      </c>
    </row>
    <row r="111" spans="1:7" x14ac:dyDescent="0.2">
      <c r="A111" t="s">
        <v>200</v>
      </c>
      <c r="B111" s="32" t="s">
        <v>165</v>
      </c>
      <c r="C111" s="95">
        <f>('DOE25'!L199)+('DOE25'!L217)+('DOE25'!L235)</f>
        <v>13500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1126679.8299999998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47840.62</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66224.990000000005</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71103.399999999994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185169.01</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29905.97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-4905.9700000000012</v>
      </c>
      <c r="D141" s="24" t="s">
        <v>288</v>
      </c>
      <c r="E141" s="24" t="s">
        <v>288</v>
      </c>
      <c r="F141" s="24" t="s">
        <v>288</v>
      </c>
      <c r="G141" s="24" t="s">
        <v>288</v>
      </c>
    </row>
    <row r="142" spans="1:7" x14ac:dyDescent="0.2">
      <c r="A142" t="s">
        <v>241</v>
      </c>
      <c r="B142" s="32">
        <v>5310</v>
      </c>
      <c r="C142" s="129">
        <f>'DOE25'!L268</f>
        <v>5050.38</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30050.38</v>
      </c>
      <c r="D144" s="141">
        <f>SUM(D130:D143)</f>
        <v>0</v>
      </c>
      <c r="E144" s="141">
        <f>SUM(E130:E143)</f>
        <v>0</v>
      </c>
      <c r="F144" s="141">
        <f>SUM(F130:F143)</f>
        <v>0</v>
      </c>
      <c r="G144" s="141">
        <f>SUM(G130:G143)</f>
        <v>0</v>
      </c>
    </row>
    <row r="145" spans="1:9" ht="12.75" thickTop="1" thickBot="1" x14ac:dyDescent="0.25">
      <c r="A145" s="33" t="s">
        <v>244</v>
      </c>
      <c r="C145" s="86">
        <f>(C115+C128+C144)</f>
        <v>1341899.2199999997</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COLUMBIA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1112198</v>
      </c>
      <c r="D10" s="182">
        <f>ROUND((C10/$C$28)*100,1)</f>
        <v>84.5</v>
      </c>
    </row>
    <row r="11" spans="1:4" x14ac:dyDescent="0.2">
      <c r="A11">
        <v>1200</v>
      </c>
      <c r="B11" t="s">
        <v>703</v>
      </c>
      <c r="C11" s="179">
        <f>ROUND('DOE25'!L198+'DOE25'!L216+'DOE25'!L234+'DOE25'!L277+'DOE25'!L296+'DOE25'!L315,0)</f>
        <v>982</v>
      </c>
      <c r="D11" s="182">
        <f>ROUND((C11/$C$28)*100,1)</f>
        <v>0.1</v>
      </c>
    </row>
    <row r="12" spans="1:4" x14ac:dyDescent="0.2">
      <c r="A12">
        <v>1300</v>
      </c>
      <c r="B12" t="s">
        <v>704</v>
      </c>
      <c r="C12" s="179">
        <f>ROUND('DOE25'!L199+'DOE25'!L217+'DOE25'!L235+'DOE25'!L278+'DOE25'!L297+'DOE25'!L316,0)</f>
        <v>13500</v>
      </c>
      <c r="D12" s="182">
        <f>ROUND((C12/$C$28)*100,1)</f>
        <v>1</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47841</v>
      </c>
      <c r="D15" s="182">
        <f t="shared" ref="D15:D27" si="0">ROUND((C15/$C$28)*100,1)</f>
        <v>3.6</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66225</v>
      </c>
      <c r="D17" s="182">
        <f t="shared" si="0"/>
        <v>5</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71103</v>
      </c>
      <c r="D21" s="182">
        <f t="shared" si="0"/>
        <v>5.4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5050.38</v>
      </c>
      <c r="D26" s="182">
        <f t="shared" si="0"/>
        <v>0.4</v>
      </c>
    </row>
    <row r="27" spans="1:4" x14ac:dyDescent="0.2">
      <c r="A27">
        <v>3100</v>
      </c>
      <c r="B27" t="s">
        <v>11</v>
      </c>
      <c r="C27" s="179">
        <f>ROUND('DOE25'!L362-'DOE25'!L361,0)-SUM('DOE25'!G97:G110)</f>
        <v>0</v>
      </c>
      <c r="D27" s="182">
        <f t="shared" si="0"/>
        <v>0</v>
      </c>
    </row>
    <row r="28" spans="1:4" x14ac:dyDescent="0.2">
      <c r="B28" s="187" t="s">
        <v>719</v>
      </c>
      <c r="C28" s="180">
        <f>SUM(C10:C27)</f>
        <v>1316899.3799999999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1316899.3799999999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624390</v>
      </c>
      <c r="D35" s="182">
        <f t="shared" ref="D35:D40" si="1">ROUND((C35/$C$41)*100,1)</f>
        <v>55.2</v>
      </c>
    </row>
    <row r="36" spans="1:4" x14ac:dyDescent="0.2">
      <c r="B36" s="185" t="s">
        <v>739</v>
      </c>
      <c r="C36" s="179">
        <f>SUM('DOE25'!F112:J112)-SUM('DOE25'!G97:G110)+('DOE25'!F174+'DOE25'!F175+'DOE25'!I174+'DOE25'!I175)-C35</f>
        <v>11649.449999999953</v>
      </c>
      <c r="D36" s="182">
        <f t="shared" si="1"/>
        <v>1</v>
      </c>
    </row>
    <row r="37" spans="1:4" x14ac:dyDescent="0.2">
      <c r="A37" s="183" t="s">
        <v>835</v>
      </c>
      <c r="B37" s="185" t="s">
        <v>728</v>
      </c>
      <c r="C37" s="179">
        <f>ROUND('DOE25'!F117+'DOE25'!F118,0)</f>
        <v>483662</v>
      </c>
      <c r="D37" s="182">
        <f t="shared" si="1"/>
        <v>42.8</v>
      </c>
    </row>
    <row r="38" spans="1:4" x14ac:dyDescent="0.2">
      <c r="A38" s="183" t="s">
        <v>734</v>
      </c>
      <c r="B38" s="185" t="s">
        <v>729</v>
      </c>
      <c r="C38" s="179">
        <f>ROUND(SUM('DOE25'!F140:J140)-SUM('DOE25'!F117:F119),0)</f>
        <v>9357</v>
      </c>
      <c r="D38" s="182">
        <f t="shared" si="1"/>
        <v>0.8</v>
      </c>
    </row>
    <row r="39" spans="1:4" x14ac:dyDescent="0.2">
      <c r="A39">
        <v>4000</v>
      </c>
      <c r="B39" s="185" t="s">
        <v>730</v>
      </c>
      <c r="C39" s="179">
        <f>ROUND('DOE25'!F169+'DOE25'!G169+'DOE25'!H169+'DOE25'!I169,0)</f>
        <v>1784</v>
      </c>
      <c r="D39" s="182">
        <f t="shared" si="1"/>
        <v>0.2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1130842.45</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11" sqref="A11"/>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COLUMBIA SCHOOL DISTRICT</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t="s">
        <v>1569</v>
      </c>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t="s">
        <v>1611</v>
      </c>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323" t="s">
        <v>1612</v>
      </c>
      <c r="B10" s="219"/>
      <c r="C10" s="335" t="s">
        <v>1613</v>
      </c>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2019-09-23T13:15:30Z</cp:lastPrinted>
  <dcterms:created xsi:type="dcterms:W3CDTF">1997-12-04T19:04:30Z</dcterms:created>
  <dcterms:modified xsi:type="dcterms:W3CDTF">2019-09-23T13:15:59Z</dcterms:modified>
</cp:coreProperties>
</file>