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564" i="1" l="1"/>
  <c r="G564" i="1"/>
  <c r="F564" i="1"/>
  <c r="J563" i="1"/>
  <c r="I563" i="1"/>
  <c r="H563" i="1"/>
  <c r="G563" i="1"/>
  <c r="F563" i="1"/>
  <c r="I562" i="1"/>
  <c r="H562" i="1"/>
  <c r="G562" i="1"/>
  <c r="F562" i="1"/>
  <c r="E10" i="14" l="1"/>
  <c r="D10" i="14"/>
  <c r="D11" i="13" l="1"/>
  <c r="C39" i="12"/>
  <c r="C38" i="12"/>
  <c r="C37" i="12"/>
  <c r="C30" i="12"/>
  <c r="C29" i="12"/>
  <c r="C28" i="12"/>
  <c r="C21" i="12"/>
  <c r="C20" i="12"/>
  <c r="C19" i="12"/>
  <c r="C12" i="12"/>
  <c r="C11" i="12"/>
  <c r="C10" i="12"/>
  <c r="B39" i="12"/>
  <c r="B30" i="12"/>
  <c r="B21" i="12"/>
  <c r="B12" i="12"/>
  <c r="F502" i="1" l="1"/>
  <c r="F499" i="1"/>
  <c r="H604" i="1" l="1"/>
  <c r="J604" i="1"/>
  <c r="I604" i="1"/>
  <c r="J597" i="1"/>
  <c r="J596" i="1"/>
  <c r="J595" i="1"/>
  <c r="J594" i="1"/>
  <c r="J593" i="1"/>
  <c r="J592" i="1"/>
  <c r="J591" i="1"/>
  <c r="I597" i="1"/>
  <c r="I596" i="1"/>
  <c r="I595" i="1"/>
  <c r="I594" i="1"/>
  <c r="I593" i="1"/>
  <c r="I592" i="1"/>
  <c r="I591" i="1"/>
  <c r="H597" i="1"/>
  <c r="H596" i="1"/>
  <c r="H595" i="1"/>
  <c r="H594" i="1"/>
  <c r="H593" i="1"/>
  <c r="H592" i="1"/>
  <c r="H591" i="1"/>
  <c r="J564" i="1"/>
  <c r="I564" i="1"/>
  <c r="J562" i="1"/>
  <c r="G533" i="1"/>
  <c r="G532" i="1"/>
  <c r="G531" i="1"/>
  <c r="F533" i="1"/>
  <c r="F531" i="1"/>
  <c r="K543" i="1"/>
  <c r="J543" i="1"/>
  <c r="H543" i="1"/>
  <c r="G543" i="1"/>
  <c r="F543" i="1"/>
  <c r="K542" i="1"/>
  <c r="J542" i="1"/>
  <c r="H542" i="1"/>
  <c r="G542" i="1"/>
  <c r="F542" i="1"/>
  <c r="K541" i="1"/>
  <c r="J541" i="1"/>
  <c r="H541" i="1"/>
  <c r="G541" i="1"/>
  <c r="F541" i="1"/>
  <c r="K528" i="1"/>
  <c r="J528" i="1"/>
  <c r="I528" i="1"/>
  <c r="H528" i="1"/>
  <c r="G528" i="1"/>
  <c r="F528" i="1"/>
  <c r="K527" i="1"/>
  <c r="J527" i="1"/>
  <c r="I527" i="1"/>
  <c r="H527" i="1"/>
  <c r="G527" i="1"/>
  <c r="F527" i="1"/>
  <c r="K526" i="1"/>
  <c r="J526" i="1"/>
  <c r="I526" i="1"/>
  <c r="H526" i="1"/>
  <c r="G526" i="1"/>
  <c r="F526" i="1"/>
  <c r="H538" i="1"/>
  <c r="H537" i="1"/>
  <c r="H536" i="1"/>
  <c r="K523" i="1"/>
  <c r="J523" i="1"/>
  <c r="I523" i="1"/>
  <c r="H523" i="1"/>
  <c r="G523" i="1"/>
  <c r="F523" i="1"/>
  <c r="J522" i="1"/>
  <c r="I522" i="1"/>
  <c r="H522" i="1"/>
  <c r="G522" i="1"/>
  <c r="F522" i="1"/>
  <c r="J521" i="1"/>
  <c r="I521" i="1"/>
  <c r="H521" i="1"/>
  <c r="G521" i="1"/>
  <c r="F521" i="1"/>
  <c r="H368" i="1"/>
  <c r="G368" i="1"/>
  <c r="F368" i="1"/>
  <c r="H367" i="1"/>
  <c r="G367" i="1"/>
  <c r="F367" i="1"/>
  <c r="K360" i="1" l="1"/>
  <c r="I360" i="1"/>
  <c r="H360" i="1"/>
  <c r="G360" i="1"/>
  <c r="F360" i="1"/>
  <c r="K359" i="1"/>
  <c r="I359" i="1"/>
  <c r="H359" i="1"/>
  <c r="G359" i="1"/>
  <c r="F359" i="1"/>
  <c r="K358" i="1"/>
  <c r="I358" i="1"/>
  <c r="H358" i="1"/>
  <c r="G358" i="1"/>
  <c r="F358" i="1"/>
  <c r="I400" i="1"/>
  <c r="H400" i="1"/>
  <c r="G400" i="1"/>
  <c r="J472" i="1"/>
  <c r="I379" i="1"/>
  <c r="H379" i="1"/>
  <c r="J380" i="1"/>
  <c r="J379" i="1"/>
  <c r="H376" i="1"/>
  <c r="I380" i="1"/>
  <c r="H380" i="1"/>
  <c r="K344" i="1"/>
  <c r="H325" i="1"/>
  <c r="I321" i="1"/>
  <c r="H321" i="1"/>
  <c r="G321" i="1"/>
  <c r="F321" i="1"/>
  <c r="I302" i="1"/>
  <c r="H302" i="1"/>
  <c r="G302" i="1"/>
  <c r="F302" i="1"/>
  <c r="I283" i="1"/>
  <c r="H283" i="1"/>
  <c r="G283" i="1"/>
  <c r="F283" i="1"/>
  <c r="K320" i="1"/>
  <c r="J320" i="1"/>
  <c r="I320" i="1"/>
  <c r="H320" i="1"/>
  <c r="G320" i="1"/>
  <c r="F320" i="1"/>
  <c r="K301" i="1"/>
  <c r="J301" i="1"/>
  <c r="I301" i="1"/>
  <c r="H301" i="1"/>
  <c r="G301" i="1"/>
  <c r="F301" i="1"/>
  <c r="K282" i="1"/>
  <c r="J282" i="1"/>
  <c r="I282" i="1"/>
  <c r="H282" i="1"/>
  <c r="G282" i="1"/>
  <c r="F282" i="1"/>
  <c r="I319" i="1"/>
  <c r="H319" i="1"/>
  <c r="G319" i="1"/>
  <c r="F319" i="1"/>
  <c r="I300" i="1"/>
  <c r="H300" i="1"/>
  <c r="G300" i="1"/>
  <c r="F300" i="1"/>
  <c r="I281" i="1"/>
  <c r="H281" i="1"/>
  <c r="G281" i="1"/>
  <c r="F281" i="1"/>
  <c r="I317" i="1"/>
  <c r="G317" i="1"/>
  <c r="F317" i="1"/>
  <c r="I298" i="1"/>
  <c r="G298" i="1"/>
  <c r="F298" i="1"/>
  <c r="I279" i="1"/>
  <c r="G279" i="1"/>
  <c r="F279" i="1"/>
  <c r="J315" i="1"/>
  <c r="I315" i="1"/>
  <c r="H315" i="1"/>
  <c r="J296" i="1"/>
  <c r="I296" i="1"/>
  <c r="H296" i="1"/>
  <c r="J277" i="1"/>
  <c r="I277" i="1"/>
  <c r="H277" i="1"/>
  <c r="I314" i="1"/>
  <c r="H314" i="1"/>
  <c r="G314" i="1"/>
  <c r="F314" i="1"/>
  <c r="I295" i="1"/>
  <c r="H295" i="1"/>
  <c r="G295" i="1"/>
  <c r="F295" i="1"/>
  <c r="I276" i="1"/>
  <c r="H276" i="1"/>
  <c r="G276" i="1"/>
  <c r="F276" i="1"/>
  <c r="H255" i="1" l="1"/>
  <c r="G243" i="1"/>
  <c r="G225" i="1"/>
  <c r="G207" i="1"/>
  <c r="G242" i="1"/>
  <c r="G241" i="1"/>
  <c r="G223" i="1"/>
  <c r="G205" i="1"/>
  <c r="G239" i="1"/>
  <c r="G221" i="1"/>
  <c r="G203" i="1"/>
  <c r="G238" i="1"/>
  <c r="G220" i="1"/>
  <c r="G202" i="1"/>
  <c r="G251" i="1"/>
  <c r="G236" i="1"/>
  <c r="G218" i="1"/>
  <c r="G200" i="1"/>
  <c r="G235" i="1"/>
  <c r="G234" i="1"/>
  <c r="G216" i="1"/>
  <c r="G198" i="1"/>
  <c r="G233" i="1"/>
  <c r="G215" i="1"/>
  <c r="G197" i="1"/>
  <c r="F233" i="1"/>
  <c r="F215" i="1"/>
  <c r="F197" i="1"/>
  <c r="K266" i="1"/>
  <c r="K263" i="1"/>
  <c r="K261" i="1"/>
  <c r="K260" i="1"/>
  <c r="J245" i="1"/>
  <c r="I245" i="1"/>
  <c r="H245" i="1"/>
  <c r="G245" i="1"/>
  <c r="F245" i="1"/>
  <c r="J227" i="1"/>
  <c r="I227" i="1"/>
  <c r="H227" i="1"/>
  <c r="G227" i="1"/>
  <c r="F227" i="1"/>
  <c r="J209" i="1"/>
  <c r="I209" i="1"/>
  <c r="H209" i="1"/>
  <c r="G209" i="1"/>
  <c r="F209" i="1"/>
  <c r="K244" i="1"/>
  <c r="J244" i="1"/>
  <c r="I244" i="1"/>
  <c r="H244" i="1"/>
  <c r="G244" i="1"/>
  <c r="F244" i="1"/>
  <c r="K226" i="1"/>
  <c r="J226" i="1"/>
  <c r="I226" i="1"/>
  <c r="H226" i="1"/>
  <c r="G226" i="1"/>
  <c r="F226" i="1"/>
  <c r="K208" i="1"/>
  <c r="J208" i="1"/>
  <c r="I208" i="1"/>
  <c r="H208" i="1"/>
  <c r="G208" i="1"/>
  <c r="F208" i="1"/>
  <c r="K243" i="1"/>
  <c r="J243" i="1"/>
  <c r="I243" i="1"/>
  <c r="H243" i="1"/>
  <c r="F243" i="1"/>
  <c r="K225" i="1"/>
  <c r="J225" i="1"/>
  <c r="I225" i="1"/>
  <c r="H225" i="1"/>
  <c r="F225" i="1"/>
  <c r="K207" i="1"/>
  <c r="J207" i="1"/>
  <c r="I207" i="1"/>
  <c r="H207" i="1"/>
  <c r="F207" i="1"/>
  <c r="K242" i="1"/>
  <c r="J242" i="1"/>
  <c r="I242" i="1"/>
  <c r="H242" i="1"/>
  <c r="F242" i="1"/>
  <c r="K224" i="1"/>
  <c r="J224" i="1"/>
  <c r="I224" i="1"/>
  <c r="H224" i="1"/>
  <c r="G224" i="1"/>
  <c r="F224" i="1"/>
  <c r="K206" i="1"/>
  <c r="J206" i="1"/>
  <c r="I206" i="1"/>
  <c r="H206" i="1"/>
  <c r="G206" i="1"/>
  <c r="F206" i="1"/>
  <c r="K240" i="1"/>
  <c r="J240" i="1"/>
  <c r="I240" i="1"/>
  <c r="H240" i="1"/>
  <c r="G240" i="1"/>
  <c r="F240" i="1"/>
  <c r="K222" i="1"/>
  <c r="J222" i="1"/>
  <c r="I222" i="1"/>
  <c r="H222" i="1"/>
  <c r="G222" i="1"/>
  <c r="F222" i="1"/>
  <c r="K204" i="1"/>
  <c r="J204" i="1"/>
  <c r="I204" i="1"/>
  <c r="H204" i="1"/>
  <c r="G204" i="1"/>
  <c r="F204" i="1"/>
  <c r="K239" i="1"/>
  <c r="J239" i="1"/>
  <c r="I239" i="1"/>
  <c r="H239" i="1"/>
  <c r="F239" i="1"/>
  <c r="K221" i="1"/>
  <c r="J221" i="1"/>
  <c r="I221" i="1"/>
  <c r="H221" i="1"/>
  <c r="F221" i="1"/>
  <c r="K203" i="1"/>
  <c r="J203" i="1"/>
  <c r="I203" i="1"/>
  <c r="H203" i="1"/>
  <c r="F203" i="1"/>
  <c r="K238" i="1"/>
  <c r="J238" i="1"/>
  <c r="I238" i="1"/>
  <c r="H238" i="1"/>
  <c r="F238" i="1"/>
  <c r="K220" i="1"/>
  <c r="I220" i="1"/>
  <c r="H220" i="1"/>
  <c r="F220" i="1"/>
  <c r="K202" i="1"/>
  <c r="J202" i="1"/>
  <c r="I202" i="1"/>
  <c r="H202" i="1"/>
  <c r="F202" i="1"/>
  <c r="F236" i="1"/>
  <c r="F218" i="1"/>
  <c r="F200" i="1"/>
  <c r="J234" i="1"/>
  <c r="I234" i="1"/>
  <c r="H234" i="1"/>
  <c r="F234" i="1"/>
  <c r="J216" i="1"/>
  <c r="I216" i="1"/>
  <c r="H216" i="1"/>
  <c r="F216" i="1"/>
  <c r="J198" i="1"/>
  <c r="I198" i="1"/>
  <c r="H198" i="1"/>
  <c r="F198" i="1"/>
  <c r="K233" i="1"/>
  <c r="H233" i="1"/>
  <c r="K215" i="1"/>
  <c r="H215" i="1"/>
  <c r="K197" i="1"/>
  <c r="H197" i="1"/>
  <c r="J360" i="1"/>
  <c r="J359" i="1"/>
  <c r="J358" i="1"/>
  <c r="H322" i="1"/>
  <c r="G322" i="1"/>
  <c r="F322" i="1"/>
  <c r="J333" i="1"/>
  <c r="I333" i="1"/>
  <c r="H333" i="1"/>
  <c r="G333" i="1"/>
  <c r="F333" i="1"/>
  <c r="J336" i="1"/>
  <c r="H336" i="1"/>
  <c r="K317" i="1"/>
  <c r="H317" i="1"/>
  <c r="K316" i="1"/>
  <c r="J316" i="1"/>
  <c r="I316" i="1"/>
  <c r="H316" i="1"/>
  <c r="G316" i="1"/>
  <c r="F316" i="1"/>
  <c r="G315" i="1"/>
  <c r="F315" i="1"/>
  <c r="J314" i="1"/>
  <c r="K298" i="1"/>
  <c r="J298" i="1"/>
  <c r="G296" i="1"/>
  <c r="F296" i="1"/>
  <c r="J295" i="1"/>
  <c r="H287" i="1"/>
  <c r="J281" i="1"/>
  <c r="K279" i="1"/>
  <c r="J279" i="1"/>
  <c r="G277" i="1"/>
  <c r="F277" i="1"/>
  <c r="J276" i="1"/>
  <c r="J179" i="1"/>
  <c r="J102" i="1"/>
  <c r="J96" i="1"/>
  <c r="J468" i="1"/>
  <c r="H186" i="1"/>
  <c r="G158" i="1"/>
  <c r="G97" i="1"/>
  <c r="G96" i="1"/>
  <c r="F181" i="1" l="1"/>
  <c r="F161" i="1"/>
  <c r="F160" i="1"/>
  <c r="F128" i="1"/>
  <c r="F127" i="1"/>
  <c r="F126" i="1"/>
  <c r="F120" i="1"/>
  <c r="F110" i="1"/>
  <c r="F109" i="1"/>
  <c r="F98" i="1"/>
  <c r="F96" i="1"/>
  <c r="F86" i="1"/>
  <c r="F66" i="1"/>
  <c r="F64" i="1"/>
  <c r="F63" i="1"/>
  <c r="G255" i="1"/>
  <c r="F255" i="1"/>
  <c r="K251" i="1"/>
  <c r="I251" i="1"/>
  <c r="H251" i="1"/>
  <c r="F251" i="1"/>
  <c r="J255" i="1"/>
  <c r="I255" i="1"/>
  <c r="I241" i="1"/>
  <c r="H241" i="1"/>
  <c r="K241" i="1"/>
  <c r="J241" i="1"/>
  <c r="F241" i="1"/>
  <c r="K236" i="1"/>
  <c r="J236" i="1"/>
  <c r="I236" i="1"/>
  <c r="H236" i="1"/>
  <c r="K235" i="1"/>
  <c r="J235" i="1"/>
  <c r="I235" i="1"/>
  <c r="H235" i="1"/>
  <c r="F235" i="1"/>
  <c r="J233" i="1"/>
  <c r="I233" i="1"/>
  <c r="K223" i="1"/>
  <c r="J223" i="1"/>
  <c r="I223" i="1"/>
  <c r="H223" i="1"/>
  <c r="F223" i="1"/>
  <c r="K218" i="1"/>
  <c r="J218" i="1"/>
  <c r="I218" i="1"/>
  <c r="H218" i="1"/>
  <c r="J215" i="1"/>
  <c r="I215" i="1"/>
  <c r="K205" i="1"/>
  <c r="I205" i="1"/>
  <c r="H205" i="1"/>
  <c r="F205" i="1"/>
  <c r="J197" i="1"/>
  <c r="I197" i="1"/>
  <c r="G441" i="1"/>
  <c r="G459" i="1"/>
  <c r="G448" i="1"/>
  <c r="G440" i="1"/>
  <c r="I48" i="1" l="1"/>
  <c r="H48"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C12" i="10" s="1"/>
  <c r="L236" i="1"/>
  <c r="G6" i="13"/>
  <c r="H6" i="13"/>
  <c r="L202" i="1"/>
  <c r="L220" i="1"/>
  <c r="L238" i="1"/>
  <c r="G7" i="13"/>
  <c r="H7" i="13"/>
  <c r="L203" i="1"/>
  <c r="L221" i="1"/>
  <c r="L239" i="1"/>
  <c r="G12" i="13"/>
  <c r="H12" i="13"/>
  <c r="L205" i="1"/>
  <c r="L223" i="1"/>
  <c r="L241" i="1"/>
  <c r="G14" i="13"/>
  <c r="H14" i="13"/>
  <c r="L207" i="1"/>
  <c r="L225" i="1"/>
  <c r="L243" i="1"/>
  <c r="G15" i="13"/>
  <c r="H15" i="13"/>
  <c r="L208" i="1"/>
  <c r="L226" i="1"/>
  <c r="G650" i="1" s="1"/>
  <c r="L244" i="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E125" i="2" s="1"/>
  <c r="L295" i="1"/>
  <c r="L296" i="1"/>
  <c r="L297" i="1"/>
  <c r="L298" i="1"/>
  <c r="L300" i="1"/>
  <c r="L301" i="1"/>
  <c r="L302" i="1"/>
  <c r="L303" i="1"/>
  <c r="L304" i="1"/>
  <c r="L305" i="1"/>
  <c r="L306" i="1"/>
  <c r="L307" i="1"/>
  <c r="L314" i="1"/>
  <c r="L315" i="1"/>
  <c r="E110" i="2" s="1"/>
  <c r="L316" i="1"/>
  <c r="L317" i="1"/>
  <c r="L319" i="1"/>
  <c r="L320" i="1"/>
  <c r="L321" i="1"/>
  <c r="E120" i="2" s="1"/>
  <c r="L322" i="1"/>
  <c r="L323" i="1"/>
  <c r="L324" i="1"/>
  <c r="L325" i="1"/>
  <c r="L326" i="1"/>
  <c r="L333" i="1"/>
  <c r="E114" i="2" s="1"/>
  <c r="L334" i="1"/>
  <c r="L335" i="1"/>
  <c r="L260" i="1"/>
  <c r="C32" i="10" s="1"/>
  <c r="L261" i="1"/>
  <c r="C132" i="2" s="1"/>
  <c r="L341" i="1"/>
  <c r="L342" i="1"/>
  <c r="L255" i="1"/>
  <c r="C130" i="2" s="1"/>
  <c r="L336" i="1"/>
  <c r="E130" i="2"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C57" i="2" s="1"/>
  <c r="F94" i="1"/>
  <c r="F111" i="1"/>
  <c r="G111" i="1"/>
  <c r="G112" i="1" s="1"/>
  <c r="H79" i="1"/>
  <c r="H112" i="1" s="1"/>
  <c r="H94" i="1"/>
  <c r="H111" i="1"/>
  <c r="I111" i="1"/>
  <c r="I112" i="1" s="1"/>
  <c r="J111" i="1"/>
  <c r="J112" i="1" s="1"/>
  <c r="F121" i="1"/>
  <c r="F136" i="1"/>
  <c r="G121" i="1"/>
  <c r="G136" i="1"/>
  <c r="H121" i="1"/>
  <c r="H136" i="1"/>
  <c r="I121" i="1"/>
  <c r="I136" i="1"/>
  <c r="J121" i="1"/>
  <c r="J136" i="1"/>
  <c r="F147" i="1"/>
  <c r="C85" i="2" s="1"/>
  <c r="F162" i="1"/>
  <c r="F169" i="1" s="1"/>
  <c r="G147" i="1"/>
  <c r="G162" i="1"/>
  <c r="H147" i="1"/>
  <c r="E85" i="2" s="1"/>
  <c r="H162" i="1"/>
  <c r="H169" i="1" s="1"/>
  <c r="I147" i="1"/>
  <c r="I162" i="1"/>
  <c r="L250" i="1"/>
  <c r="C113" i="2" s="1"/>
  <c r="L332" i="1"/>
  <c r="E113" i="2" s="1"/>
  <c r="L254" i="1"/>
  <c r="L268" i="1"/>
  <c r="L269" i="1"/>
  <c r="C143" i="2" s="1"/>
  <c r="L349" i="1"/>
  <c r="E142" i="2" s="1"/>
  <c r="L350" i="1"/>
  <c r="I665" i="1"/>
  <c r="I670" i="1"/>
  <c r="I669" i="1"/>
  <c r="C42" i="10"/>
  <c r="L374" i="1"/>
  <c r="L375" i="1"/>
  <c r="L376" i="1"/>
  <c r="L377" i="1"/>
  <c r="L378" i="1"/>
  <c r="L379" i="1"/>
  <c r="L380" i="1"/>
  <c r="B2" i="10"/>
  <c r="L344" i="1"/>
  <c r="E134" i="2" s="1"/>
  <c r="L345" i="1"/>
  <c r="E135" i="2" s="1"/>
  <c r="L346" i="1"/>
  <c r="L347" i="1"/>
  <c r="K351" i="1"/>
  <c r="L521" i="1"/>
  <c r="F549" i="1" s="1"/>
  <c r="L522" i="1"/>
  <c r="F550" i="1" s="1"/>
  <c r="L523" i="1"/>
  <c r="F551" i="1" s="1"/>
  <c r="L526" i="1"/>
  <c r="G549" i="1" s="1"/>
  <c r="L527" i="1"/>
  <c r="G550" i="1" s="1"/>
  <c r="L528" i="1"/>
  <c r="G551" i="1" s="1"/>
  <c r="G552"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G36" i="2" s="1"/>
  <c r="I459" i="1"/>
  <c r="J48" i="1" s="1"/>
  <c r="G47" i="2" s="1"/>
  <c r="C49" i="2"/>
  <c r="D56" i="2"/>
  <c r="E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D81" i="2" s="1"/>
  <c r="E77" i="2"/>
  <c r="F77" i="2"/>
  <c r="G77" i="2"/>
  <c r="G78" i="2" s="1"/>
  <c r="C79" i="2"/>
  <c r="D79" i="2"/>
  <c r="E79" i="2"/>
  <c r="C80" i="2"/>
  <c r="E80" i="2"/>
  <c r="D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3" i="2"/>
  <c r="E124" i="2"/>
  <c r="F128" i="2"/>
  <c r="G128" i="2"/>
  <c r="D134" i="2"/>
  <c r="D144" i="2" s="1"/>
  <c r="F134" i="2"/>
  <c r="K419" i="1"/>
  <c r="K427" i="1"/>
  <c r="K433" i="1"/>
  <c r="L263" i="1"/>
  <c r="C135" i="2" s="1"/>
  <c r="L264" i="1"/>
  <c r="C136" i="2" s="1"/>
  <c r="L265" i="1"/>
  <c r="C137" i="2" s="1"/>
  <c r="E137"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H617" i="1" s="1"/>
  <c r="G32" i="1"/>
  <c r="G52" i="1" s="1"/>
  <c r="H618" i="1" s="1"/>
  <c r="H32" i="1"/>
  <c r="I32" i="1"/>
  <c r="H51" i="1"/>
  <c r="I51" i="1"/>
  <c r="I52" i="1" s="1"/>
  <c r="H620" i="1" s="1"/>
  <c r="F177" i="1"/>
  <c r="I177" i="1"/>
  <c r="F183" i="1"/>
  <c r="G183" i="1"/>
  <c r="H183" i="1"/>
  <c r="H192" i="1" s="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F408" i="1"/>
  <c r="H643" i="1" s="1"/>
  <c r="G408" i="1"/>
  <c r="H645" i="1" s="1"/>
  <c r="H408" i="1"/>
  <c r="H644" i="1" s="1"/>
  <c r="I408" i="1"/>
  <c r="L413" i="1"/>
  <c r="L419" i="1" s="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G641" i="1" s="1"/>
  <c r="F452" i="1"/>
  <c r="F461" i="1" s="1"/>
  <c r="H639" i="1" s="1"/>
  <c r="G452" i="1"/>
  <c r="H452" i="1"/>
  <c r="F460" i="1"/>
  <c r="G460" i="1"/>
  <c r="H460" i="1"/>
  <c r="H461" i="1"/>
  <c r="H641" i="1" s="1"/>
  <c r="F470" i="1"/>
  <c r="G470" i="1"/>
  <c r="G476" i="1" s="1"/>
  <c r="H623" i="1" s="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60" i="1" s="1"/>
  <c r="L559" i="1"/>
  <c r="F560" i="1"/>
  <c r="G560" i="1"/>
  <c r="H560" i="1"/>
  <c r="I560" i="1"/>
  <c r="J560" i="1"/>
  <c r="K560" i="1"/>
  <c r="L562" i="1"/>
  <c r="L563" i="1"/>
  <c r="L564" i="1"/>
  <c r="F565" i="1"/>
  <c r="G565" i="1"/>
  <c r="H565" i="1"/>
  <c r="I565" i="1"/>
  <c r="J565" i="1"/>
  <c r="J571" i="1" s="1"/>
  <c r="K565" i="1"/>
  <c r="L567" i="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0" i="1"/>
  <c r="G622" i="1"/>
  <c r="G623" i="1"/>
  <c r="H627" i="1"/>
  <c r="H628" i="1"/>
  <c r="H629" i="1"/>
  <c r="H630" i="1"/>
  <c r="H631" i="1"/>
  <c r="H632" i="1"/>
  <c r="H633" i="1"/>
  <c r="H635" i="1"/>
  <c r="H636" i="1"/>
  <c r="H637" i="1"/>
  <c r="H638" i="1"/>
  <c r="G643" i="1"/>
  <c r="G644" i="1"/>
  <c r="G651" i="1"/>
  <c r="G652" i="1"/>
  <c r="H652" i="1"/>
  <c r="G653" i="1"/>
  <c r="H653" i="1"/>
  <c r="G654" i="1"/>
  <c r="H654" i="1"/>
  <c r="H655" i="1"/>
  <c r="E103" i="2"/>
  <c r="G62" i="2"/>
  <c r="I169" i="1"/>
  <c r="J140" i="1"/>
  <c r="G22" i="2"/>
  <c r="H140" i="1"/>
  <c r="F571" i="1" l="1"/>
  <c r="K605" i="1"/>
  <c r="G648" i="1" s="1"/>
  <c r="J651" i="1"/>
  <c r="H552" i="1"/>
  <c r="I545" i="1"/>
  <c r="G545" i="1"/>
  <c r="G661" i="1"/>
  <c r="E119" i="2"/>
  <c r="A40" i="12"/>
  <c r="C119" i="2"/>
  <c r="L256" i="1"/>
  <c r="J655" i="1"/>
  <c r="C125" i="2"/>
  <c r="G662" i="1"/>
  <c r="E13" i="13"/>
  <c r="C13" i="13" s="1"/>
  <c r="C120" i="2"/>
  <c r="D6" i="13"/>
  <c r="C6" i="13" s="1"/>
  <c r="I369" i="1"/>
  <c r="H634" i="1" s="1"/>
  <c r="J634" i="1" s="1"/>
  <c r="L362" i="1"/>
  <c r="G635" i="1" s="1"/>
  <c r="J635" i="1" s="1"/>
  <c r="F661" i="1"/>
  <c r="H476" i="1"/>
  <c r="H624" i="1" s="1"/>
  <c r="E121" i="2"/>
  <c r="H662" i="1"/>
  <c r="G338" i="1"/>
  <c r="G352" i="1" s="1"/>
  <c r="F338" i="1"/>
  <c r="F352" i="1" s="1"/>
  <c r="K338" i="1"/>
  <c r="K352" i="1" s="1"/>
  <c r="G645" i="1"/>
  <c r="J645" i="1" s="1"/>
  <c r="E78" i="2"/>
  <c r="E81" i="2" s="1"/>
  <c r="C91" i="2"/>
  <c r="C20" i="10"/>
  <c r="C112" i="2"/>
  <c r="L270" i="1"/>
  <c r="D15" i="13"/>
  <c r="C15" i="13" s="1"/>
  <c r="C110" i="2"/>
  <c r="J257" i="1"/>
  <c r="J271" i="1" s="1"/>
  <c r="F257" i="1"/>
  <c r="F271" i="1" s="1"/>
  <c r="C121" i="2"/>
  <c r="C18" i="10"/>
  <c r="C13" i="10"/>
  <c r="C11" i="10"/>
  <c r="H257" i="1"/>
  <c r="H271" i="1" s="1"/>
  <c r="G461" i="1"/>
  <c r="H640" i="1" s="1"/>
  <c r="F18" i="2"/>
  <c r="D31" i="2"/>
  <c r="D18" i="2"/>
  <c r="C18" i="2"/>
  <c r="J643" i="1"/>
  <c r="J641" i="1"/>
  <c r="F112" i="1"/>
  <c r="L328" i="1"/>
  <c r="L309" i="1"/>
  <c r="E122" i="2"/>
  <c r="L290" i="1"/>
  <c r="L211" i="1"/>
  <c r="L614" i="1"/>
  <c r="H571" i="1"/>
  <c r="I571" i="1"/>
  <c r="C114" i="2"/>
  <c r="J644" i="1"/>
  <c r="G625" i="1"/>
  <c r="H545" i="1"/>
  <c r="G164" i="2"/>
  <c r="G161" i="2"/>
  <c r="G157" i="2"/>
  <c r="G156" i="2"/>
  <c r="G81" i="2"/>
  <c r="C78" i="2"/>
  <c r="F78" i="2"/>
  <c r="F81" i="2" s="1"/>
  <c r="C70" i="2"/>
  <c r="D62" i="2"/>
  <c r="D63" i="2" s="1"/>
  <c r="E57" i="2"/>
  <c r="E62" i="2" s="1"/>
  <c r="E63" i="2" s="1"/>
  <c r="C131" i="2"/>
  <c r="C26" i="10"/>
  <c r="J640" i="1"/>
  <c r="L393" i="1"/>
  <c r="C138" i="2" s="1"/>
  <c r="E118" i="2"/>
  <c r="E128" i="2" s="1"/>
  <c r="L247" i="1"/>
  <c r="J623" i="1"/>
  <c r="K598" i="1"/>
  <c r="G647" i="1" s="1"/>
  <c r="L570" i="1"/>
  <c r="L565" i="1"/>
  <c r="L571" i="1" s="1"/>
  <c r="K545" i="1"/>
  <c r="H52" i="1"/>
  <c r="H619" i="1" s="1"/>
  <c r="J619" i="1" s="1"/>
  <c r="H647" i="1"/>
  <c r="L529" i="1"/>
  <c r="G624" i="1"/>
  <c r="J545" i="1"/>
  <c r="I476" i="1"/>
  <c r="H625" i="1" s="1"/>
  <c r="J625" i="1" s="1"/>
  <c r="J476" i="1"/>
  <c r="H626" i="1" s="1"/>
  <c r="F476" i="1"/>
  <c r="H622" i="1" s="1"/>
  <c r="J622" i="1" s="1"/>
  <c r="L433" i="1"/>
  <c r="L427" i="1"/>
  <c r="L434" i="1" s="1"/>
  <c r="G638" i="1" s="1"/>
  <c r="J638" i="1" s="1"/>
  <c r="I257" i="1"/>
  <c r="I271" i="1" s="1"/>
  <c r="K257" i="1"/>
  <c r="K271" i="1" s="1"/>
  <c r="G192" i="1"/>
  <c r="F192" i="1"/>
  <c r="E112" i="2"/>
  <c r="J552" i="1"/>
  <c r="I552" i="1"/>
  <c r="K549" i="1"/>
  <c r="F552" i="1"/>
  <c r="L351" i="1"/>
  <c r="F130" i="2"/>
  <c r="F144" i="2" s="1"/>
  <c r="F145" i="2" s="1"/>
  <c r="J617" i="1"/>
  <c r="J639" i="1"/>
  <c r="K551" i="1"/>
  <c r="I25" i="13"/>
  <c r="K550" i="1"/>
  <c r="L534" i="1"/>
  <c r="K500" i="1"/>
  <c r="I460" i="1"/>
  <c r="I452" i="1"/>
  <c r="I446" i="1"/>
  <c r="G642" i="1" s="1"/>
  <c r="H338" i="1"/>
  <c r="H352" i="1" s="1"/>
  <c r="C123" i="2"/>
  <c r="E109" i="2"/>
  <c r="C56" i="2"/>
  <c r="F662" i="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C35" i="10"/>
  <c r="C29" i="10"/>
  <c r="G649" i="1"/>
  <c r="J649" i="1" s="1"/>
  <c r="L544" i="1"/>
  <c r="L524" i="1"/>
  <c r="J338" i="1"/>
  <c r="J352" i="1" s="1"/>
  <c r="D127" i="2"/>
  <c r="D128" i="2" s="1"/>
  <c r="D145" i="2" s="1"/>
  <c r="C124" i="2"/>
  <c r="C122" i="2"/>
  <c r="C118" i="2"/>
  <c r="C19" i="10"/>
  <c r="C16" i="10"/>
  <c r="D17" i="13"/>
  <c r="C17" i="13" s="1"/>
  <c r="D7" i="13"/>
  <c r="C7" i="13" s="1"/>
  <c r="E16" i="13"/>
  <c r="C16" i="13" s="1"/>
  <c r="C10" i="10"/>
  <c r="C109" i="2"/>
  <c r="L229" i="1"/>
  <c r="L337" i="1"/>
  <c r="F62" i="2"/>
  <c r="F63" i="2" s="1"/>
  <c r="C23" i="10"/>
  <c r="G163" i="2"/>
  <c r="G162" i="2"/>
  <c r="G160" i="2"/>
  <c r="G159" i="2"/>
  <c r="G158" i="2"/>
  <c r="G103" i="2"/>
  <c r="F103" i="2"/>
  <c r="C103" i="2"/>
  <c r="F91" i="2"/>
  <c r="E50" i="2"/>
  <c r="E51" i="2" s="1"/>
  <c r="C50" i="2"/>
  <c r="F31" i="2"/>
  <c r="C31" i="2"/>
  <c r="E18" i="2"/>
  <c r="E144" i="2"/>
  <c r="F50" i="2"/>
  <c r="C24" i="10"/>
  <c r="H31" i="13"/>
  <c r="H33" i="13" s="1"/>
  <c r="I338" i="1"/>
  <c r="I352" i="1" s="1"/>
  <c r="J650" i="1"/>
  <c r="L407" i="1"/>
  <c r="C140" i="2" s="1"/>
  <c r="C141" i="2" s="1"/>
  <c r="C144" i="2" s="1"/>
  <c r="I192" i="1"/>
  <c r="E91" i="2"/>
  <c r="L408" i="1"/>
  <c r="G637" i="1" s="1"/>
  <c r="J637" i="1" s="1"/>
  <c r="D51" i="2"/>
  <c r="J654" i="1"/>
  <c r="J653" i="1"/>
  <c r="G21" i="2"/>
  <c r="G31" i="2" s="1"/>
  <c r="J32" i="1"/>
  <c r="J434" i="1"/>
  <c r="F434" i="1"/>
  <c r="K434" i="1"/>
  <c r="G134" i="2" s="1"/>
  <c r="G144" i="2" s="1"/>
  <c r="G145" i="2" s="1"/>
  <c r="G31" i="13"/>
  <c r="J193" i="1"/>
  <c r="G646" i="1" s="1"/>
  <c r="H193" i="1"/>
  <c r="G629" i="1" s="1"/>
  <c r="J629" i="1" s="1"/>
  <c r="G169" i="1"/>
  <c r="C39" i="10" s="1"/>
  <c r="G140" i="1"/>
  <c r="F140" i="1"/>
  <c r="G63" i="2"/>
  <c r="J618" i="1"/>
  <c r="G42" i="2"/>
  <c r="J51" i="1"/>
  <c r="G16" i="2"/>
  <c r="G18" i="2" s="1"/>
  <c r="J19" i="1"/>
  <c r="G621" i="1" s="1"/>
  <c r="F545" i="1"/>
  <c r="H434" i="1"/>
  <c r="J620" i="1"/>
  <c r="D103" i="2"/>
  <c r="D104" i="2" s="1"/>
  <c r="I140" i="1"/>
  <c r="A22" i="12"/>
  <c r="G50" i="2"/>
  <c r="J652" i="1"/>
  <c r="G571" i="1"/>
  <c r="I434" i="1"/>
  <c r="G434" i="1"/>
  <c r="I663" i="1"/>
  <c r="C27" i="10"/>
  <c r="I661" i="1" l="1"/>
  <c r="H646" i="1"/>
  <c r="J624" i="1"/>
  <c r="I662" i="1"/>
  <c r="H660" i="1"/>
  <c r="H664" i="1" s="1"/>
  <c r="H667" i="1" s="1"/>
  <c r="G24" i="14"/>
  <c r="H24" i="14" s="1"/>
  <c r="I24" i="14" s="1"/>
  <c r="G33" i="13"/>
  <c r="F660" i="1"/>
  <c r="F664" i="1" s="1"/>
  <c r="F667" i="1" s="1"/>
  <c r="G104" i="2"/>
  <c r="I193" i="1"/>
  <c r="G630" i="1" s="1"/>
  <c r="J630" i="1" s="1"/>
  <c r="F104" i="2"/>
  <c r="E104" i="2"/>
  <c r="C36" i="10"/>
  <c r="C128" i="2"/>
  <c r="G4" i="14"/>
  <c r="H4" i="14" s="1"/>
  <c r="I4" i="14" s="1"/>
  <c r="F51" i="2"/>
  <c r="H648" i="1"/>
  <c r="J648" i="1" s="1"/>
  <c r="L338" i="1"/>
  <c r="L352" i="1" s="1"/>
  <c r="G633" i="1" s="1"/>
  <c r="J633" i="1" s="1"/>
  <c r="G36" i="14"/>
  <c r="H36" i="14" s="1"/>
  <c r="I36" i="14" s="1"/>
  <c r="L545" i="1"/>
  <c r="G51" i="2"/>
  <c r="F193" i="1"/>
  <c r="G627" i="1" s="1"/>
  <c r="J627" i="1" s="1"/>
  <c r="E33" i="13"/>
  <c r="D35" i="13" s="1"/>
  <c r="J647" i="1"/>
  <c r="C81" i="2"/>
  <c r="L257" i="1"/>
  <c r="L271" i="1" s="1"/>
  <c r="G632" i="1" s="1"/>
  <c r="J632" i="1" s="1"/>
  <c r="C115" i="2"/>
  <c r="C63" i="2"/>
  <c r="E115" i="2"/>
  <c r="E145" i="2" s="1"/>
  <c r="D31" i="13"/>
  <c r="C31" i="13" s="1"/>
  <c r="I461" i="1"/>
  <c r="H642" i="1" s="1"/>
  <c r="J642" i="1" s="1"/>
  <c r="G660" i="1"/>
  <c r="G664" i="1" s="1"/>
  <c r="G667" i="1" s="1"/>
  <c r="C25" i="13"/>
  <c r="I33" i="13"/>
  <c r="K552" i="1"/>
  <c r="C28" i="10"/>
  <c r="D23" i="10" s="1"/>
  <c r="C51" i="2"/>
  <c r="G631" i="1"/>
  <c r="J631" i="1" s="1"/>
  <c r="J646" i="1"/>
  <c r="G193" i="1"/>
  <c r="G628" i="1" s="1"/>
  <c r="J628" i="1" s="1"/>
  <c r="G626" i="1"/>
  <c r="J626" i="1" s="1"/>
  <c r="J52" i="1"/>
  <c r="H621" i="1" s="1"/>
  <c r="J621" i="1" s="1"/>
  <c r="C38" i="10"/>
  <c r="F672" i="1" l="1"/>
  <c r="C4" i="10" s="1"/>
  <c r="H672" i="1"/>
  <c r="C6" i="10" s="1"/>
  <c r="C104" i="2"/>
  <c r="I660" i="1"/>
  <c r="I664" i="1" s="1"/>
  <c r="I672" i="1" s="1"/>
  <c r="C7" i="10" s="1"/>
  <c r="C145" i="2"/>
  <c r="D25" i="10"/>
  <c r="G672" i="1"/>
  <c r="C5"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<sst xmlns="http://schemas.openxmlformats.org/spreadsheetml/2006/main" count="5516" uniqueCount="1614">
  <si>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</si>
  <si>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</si>
  <si>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</si>
  <si>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</si>
  <si>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</si>
  <si>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</si>
  <si>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</si>
  <si>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</si>
  <si>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</si>
  <si>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</si>
  <si>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</si>
  <si>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</si>
  <si>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</si>
  <si>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</si>
  <si>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</si>
  <si>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</si>
  <si>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</si>
  <si>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</si>
  <si>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</si>
  <si>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</si>
  <si>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</si>
  <si>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</si>
  <si>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</si>
  <si>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</si>
  <si>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</si>
  <si>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</si>
  <si>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</si>
  <si>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</si>
  <si>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</si>
  <si>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</si>
  <si>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</si>
  <si>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</si>
  <si>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</si>
  <si>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</si>
  <si>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</si>
  <si>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</si>
  <si>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</si>
  <si>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</si>
  <si>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</si>
  <si>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</si>
  <si>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</si>
  <si>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</si>
  <si>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</si>
  <si>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</si>
  <si>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</si>
  <si>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</si>
  <si>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</si>
  <si>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</si>
  <si>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</si>
  <si>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</si>
  <si>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</si>
  <si>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</si>
  <si>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</si>
  <si>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</si>
  <si>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</si>
  <si>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</si>
  <si>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</si>
  <si>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</si>
  <si>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</si>
  <si>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</si>
  <si>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</si>
  <si>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</si>
  <si>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</si>
  <si>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</si>
  <si>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</si>
  <si>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</si>
  <si>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</si>
  <si>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</si>
  <si>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</si>
  <si>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</si>
  <si>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</si>
  <si>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</si>
  <si>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</si>
  <si>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</si>
  <si>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</si>
  <si>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</si>
  <si>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</si>
  <si>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</si>
  <si>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</si>
  <si>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</si>
  <si>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</si>
  <si>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</si>
  <si>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</si>
  <si>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</si>
  <si>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</si>
  <si>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</si>
  <si>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</si>
  <si>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</si>
  <si>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</si>
  <si>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</si>
  <si>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</si>
  <si>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</si>
  <si>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</si>
  <si>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</si>
  <si>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</si>
  <si>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</si>
  <si>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</si>
  <si>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</si>
  <si>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</si>
  <si>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</si>
  <si>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</si>
  <si>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</si>
  <si>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</si>
  <si>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</si>
  <si>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</si>
  <si>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</si>
  <si>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</si>
  <si>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</si>
  <si>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</si>
  <si>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</si>
  <si>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</si>
  <si>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</si>
  <si>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</si>
  <si>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</si>
  <si>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</si>
  <si>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</si>
  <si>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</si>
  <si>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</si>
  <si>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</si>
  <si>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</si>
  <si>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</si>
  <si>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</si>
  <si>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</si>
  <si>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</si>
  <si>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</si>
  <si>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</si>
  <si>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</si>
  <si>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</si>
  <si>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</si>
  <si>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</si>
  <si>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</si>
  <si>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</si>
  <si>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</si>
  <si>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</si>
  <si>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</si>
  <si>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</si>
  <si>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</si>
  <si>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</si>
  <si>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</si>
  <si>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</si>
  <si>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</si>
  <si>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</si>
  <si>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</si>
  <si>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</si>
  <si>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</si>
  <si>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</si>
  <si>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</si>
  <si>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</si>
  <si>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</si>
  <si>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</si>
  <si>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</si>
  <si>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</si>
  <si>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</si>
  <si>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</si>
  <si>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</si>
  <si>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</si>
  <si>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</si>
  <si>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</si>
  <si>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</si>
  <si>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</si>
  <si>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</si>
  <si>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</si>
  <si>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</si>
  <si>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</si>
  <si>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</si>
  <si>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</si>
  <si>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</si>
  <si>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</si>
  <si>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</si>
  <si>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</si>
  <si>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</si>
  <si>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</si>
  <si>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</si>
  <si>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</si>
  <si>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</si>
  <si>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</si>
  <si>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</si>
  <si>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</si>
  <si>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</si>
  <si>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</si>
  <si>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</si>
  <si>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</si>
  <si>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</si>
  <si>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</si>
  <si>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</si>
  <si>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</si>
  <si>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</si>
  <si>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</si>
  <si>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</si>
  <si>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</si>
  <si>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</si>
  <si>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</si>
  <si>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</si>
  <si>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</si>
  <si>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</si>
  <si>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</si>
  <si>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</si>
  <si>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</si>
  <si>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</si>
  <si>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</si>
  <si>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</si>
  <si>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</si>
  <si>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</si>
  <si>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</si>
  <si>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</si>
  <si>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</si>
  <si>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</si>
  <si>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</si>
  <si>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</si>
  <si>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</si>
  <si>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</si>
  <si>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</si>
  <si>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</si>
  <si>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</si>
  <si>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</si>
  <si>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</si>
  <si>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</si>
  <si>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</si>
  <si>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</si>
  <si>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</si>
  <si>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</si>
  <si>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</si>
  <si>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</si>
  <si>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</si>
  <si>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</si>
  <si>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</si>
  <si>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</si>
  <si>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</si>
  <si>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</si>
  <si>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</si>
  <si>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</si>
  <si>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</si>
  <si>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</si>
  <si>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</si>
  <si>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</si>
  <si>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</si>
  <si>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</si>
  <si>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</si>
  <si>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</si>
  <si>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</si>
  <si>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</si>
  <si>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</si>
  <si>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</si>
  <si>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</si>
  <si>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</si>
  <si>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</si>
  <si>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</si>
  <si>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</si>
  <si>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</si>
  <si>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</si>
  <si>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</si>
  <si>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</si>
  <si>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</si>
  <si>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</si>
  <si>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</si>
  <si>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</si>
  <si>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</si>
  <si>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</si>
  <si>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</si>
  <si>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</si>
  <si>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</si>
  <si>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</si>
  <si>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</si>
  <si>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</si>
  <si>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</si>
  <si>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</si>
  <si>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</si>
  <si>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</si>
  <si>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</si>
  <si>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</si>
  <si>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</si>
  <si>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</si>
  <si>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</si>
  <si>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</si>
  <si>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</si>
  <si>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</si>
  <si>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</si>
  <si>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</si>
  <si>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</si>
  <si>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</si>
  <si>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</si>
  <si>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</si>
  <si>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</si>
  <si>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</si>
  <si>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</si>
  <si>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</si>
  <si>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</si>
  <si>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</si>
  <si>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</si>
  <si>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</si>
  <si>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</si>
  <si>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</si>
  <si>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</si>
  <si>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</si>
  <si>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</si>
  <si>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</si>
  <si>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</si>
  <si>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</si>
  <si>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</si>
  <si>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</si>
  <si>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</si>
  <si>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</si>
  <si>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</si>
  <si>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</si>
  <si>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</si>
  <si>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</si>
  <si>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</si>
  <si>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</si>
  <si>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</si>
  <si>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</si>
  <si>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</si>
  <si>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</si>
  <si>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</si>
  <si>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</si>
  <si>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</si>
  <si>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</si>
  <si>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</si>
  <si>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</si>
  <si>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</si>
  <si>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</si>
  <si>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</si>
  <si>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</si>
  <si>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</si>
  <si>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</si>
  <si>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</si>
  <si>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</si>
  <si>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</si>
  <si>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</si>
  <si>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</si>
  <si>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</si>
  <si>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</si>
  <si>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</si>
  <si>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</si>
  <si>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</si>
  <si>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</si>
  <si>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</si>
  <si>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</si>
  <si>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</si>
  <si>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</si>
  <si>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</si>
  <si>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</si>
  <si>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</si>
  <si>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</si>
  <si>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</si>
  <si>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</si>
  <si>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</si>
  <si>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</si>
  <si>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</si>
  <si>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</si>
  <si>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</si>
  <si>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</si>
  <si>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</si>
  <si>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</si>
  <si>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</si>
  <si>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</si>
  <si>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</si>
  <si>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</si>
  <si>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</si>
  <si>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</si>
  <si>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</si>
  <si>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</si>
  <si>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</si>
  <si>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</si>
  <si>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</si>
  <si>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</si>
  <si>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</si>
  <si>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</si>
  <si>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</si>
  <si>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</si>
  <si>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</si>
  <si>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</si>
  <si>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</si>
  <si>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</si>
  <si>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</si>
  <si>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</si>
  <si>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</si>
  <si>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</si>
  <si>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</si>
  <si>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</si>
  <si>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</si>
  <si>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</si>
  <si>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</si>
  <si>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</si>
  <si>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</si>
  <si>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</si>
  <si>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</si>
  <si>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</si>
  <si>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</si>
  <si>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</si>
  <si>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</si>
  <si>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</si>
  <si>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</si>
  <si>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</si>
  <si>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</si>
  <si>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</si>
  <si>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</si>
  <si>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</si>
  <si>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</si>
  <si>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</si>
  <si>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</si>
  <si>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</si>
  <si>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</si>
  <si>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</si>
  <si>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</si>
  <si>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</si>
  <si>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</si>
  <si>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</si>
  <si>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</si>
  <si>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</si>
  <si>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</si>
  <si>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</si>
  <si>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</si>
  <si>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</si>
  <si>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</si>
  <si>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</si>
  <si>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</si>
  <si>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</si>
  <si>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</si>
  <si>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</si>
  <si>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</si>
  <si>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</si>
  <si>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</si>
  <si>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</si>
  <si>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</si>
  <si>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</si>
  <si>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</si>
  <si>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</si>
  <si>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</si>
  <si>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</si>
  <si>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</si>
  <si>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</si>
  <si>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</si>
  <si>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</si>
  <si>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</si>
  <si>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</si>
  <si>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</si>
  <si>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</si>
  <si>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</si>
  <si>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</si>
  <si>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</si>
  <si>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</si>
  <si>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</si>
  <si>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</si>
  <si>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</si>
  <si>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</si>
  <si>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</si>
  <si>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</si>
  <si>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</si>
  <si>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</si>
  <si>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</si>
  <si>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</si>
  <si>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</si>
  <si>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</si>
  <si>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</si>
  <si>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</si>
  <si>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</si>
  <si>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</si>
  <si>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</si>
  <si>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</si>
  <si>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</si>
  <si>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</si>
  <si>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</si>
  <si>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</si>
  <si>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</si>
  <si>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</si>
  <si>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</si>
  <si>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</si>
  <si>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</si>
  <si>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</si>
  <si>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</si>
  <si>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</si>
  <si>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</si>
  <si>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</si>
  <si>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</si>
  <si>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</si>
  <si>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</si>
  <si>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</si>
  <si>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</si>
  <si>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</si>
  <si>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</si>
  <si>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</si>
  <si>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</si>
  <si>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</si>
  <si>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</si>
  <si>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</si>
  <si>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</si>
  <si>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</si>
  <si>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</si>
  <si>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</si>
  <si>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</si>
  <si>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</si>
  <si>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</si>
  <si>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</si>
  <si>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</si>
  <si>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</si>
  <si>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</si>
  <si>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</si>
  <si>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</si>
  <si>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</si>
  <si>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</si>
  <si>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</si>
  <si>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</si>
  <si>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</si>
  <si>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</si>
  <si>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</si>
  <si>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</si>
  <si>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</si>
  <si>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</si>
  <si>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</si>
  <si>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</si>
  <si>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</si>
  <si>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</si>
  <si>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</si>
  <si>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</si>
  <si>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</si>
  <si>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</si>
  <si>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</si>
  <si>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</si>
  <si>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</si>
  <si>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</si>
  <si>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</si>
  <si>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</si>
  <si>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</si>
  <si>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</si>
  <si>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</si>
  <si>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</si>
  <si>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</si>
  <si>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</si>
  <si>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</si>
  <si>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</si>
  <si>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</si>
  <si>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</si>
  <si>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</si>
  <si>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</si>
  <si>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</si>
  <si>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</si>
  <si>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</si>
  <si>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</si>
  <si>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</si>
  <si>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</si>
  <si>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</si>
  <si>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</si>
  <si>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</si>
  <si>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</si>
  <si>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</si>
  <si>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</si>
  <si>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</si>
  <si>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</si>
  <si>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</si>
  <si>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</si>
  <si>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</si>
  <si>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</si>
  <si>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</si>
  <si>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</si>
  <si>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</si>
  <si>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</si>
  <si>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</si>
  <si>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</si>
  <si>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</si>
  <si>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</si>
  <si>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</si>
  <si>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</si>
  <si>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</si>
  <si>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</si>
  <si>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</si>
  <si>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</si>
  <si>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</si>
  <si>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</si>
  <si>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</si>
  <si>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</si>
  <si>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</si>
  <si>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</si>
  <si>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</si>
  <si>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</si>
  <si>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</si>
  <si>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</si>
  <si>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</si>
  <si>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</si>
  <si>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</si>
  <si>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</si>
  <si>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</si>
  <si>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</si>
  <si>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</si>
  <si>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</si>
  <si>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</si>
  <si>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</si>
  <si>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</si>
  <si>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</si>
  <si>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</si>
  <si>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</si>
  <si>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</si>
  <si>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</si>
  <si>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</si>
  <si>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</si>
  <si>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</si>
  <si>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</si>
  <si>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</si>
  <si>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</si>
  <si>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</si>
  <si>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</si>
  <si>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</si>
  <si>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</si>
  <si>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</si>
  <si>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</si>
  <si>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</si>
  <si>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</si>
  <si>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</si>
  <si>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</si>
  <si>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</si>
  <si>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</si>
  <si>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</si>
  <si>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</si>
  <si>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</si>
  <si>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</si>
  <si>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</si>
  <si>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</si>
  <si>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</si>
  <si>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</si>
  <si>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</si>
  <si>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</si>
  <si>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</si>
  <si>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</si>
  <si>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</si>
  <si>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</si>
  <si>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</si>
  <si>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</si>
  <si>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</si>
  <si>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</si>
  <si>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</si>
  <si>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</si>
  <si>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</si>
  <si>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</si>
  <si>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</si>
  <si>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</si>
  <si>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</si>
  <si>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</si>
  <si>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</si>
  <si>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</si>
  <si>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</si>
  <si>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</si>
  <si>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</si>
  <si>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</si>
  <si>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</si>
  <si>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</si>
  <si>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</si>
  <si>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</si>
  <si>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</si>
  <si>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</si>
  <si>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</si>
  <si>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</si>
  <si>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</si>
  <si>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</si>
  <si>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</si>
  <si>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</si>
  <si>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</si>
  <si>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</si>
  <si>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</si>
  <si>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</si>
  <si>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</si>
  <si>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</si>
  <si>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</si>
  <si>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</si>
  <si>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</si>
  <si>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</si>
  <si>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</si>
  <si>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</si>
  <si>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</si>
  <si>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</si>
  <si>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</si>
  <si>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</si>
  <si>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</si>
  <si>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</si>
  <si>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</si>
  <si>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</si>
  <si>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</si>
  <si>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</si>
  <si>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</si>
  <si>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</si>
  <si>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</si>
  <si>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</si>
  <si>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</si>
  <si>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</si>
  <si>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</si>
  <si>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</si>
  <si>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</si>
  <si>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</si>
  <si>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</si>
  <si>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</si>
  <si>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</si>
  <si>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</si>
  <si>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</si>
  <si>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</si>
  <si>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</si>
  <si>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</si>
  <si>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</si>
  <si>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</si>
  <si>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</si>
  <si>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</si>
  <si>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</si>
  <si>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</si>
  <si>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</si>
  <si>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</si>
  <si>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</si>
  <si>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</si>
  <si>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</si>
  <si>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</si>
  <si>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</si>
  <si>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</si>
  <si>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</si>
  <si>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</si>
  <si>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</si>
  <si>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</si>
  <si>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</si>
  <si>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</si>
  <si>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</si>
  <si>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</si>
  <si>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</si>
  <si>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</si>
  <si>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</si>
  <si>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</si>
  <si>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</si>
  <si>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</si>
  <si>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</si>
  <si>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</si>
  <si>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</si>
  <si>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</si>
  <si>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</si>
  <si>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</si>
  <si>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</si>
  <si>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</si>
  <si>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</si>
  <si>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</si>
  <si>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</si>
  <si>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</si>
  <si>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</si>
  <si>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</si>
  <si>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</si>
  <si>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</si>
  <si>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</si>
  <si>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</si>
  <si>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</si>
  <si>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</si>
  <si>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</si>
  <si>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</si>
  <si>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</si>
  <si>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</si>
  <si>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</si>
  <si>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</si>
  <si>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</si>
  <si>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</si>
  <si>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</si>
  <si>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</si>
  <si>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</si>
  <si>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</si>
  <si>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</si>
  <si>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</si>
  <si>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</si>
  <si>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</si>
  <si>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</si>
  <si>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</si>
  <si>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</si>
  <si>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</si>
  <si>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</si>
  <si>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</si>
  <si>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</si>
  <si>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</si>
  <si>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</si>
  <si>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</si>
  <si>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</si>
  <si>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</si>
  <si>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</si>
  <si>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</si>
  <si>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</si>
  <si>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</si>
  <si>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</si>
  <si>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</si>
  <si>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</si>
  <si>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</si>
  <si>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</si>
  <si>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</si>
  <si>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</si>
  <si>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</si>
  <si>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</si>
  <si>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</si>
  <si>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</si>
  <si>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</si>
  <si>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</si>
  <si>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</si>
  <si>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</si>
  <si>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</si>
  <si>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</si>
  <si>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</si>
  <si>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</si>
  <si>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</si>
  <si>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</si>
  <si>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</si>
  <si>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</si>
  <si>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</si>
  <si>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</si>
  <si>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</si>
  <si>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</si>
  <si>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</si>
  <si>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</si>
  <si>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</si>
  <si>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</si>
  <si>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</si>
  <si>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</si>
  <si>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</si>
  <si>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</si>
  <si>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</si>
  <si>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</si>
  <si>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</si>
  <si>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</si>
  <si>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</si>
  <si>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</si>
  <si>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</si>
  <si>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</si>
  <si>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</si>
  <si>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</si>
  <si>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</si>
  <si>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</si>
  <si>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</si>
  <si>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</si>
  <si>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</si>
  <si>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</si>
  <si>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</si>
  <si>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</si>
  <si>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</si>
  <si>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</si>
  <si>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</si>
  <si>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</si>
  <si>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</si>
  <si>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</si>
  <si>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</si>
  <si>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</si>
  <si>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</si>
  <si>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</si>
  <si>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</si>
  <si>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</si>
  <si>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</si>
  <si>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</si>
  <si>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</si>
  <si>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</si>
  <si>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</si>
  <si>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</si>
  <si>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</si>
  <si>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</si>
  <si>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</si>
  <si>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</si>
  <si>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</si>
  <si>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</si>
  <si>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</si>
  <si>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</si>
  <si>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</si>
  <si>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</si>
  <si>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</si>
  <si>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</si>
  <si>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</si>
  <si>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</si>
  <si>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</si>
  <si>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</si>
  <si>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</si>
  <si>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</si>
  <si>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</si>
  <si>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</si>
  <si>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</si>
  <si>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</si>
  <si>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</si>
  <si>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</si>
  <si>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</si>
  <si>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</si>
  <si>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</si>
  <si>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</si>
  <si>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</si>
  <si>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</si>
  <si>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</si>
  <si>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</si>
  <si>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</si>
  <si>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</si>
  <si>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</si>
  <si>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</si>
  <si>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</si>
  <si>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</si>
  <si>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</si>
  <si>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</si>
  <si>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</si>
  <si>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</si>
  <si>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</si>
  <si>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</si>
  <si>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</si>
  <si>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</si>
  <si>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</si>
  <si>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</si>
  <si>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</si>
  <si>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</si>
  <si>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</si>
  <si>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</si>
  <si>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</si>
  <si>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</si>
  <si>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</si>
  <si>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</si>
  <si>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</si>
  <si>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</si>
  <si>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</si>
  <si>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</si>
  <si>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</si>
  <si>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</si>
  <si>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</si>
  <si>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</si>
  <si>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</si>
  <si>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</si>
  <si>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</si>
  <si>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</si>
  <si>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</si>
  <si>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</si>
  <si>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</si>
  <si>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</si>
  <si>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</si>
  <si>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</si>
  <si>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</si>
  <si>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</si>
  <si>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</si>
  <si>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</si>
  <si>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</si>
  <si>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</si>
  <si>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</si>
  <si>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</si>
  <si>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</si>
  <si>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</si>
  <si>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</si>
  <si>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</si>
  <si>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</si>
  <si>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</si>
  <si>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</si>
  <si>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</si>
  <si>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</si>
  <si>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</si>
  <si>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</si>
  <si>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</si>
  <si>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</si>
  <si>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</si>
  <si>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</si>
  <si>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</si>
  <si>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</si>
  <si>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</si>
  <si>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</si>
  <si>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</si>
  <si>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</si>
  <si>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</si>
  <si>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</si>
  <si>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</si>
  <si>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</si>
  <si>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</si>
  <si>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</si>
  <si>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</si>
  <si>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</si>
  <si>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</si>
  <si>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</si>
  <si>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</si>
  <si>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</si>
  <si>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</si>
  <si>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</si>
  <si>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</si>
  <si>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</si>
  <si>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</si>
  <si>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</si>
  <si>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</si>
  <si>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</si>
  <si>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</si>
  <si>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</si>
  <si>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</si>
  <si>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</si>
  <si>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</si>
  <si>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</si>
  <si>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</si>
  <si>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</si>
  <si>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</si>
  <si>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</si>
  <si>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</si>
  <si>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</si>
  <si>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</si>
  <si>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</si>
  <si>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</si>
  <si>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</si>
  <si>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</si>
  <si>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</si>
  <si>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</si>
  <si>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</si>
  <si>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</si>
  <si>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</si>
  <si>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</si>
  <si>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</si>
  <si>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</si>
  <si>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</si>
  <si>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</si>
  <si>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</si>
  <si>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</si>
  <si>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</si>
  <si>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</si>
  <si>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</si>
  <si>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</si>
  <si>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</si>
  <si>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</si>
  <si>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</si>
  <si>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</si>
  <si>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</si>
  <si>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</si>
  <si>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</si>
  <si>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</si>
  <si>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</si>
  <si>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</si>
  <si>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</si>
  <si>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</si>
  <si>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</si>
  <si>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</si>
  <si>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</si>
  <si>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</si>
  <si>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</si>
  <si>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</si>
  <si>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</si>
  <si>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</si>
  <si>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</si>
  <si>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</si>
  <si>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</si>
  <si>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</si>
  <si>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</si>
  <si>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</si>
  <si>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</si>
  <si>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</si>
  <si>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</si>
  <si>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</si>
  <si>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</si>
  <si>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</si>
  <si>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</si>
  <si>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</si>
  <si>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</si>
  <si>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</si>
  <si>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</si>
  <si>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</si>
  <si>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</si>
  <si>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</si>
  <si>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</si>
  <si>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</si>
  <si>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</si>
  <si>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</si>
  <si>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</si>
  <si>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</si>
  <si>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</si>
  <si>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</si>
  <si>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</si>
  <si>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</si>
  <si>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</si>
  <si>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</si>
  <si>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</si>
  <si>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</si>
  <si>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</si>
  <si>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</si>
  <si>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</si>
  <si>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</si>
  <si>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</si>
  <si>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</si>
  <si>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</si>
  <si>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</si>
  <si>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</si>
  <si>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</si>
  <si>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</si>
  <si>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</si>
  <si>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</si>
  <si>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</si>
  <si>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</si>
  <si>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</si>
  <si>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</si>
  <si>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</si>
  <si>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</si>
  <si>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</si>
  <si>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</si>
  <si>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</si>
  <si>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</si>
  <si>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</si>
  <si>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</si>
  <si>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</si>
  <si>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</si>
  <si>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</si>
  <si>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</si>
  <si>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</si>
  <si>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</si>
  <si>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</si>
  <si>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</si>
  <si>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</si>
  <si>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</si>
  <si>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</si>
  <si>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</si>
  <si>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</si>
  <si>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</si>
  <si>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</si>
  <si>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</si>
  <si>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</si>
  <si>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</si>
  <si>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</si>
  <si>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</si>
  <si>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</si>
  <si>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</si>
  <si>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</si>
  <si>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</si>
  <si>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</si>
  <si>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</si>
  <si>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</si>
  <si>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</si>
  <si>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</si>
  <si>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</si>
  <si>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</si>
  <si>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</si>
  <si>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</si>
  <si>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</si>
  <si>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</si>
  <si>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</si>
  <si>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</si>
  <si>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</si>
  <si>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</si>
  <si>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</si>
  <si>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</si>
  <si>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</si>
  <si>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</si>
  <si>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</si>
  <si>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</si>
  <si>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</si>
  <si>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</si>
  <si>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</si>
  <si>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</si>
  <si>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</si>
  <si>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</si>
  <si>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</si>
  <si>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</si>
  <si>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</si>
  <si>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</si>
  <si>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</si>
  <si>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</si>
  <si>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</si>
  <si>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</si>
  <si>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</si>
  <si>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</si>
  <si>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</si>
  <si>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</si>
  <si>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</si>
  <si>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</si>
  <si>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</si>
  <si>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</si>
  <si>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</si>
  <si>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</si>
  <si>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</si>
  <si>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</si>
  <si>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</si>
  <si>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</si>
  <si>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</si>
  <si>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</si>
  <si>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</si>
  <si>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</si>
  <si>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</si>
  <si>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</si>
  <si>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</si>
  <si>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</si>
  <si>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</si>
  <si>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</si>
  <si>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</si>
  <si>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</si>
  <si>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</si>
  <si>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</si>
  <si>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</si>
  <si>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</si>
  <si>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</si>
  <si>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</si>
  <si>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</si>
  <si>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</si>
  <si>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</si>
  <si>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</si>
  <si>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</si>
  <si>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</si>
  <si>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</si>
  <si>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</si>
  <si>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</si>
  <si>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</si>
  <si>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</si>
  <si>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</si>
  <si>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</si>
  <si>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</si>
  <si>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</si>
  <si>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</si>
  <si>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</si>
  <si>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</si>
  <si>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</si>
  <si>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</si>
  <si>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</si>
  <si>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</si>
  <si>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</si>
  <si>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</si>
  <si>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</si>
  <si>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</si>
  <si>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</si>
  <si>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</si>
  <si>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</si>
  <si>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</si>
  <si>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</si>
  <si>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</si>
  <si>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</si>
  <si>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</si>
  <si>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</si>
  <si>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</si>
  <si>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</si>
  <si>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</si>
  <si>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</si>
  <si>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</si>
  <si>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</si>
  <si>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</si>
  <si>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</si>
  <si>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</si>
  <si>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</si>
  <si>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</si>
  <si>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</si>
  <si>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</si>
  <si>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</si>
  <si>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</si>
  <si>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</si>
  <si>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</si>
  <si>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</si>
  <si>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</si>
  <si>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</si>
  <si>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</si>
  <si>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</si>
  <si>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</si>
  <si>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</si>
  <si>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</si>
  <si>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</si>
  <si>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</si>
  <si>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</si>
  <si>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</si>
  <si>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</si>
  <si>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</si>
  <si>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</si>
  <si>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</si>
  <si>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</si>
  <si>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</si>
  <si>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</si>
  <si>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</si>
  <si>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</si>
  <si>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</si>
  <si>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</si>
  <si>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</si>
  <si>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</si>
  <si>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</si>
  <si>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</si>
  <si>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</si>
  <si>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</si>
  <si>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</si>
  <si>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</si>
  <si>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</si>
  <si>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</si>
  <si>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</si>
  <si>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</si>
  <si>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</si>
  <si>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</si>
  <si>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</si>
  <si>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</si>
  <si>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</si>
  <si>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</si>
  <si>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</si>
  <si>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</si>
  <si>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</si>
  <si>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</si>
  <si>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</si>
  <si>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</si>
  <si>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</si>
  <si>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</si>
  <si>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</si>
  <si>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</si>
  <si>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</si>
  <si>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</si>
  <si>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</si>
  <si>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</si>
  <si>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</si>
  <si>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</si>
  <si>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</si>
  <si>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</si>
  <si>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</si>
  <si>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</si>
  <si>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</si>
  <si>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</si>
  <si>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</si>
  <si>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</si>
  <si>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</si>
  <si>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</si>
  <si>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</si>
  <si>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</si>
  <si>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</si>
  <si>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</si>
  <si>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</si>
  <si>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</si>
  <si>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</si>
  <si>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</si>
  <si>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</si>
  <si>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</si>
  <si>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</si>
  <si>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</si>
  <si>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</si>
  <si>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</si>
  <si>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</si>
  <si>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</si>
  <si>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</si>
  <si>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</si>
  <si>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</si>
  <si>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</si>
  <si>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</si>
  <si>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</si>
  <si>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</si>
  <si>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</si>
  <si>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</si>
  <si>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</si>
  <si>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</si>
  <si>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</si>
  <si>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</si>
  <si>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</si>
  <si>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</si>
  <si>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</si>
  <si>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</si>
  <si>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</si>
  <si>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</si>
  <si>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</si>
  <si>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</si>
  <si>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</si>
  <si>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</si>
  <si>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</si>
  <si>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</si>
  <si>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</si>
  <si>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</si>
  <si>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</si>
  <si>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</si>
  <si>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</si>
  <si>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</si>
  <si>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</si>
  <si>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</si>
  <si>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</si>
  <si>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</si>
  <si>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</si>
  <si>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</si>
  <si>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</si>
  <si>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</si>
  <si>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</si>
  <si>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</si>
  <si>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</si>
  <si>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</si>
  <si>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</si>
  <si>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</si>
  <si>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</si>
  <si>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</si>
  <si>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</si>
  <si>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</si>
  <si>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</si>
  <si>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</si>
  <si>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</si>
  <si>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</si>
  <si>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</si>
  <si>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</si>
  <si>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</si>
  <si>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</si>
  <si>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</si>
  <si>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</si>
  <si>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</si>
  <si>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</si>
  <si>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</si>
  <si>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</si>
  <si>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</si>
  <si>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</si>
  <si>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</si>
  <si>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</si>
  <si>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</si>
  <si>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</si>
  <si>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</si>
  <si>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</si>
  <si>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</si>
  <si>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</si>
  <si>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</si>
  <si>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</si>
  <si>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</si>
  <si>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</si>
  <si>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</si>
  <si>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</si>
  <si>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</si>
  <si>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</si>
  <si>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</si>
  <si>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</si>
  <si>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</si>
  <si>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</si>
  <si>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</si>
  <si>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</si>
  <si>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</si>
  <si>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</si>
  <si>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</si>
  <si>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</si>
  <si>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</si>
  <si>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</si>
  <si>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</si>
  <si>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</si>
  <si>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</si>
  <si>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</si>
  <si>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</si>
  <si>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</si>
  <si>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</si>
  <si>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</si>
  <si>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</si>
  <si>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</si>
  <si>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</si>
  <si>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</si>
  <si>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</si>
  <si>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</si>
  <si>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</si>
  <si>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</si>
  <si>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</si>
  <si>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</si>
  <si>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</si>
  <si>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</si>
  <si>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</si>
  <si>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</si>
  <si>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</si>
  <si>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</si>
  <si>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</si>
  <si>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</si>
  <si>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</si>
  <si>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</si>
  <si>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</si>
  <si>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</si>
  <si>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</si>
  <si>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</si>
  <si>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</si>
  <si>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</si>
  <si>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</si>
  <si>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</si>
  <si>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</si>
  <si>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</si>
  <si>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</si>
  <si>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</si>
  <si>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</si>
  <si>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</si>
  <si>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</si>
  <si>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</si>
  <si>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</si>
  <si>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</si>
  <si>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</si>
  <si>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</si>
  <si>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</si>
  <si>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</si>
  <si>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</si>
  <si>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</si>
  <si>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</si>
  <si>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</si>
  <si>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</si>
  <si>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</si>
  <si>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</si>
  <si>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</si>
  <si>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</si>
  <si>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</si>
  <si>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</si>
  <si>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</si>
  <si>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</si>
  <si>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</si>
  <si>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</si>
  <si>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</si>
  <si>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</si>
  <si>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</si>
  <si>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</si>
  <si>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</si>
  <si>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</si>
  <si>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</si>
  <si>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</si>
  <si>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</si>
  <si>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</si>
  <si>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</si>
  <si>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</si>
  <si>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</si>
  <si>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</si>
  <si>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</si>
  <si>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</si>
  <si>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</si>
  <si>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</si>
  <si>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</si>
  <si>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</si>
  <si>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</si>
  <si>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</si>
  <si>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</si>
  <si>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</si>
  <si>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</si>
  <si>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</si>
  <si>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</si>
  <si>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</si>
  <si>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</si>
  <si>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</si>
  <si>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</si>
  <si>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</si>
  <si>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</si>
  <si>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</si>
  <si>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</si>
  <si>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</si>
  <si>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</si>
  <si>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</si>
  <si>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</si>
  <si>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</si>
  <si>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</si>
  <si>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</si>
  <si>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</si>
  <si>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</si>
  <si>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</si>
  <si>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</si>
  <si>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</si>
  <si>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</si>
  <si>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</si>
  <si>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</si>
  <si>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</si>
  <si>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</si>
  <si>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</si>
  <si>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</si>
  <si>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</si>
  <si>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</si>
  <si>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</si>
  <si>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</si>
  <si>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</si>
  <si>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</si>
  <si>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</si>
  <si>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</si>
  <si>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</si>
  <si>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</si>
  <si>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</si>
  <si>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</si>
  <si>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</si>
  <si>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</si>
  <si>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</si>
  <si>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</si>
  <si>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</si>
  <si>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</si>
  <si>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</si>
  <si>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</si>
  <si>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</si>
  <si>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</si>
  <si>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</si>
  <si>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</si>
  <si>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</si>
  <si>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</si>
  <si>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</si>
  <si>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</si>
  <si>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</si>
  <si>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</si>
  <si>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</si>
  <si>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</si>
  <si>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</si>
  <si>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</si>
  <si>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</si>
  <si>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</si>
  <si>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</si>
  <si>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</si>
  <si>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</si>
  <si>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</si>
  <si>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</si>
  <si>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</si>
  <si>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</si>
  <si>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</si>
  <si>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</si>
  <si>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</si>
  <si>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</si>
  <si>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</si>
  <si>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</si>
  <si>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</si>
  <si>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</si>
  <si>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</si>
  <si>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</si>
  <si>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</si>
  <si>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</si>
  <si>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</si>
  <si>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</si>
  <si>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</si>
  <si>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</si>
  <si>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</si>
  <si>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</si>
  <si>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</si>
  <si>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</si>
  <si>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</si>
  <si>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</si>
  <si>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</si>
  <si>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</si>
  <si>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</si>
  <si>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</si>
  <si>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</si>
  <si>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</si>
  <si>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</si>
  <si>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</si>
  <si>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</si>
  <si>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</si>
  <si>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</si>
  <si>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</si>
  <si>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</si>
  <si>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</si>
  <si>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</si>
  <si>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</si>
  <si>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</si>
  <si>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</si>
  <si>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</si>
  <si>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</si>
  <si>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</si>
  <si>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</si>
  <si>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</si>
  <si>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</si>
  <si>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</si>
  <si>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</si>
  <si>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</si>
  <si>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various</t>
  </si>
  <si>
    <t>2/00 - 6/19</t>
  </si>
  <si>
    <t>04/41</t>
  </si>
  <si>
    <t>Concord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</si>
</sst>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1613</v>
      </c>
      <c r="B2" s="21">
        <v>111</v>
      </c>
      <c r="C2" s="21">
        <v>111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4717065.07</v>
      </c>
      <c r="G9" s="18">
        <v>297108.74</v>
      </c>
      <c r="H9" s="18">
        <v>-200340.99</v>
      </c>
      <c r="I9" s="18">
        <v>191166.04</v>
      </c>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v>2511373.86</v>
      </c>
      <c r="J10" s="67">
        <f>SUM(I440)</f>
        <v>8562672.2300000004</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119860298.87</v>
      </c>
      <c r="G12" s="18">
        <v>6883298.0300000003</v>
      </c>
      <c r="H12" s="18">
        <v>46196099.549999997</v>
      </c>
      <c r="I12" s="18">
        <v>67576312.769999996</v>
      </c>
      <c r="J12" s="67">
        <f>SUM(I441)</f>
        <v>-1703884.8</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862880.67</v>
      </c>
      <c r="G14" s="18">
        <v>187354.78</v>
      </c>
      <c r="H14" s="18">
        <v>1178248.1100000001</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v>425.81</v>
      </c>
      <c r="G16" s="18">
        <v>61633.120000000003</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v>107500</v>
      </c>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125548170.42</v>
      </c>
      <c r="G19" s="41">
        <f>SUM(G9:G18)</f>
        <v>7429394.6700000009</v>
      </c>
      <c r="H19" s="41">
        <f>SUM(H9:H18)</f>
        <v>47174006.669999994</v>
      </c>
      <c r="I19" s="41">
        <f>SUM(I9:I18)</f>
        <v>70278852.670000002</v>
      </c>
      <c r="J19" s="41">
        <f>SUM(J9:J18)</f>
        <v>6858787.4300000006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119238309.70999999</v>
      </c>
      <c r="G22" s="18">
        <v>7182699.8899999997</v>
      </c>
      <c r="H22" s="18">
        <v>46727110.530000001</v>
      </c>
      <c r="I22" s="18">
        <v>67378937.760000005</v>
      </c>
      <c r="J22" s="67">
        <f>SUM(I448)</f>
        <v>-1715153.44</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229.7</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211415.34</v>
      </c>
      <c r="G28" s="18">
        <v>1256.67</v>
      </c>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2034162.03</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16805</v>
      </c>
      <c r="G30" s="18">
        <v>37036.559999999998</v>
      </c>
      <c r="H30" s="18">
        <v>116484.25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121500921.78</v>
      </c>
      <c r="G32" s="41">
        <f>SUM(G22:G31)</f>
        <v>7220993.1199999992</v>
      </c>
      <c r="H32" s="41">
        <f>SUM(H22:H31)</f>
        <v>46843594.780000001</v>
      </c>
      <c r="I32" s="41">
        <f>SUM(I22:I31)</f>
        <v>67378937.760000005</v>
      </c>
      <c r="J32" s="41">
        <f>SUM(J22:J31)</f>
        <v>-1715153.44</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2094458.03</v>
      </c>
      <c r="G45" s="18">
        <v>20813.88</v>
      </c>
      <c r="H45" s="18">
        <v>186465.05</v>
      </c>
      <c r="I45" s="18">
        <v>1248289.79</v>
      </c>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425.81</v>
      </c>
      <c r="G48" s="18">
        <v>187587.67</v>
      </c>
      <c r="H48" s="18">
        <f>371276.06-28641783.98+30165965.74-1751510.98</f>
        <v>143946.83999999659</v>
      </c>
      <c r="I48" s="18">
        <f>8591006.43+192145383.74-198665611.78-419153.27</f>
        <v>1651625.1200000155</v>
      </c>
      <c r="J48" s="13">
        <f>SUM(I459)</f>
        <v>8573940.8699999992</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1952364.8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4047248.64</v>
      </c>
      <c r="G51" s="41">
        <f>SUM(G35:G50)</f>
        <v>208401.55000000002</v>
      </c>
      <c r="H51" s="41">
        <f>SUM(H35:H50)</f>
        <v>330411.88999999658</v>
      </c>
      <c r="I51" s="41">
        <f>SUM(I35:I50)</f>
        <v>2899914.9100000155</v>
      </c>
      <c r="J51" s="41">
        <f>SUM(J35:J50)</f>
        <v>8573940.8699999992</v>
      </c>
      <c r="K51" s="45" t="s">
        <v>288</v>
      </c>
      <c r="L51" s="45" t="s">
        <v>288</v>
      </c>
      <c r="N51" s="264"/>
    </row>
    <row r="52" spans="1:14" s="3" customFormat="1" ht="12.2" customHeight="1" thickTop="1" x14ac:dyDescent="0.15">
      <c r="A52" s="38" t="s">
        <v>455</v>
      </c>
      <c r="B52" s="39" t="s">
        <v>289</v>
      </c>
      <c r="C52" s="6">
        <v>37</v>
      </c>
      <c r="D52" s="39" t="s">
        <v>653</v>
      </c>
      <c r="E52" s="39"/>
      <c r="F52" s="41">
        <f>F51+F32</f>
        <v>125548170.42</v>
      </c>
      <c r="G52" s="41">
        <f>G51+G32</f>
        <v>7429394.669999999</v>
      </c>
      <c r="H52" s="41">
        <f>H51+H32</f>
        <v>47174006.669999994</v>
      </c>
      <c r="I52" s="41">
        <f>I51+I32</f>
        <v>70278852.670000017</v>
      </c>
      <c r="J52" s="41">
        <f>J51+J32</f>
        <v>6858787.4299999997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50869061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100964.98</v>
      </c>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50970025.979999997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144898.15+9890.83+103499</f>
        <v>258287.97999999998</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f>12475</f>
        <v>12475</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f>6055</f>
        <v>6055</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1961291.3</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445701.83</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845462.08</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3529273.1900000004</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11485</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f>32049.19</f>
        <v>32049.19</v>
      </c>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185200.86</v>
      </c>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228735.05</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43566.69</f>
        <v>43566.69</v>
      </c>
      <c r="G96" s="18">
        <f>26.69</f>
        <v>26.69</v>
      </c>
      <c r="H96" s="18"/>
      <c r="I96" s="18">
        <v>15150.28</v>
      </c>
      <c r="J96" s="18">
        <f>38719.64+2587.25</f>
        <v>41306.89</v>
      </c>
      <c r="K96" s="24" t="s">
        <v>288</v>
      </c>
      <c r="L96" s="24" t="s">
        <v>288</v>
      </c>
      <c r="M96" s="8"/>
      <c r="N96" s="266"/>
    </row>
    <row r="97" spans="1:14" s="3" customFormat="1" ht="12.2" customHeight="1" x14ac:dyDescent="0.15">
      <c r="A97" s="1" t="s">
        <v>503</v>
      </c>
      <c r="B97" s="2" t="s">
        <v>315</v>
      </c>
      <c r="C97" s="6">
        <v>12</v>
      </c>
      <c r="D97" s="2" t="s">
        <v>430</v>
      </c>
      <c r="E97" s="6">
        <v>1600</v>
      </c>
      <c r="F97" s="24" t="s">
        <v>288</v>
      </c>
      <c r="G97" s="18">
        <f>467295.05+26956.4+40048.43+293378.87+22624.07</f>
        <v>850302.82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f>16937+102385+21.99</f>
        <v>119343.99</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207425.78</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196373.99</v>
      </c>
      <c r="I102" s="18"/>
      <c r="J102" s="18">
        <f>31125.09</f>
        <v>31125.09</v>
      </c>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f>9005.22</f>
        <v>9005.2199999999993</v>
      </c>
      <c r="G109" s="18">
        <v>585.19000000000005</v>
      </c>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146285.49+6111.13</f>
        <v>152396.62</v>
      </c>
      <c r="G110" s="18">
        <v>7564.54</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531738.29999999993</v>
      </c>
      <c r="G111" s="41">
        <f>SUM(G96:G110)</f>
        <v>858479.23999999987</v>
      </c>
      <c r="H111" s="41">
        <f>SUM(H96:H110)</f>
        <v>196373.99</v>
      </c>
      <c r="I111" s="41">
        <f>SUM(I96:I110)</f>
        <v>15150.28</v>
      </c>
      <c r="J111" s="41">
        <f>SUM(J96:J110)</f>
        <v>72431.98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55259772.519999988</v>
      </c>
      <c r="G112" s="41">
        <f>G60+G111</f>
        <v>858479.23999999987</v>
      </c>
      <c r="H112" s="41">
        <f>H60+H79+H94+H111</f>
        <v>196373.99</v>
      </c>
      <c r="I112" s="41">
        <f>I60+I111</f>
        <v>15150.28</v>
      </c>
      <c r="J112" s="41">
        <f>J60+J111</f>
        <v>72431.98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13375636.869999999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7786367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f>22461</f>
        <v>22461</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21184464.869999997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1116217.05</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316800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f>165258.2</f>
        <v>165258.20000000001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f>1368100.66</f>
        <v>1368100.66</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f>399</f>
        <v>399</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v>10732.09</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v>49847.32</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23872.2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1191107.92</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2966774.91</v>
      </c>
      <c r="G136" s="41">
        <f>SUM(G123:G135)</f>
        <v>23872.2</v>
      </c>
      <c r="H136" s="41">
        <f>SUM(H123:H135)</f>
        <v>1251687.3299999998</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24151239.779999997</v>
      </c>
      <c r="G140" s="41">
        <f>G121+SUM(G136:G137)</f>
        <v>23872.2</v>
      </c>
      <c r="H140" s="41">
        <f>H121+SUM(H136:H139)</f>
        <v>1251687.3299999998</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815204.42</v>
      </c>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815204.42</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1232616.4099999999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865719.2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391439.45</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1066940.95+68066.79</f>
        <v>1135007.74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1350004.37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f>894791.15</f>
        <v>894791.15</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f>16667.28</f>
        <v>16667.28</v>
      </c>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911458.43</v>
      </c>
      <c r="G162" s="41">
        <f>SUM(G150:G161)</f>
        <v>1135007.74</v>
      </c>
      <c r="H162" s="41">
        <f>SUM(H150:H161)</f>
        <v>3839779.43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1726662.85</v>
      </c>
      <c r="G169" s="41">
        <f>G147+G162+SUM(G163:G168)</f>
        <v>1135007.74</v>
      </c>
      <c r="H169" s="41">
        <f>H147+H162+SUM(H163:H168)</f>
        <v>3839779.43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v>4240000</v>
      </c>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v>763721.45</v>
      </c>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5003721.45</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82000</v>
      </c>
      <c r="H179" s="18">
        <v>317152.09000000003</v>
      </c>
      <c r="I179" s="18"/>
      <c r="J179" s="18">
        <f>2214310.68+78322.28</f>
        <v>2292632.96</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f>92367.04</f>
        <v>92367.039999999994</v>
      </c>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92367.039999999994</v>
      </c>
      <c r="G183" s="41">
        <f>SUM(G179:G182)</f>
        <v>82000</v>
      </c>
      <c r="H183" s="41">
        <f>SUM(H179:H182)</f>
        <v>317152.09000000003</v>
      </c>
      <c r="I183" s="41">
        <f>SUM(I179:I182)</f>
        <v>0</v>
      </c>
      <c r="J183" s="41">
        <f>SUM(J179:J182)</f>
        <v>2292632.96</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f>-33116.02</f>
        <v>-33116.019999999997</v>
      </c>
      <c r="I186" s="18">
        <v>106295.08</v>
      </c>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-33116.019999999997</v>
      </c>
      <c r="I188" s="41">
        <f>SUM(I185:I187)</f>
        <v>106295.08</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92367.039999999994</v>
      </c>
      <c r="G192" s="41">
        <f>G183+SUM(G188:G191)</f>
        <v>82000</v>
      </c>
      <c r="H192" s="41">
        <f>+H183+SUM(H188:H191)</f>
        <v>284036.07</v>
      </c>
      <c r="I192" s="41">
        <f>I177+I183+SUM(I188:I191)</f>
        <v>5110016.53</v>
      </c>
      <c r="J192" s="41">
        <f>J183</f>
        <v>2292632.96</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81230042.189999983</v>
      </c>
      <c r="G193" s="47">
        <f>G112+G140+G169+G192</f>
        <v>2099359.1799999997</v>
      </c>
      <c r="H193" s="47">
        <f>H112+H140+H169+H192</f>
        <v>5571876.8200000003</v>
      </c>
      <c r="I193" s="47">
        <f>I112+I140+I169+I192</f>
        <v>5125166.8100000005</v>
      </c>
      <c r="J193" s="47">
        <f>J112+J140+J192</f>
        <v>2365064.94</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8480470.95+18208.47+139676.27</f>
        <v>8638355.6899999995</v>
      </c>
      <c r="G197" s="18">
        <f>3935705.07+1472.87+213648.66</f>
        <v>4150826.6</v>
      </c>
      <c r="H197" s="18">
        <f>29321.21+709.11</f>
        <v>30030.32</v>
      </c>
      <c r="I197" s="18">
        <f>270967.53</f>
        <v>270967.53000000003</v>
      </c>
      <c r="J197" s="18">
        <f>161953.24</f>
        <v>161953.24</v>
      </c>
      <c r="K197" s="18">
        <f>4340</f>
        <v>4340</v>
      </c>
      <c r="L197" s="19">
        <f>SUM(F197:K197)</f>
        <v>13256473.379999999</v>
      </c>
      <c r="M197" s="8"/>
      <c r="N197" s="266"/>
    </row>
    <row r="198" spans="1:14" s="3" customFormat="1" ht="12.2" customHeight="1" x14ac:dyDescent="0.15">
      <c r="A198" s="1" t="s">
        <v>439</v>
      </c>
      <c r="B198" s="2" t="s">
        <v>341</v>
      </c>
      <c r="C198" s="2" t="s">
        <v>291</v>
      </c>
      <c r="D198" s="2" t="s">
        <v>431</v>
      </c>
      <c r="E198" s="6">
        <v>1200</v>
      </c>
      <c r="F198" s="18">
        <f>2562282.64+1193202.22+316235.95+1123.72</f>
        <v>4072844.5300000007</v>
      </c>
      <c r="G198" s="18">
        <f>836770.81+434570.79+112694.14+130.94+102637.91</f>
        <v>1486804.5899999999</v>
      </c>
      <c r="H198" s="18">
        <f>314400.34+746778.31+23291.91+39200.01</f>
        <v>1123670.57</v>
      </c>
      <c r="I198" s="18">
        <f>6579.44+4268.45+1468.39+11063.61</f>
        <v>23379.89</v>
      </c>
      <c r="J198" s="18">
        <f>17234.27</f>
        <v>17234.27</v>
      </c>
      <c r="K198" s="18"/>
      <c r="L198" s="19">
        <f>SUM(F198:K198)</f>
        <v>6723933.8500000006</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19245+64118.06</f>
        <v>83363.06</v>
      </c>
      <c r="G200" s="18">
        <f>4781.5+29944.83+470.38</f>
        <v>35196.71</v>
      </c>
      <c r="H200" s="18">
        <v>1000</v>
      </c>
      <c r="I200" s="18"/>
      <c r="J200" s="18"/>
      <c r="K200" s="18"/>
      <c r="L200" s="19">
        <f>SUM(F200:K200)</f>
        <v>119559.76999999999</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379383.19+333615.03+163198.88+691820.37+260674.43+39206.34+80502</f>
        <v>1948400.24</v>
      </c>
      <c r="G202" s="18">
        <f>171757.47+161064.43+80587.05+265712.02+118059.89+16202.53+17081.88+47132.53</f>
        <v>877597.8</v>
      </c>
      <c r="H202" s="18">
        <f>10478.5+115870.59+9680.78+18547.24</f>
        <v>154577.10999999999</v>
      </c>
      <c r="I202" s="18">
        <f>1109.01+6706.07+5327.69+3804.02+7666.53</f>
        <v>24613.32</v>
      </c>
      <c r="J202" s="18">
        <f>1260.78+2731.24</f>
        <v>3992.0199999999995</v>
      </c>
      <c r="K202" s="18">
        <f>352.5</f>
        <v>352.5</v>
      </c>
      <c r="L202" s="19">
        <f t="shared" ref="L202:L208" si="0">SUM(F202:K202)</f>
        <v>3009532.9899999998</v>
      </c>
      <c r="M202" s="8"/>
      <c r="N202" s="266"/>
    </row>
    <row r="203" spans="1:14" s="3" customFormat="1" ht="12.2" customHeight="1" x14ac:dyDescent="0.15">
      <c r="A203" s="1" t="s">
        <v>443</v>
      </c>
      <c r="B203" s="2" t="s">
        <v>341</v>
      </c>
      <c r="C203" s="2" t="s">
        <v>295</v>
      </c>
      <c r="D203" s="2" t="s">
        <v>431</v>
      </c>
      <c r="E203" s="6">
        <v>2200</v>
      </c>
      <c r="F203" s="18">
        <f>407213.24+94686.36+252065.94</f>
        <v>753965.54</v>
      </c>
      <c r="G203" s="18">
        <f>182429.88+31646.56+197634.96+12606.31</f>
        <v>424317.71</v>
      </c>
      <c r="H203" s="18">
        <f>3129.46+235934.53</f>
        <v>239063.99</v>
      </c>
      <c r="I203" s="18">
        <f>15676.52+375.31+4711.55+145586.73</f>
        <v>166350.11000000002</v>
      </c>
      <c r="J203" s="18">
        <f>9311.29+201762.61</f>
        <v>211073.9</v>
      </c>
      <c r="K203" s="18">
        <f>1509.35</f>
        <v>1509.35</v>
      </c>
      <c r="L203" s="19">
        <f t="shared" si="0"/>
        <v>1796280.6</v>
      </c>
      <c r="M203" s="8"/>
      <c r="N203" s="266"/>
    </row>
    <row r="204" spans="1:14" s="3" customFormat="1" ht="12.2" customHeight="1" x14ac:dyDescent="0.15">
      <c r="A204" s="1" t="s">
        <v>444</v>
      </c>
      <c r="B204" s="2" t="s">
        <v>341</v>
      </c>
      <c r="C204" s="2" t="s">
        <v>296</v>
      </c>
      <c r="D204" s="2" t="s">
        <v>431</v>
      </c>
      <c r="E204" s="6">
        <v>2300</v>
      </c>
      <c r="F204" s="18">
        <f>61.91+226040.78</f>
        <v>226102.69</v>
      </c>
      <c r="G204" s="18">
        <f>88.98+88628.13</f>
        <v>88717.11</v>
      </c>
      <c r="H204" s="18">
        <f>100894.79</f>
        <v>100894.79</v>
      </c>
      <c r="I204" s="18">
        <f>15904.73</f>
        <v>15904.73</v>
      </c>
      <c r="J204" s="18">
        <f>1049.77</f>
        <v>1049.77</v>
      </c>
      <c r="K204" s="18">
        <f>4450.63</f>
        <v>4450.63</v>
      </c>
      <c r="L204" s="19">
        <f t="shared" si="0"/>
        <v>437119.72</v>
      </c>
      <c r="M204" s="8"/>
      <c r="N204" s="266"/>
    </row>
    <row r="205" spans="1:14" s="3" customFormat="1" ht="12.2" customHeight="1" x14ac:dyDescent="0.15">
      <c r="A205" s="1" t="s">
        <v>445</v>
      </c>
      <c r="B205" s="2" t="s">
        <v>341</v>
      </c>
      <c r="C205" s="2" t="s">
        <v>297</v>
      </c>
      <c r="D205" s="2" t="s">
        <v>431</v>
      </c>
      <c r="E205" s="6">
        <v>2400</v>
      </c>
      <c r="F205" s="18">
        <f>780539.41</f>
        <v>780539.41</v>
      </c>
      <c r="G205" s="18">
        <f>347636.25+19662.07</f>
        <v>367298.32</v>
      </c>
      <c r="H205" s="18">
        <f>8418.69</f>
        <v>8418.69</v>
      </c>
      <c r="I205" s="18">
        <f>3547.39</f>
        <v>3547.39</v>
      </c>
      <c r="J205" s="18"/>
      <c r="K205" s="18">
        <f>7335</f>
        <v>7335</v>
      </c>
      <c r="L205" s="19">
        <f t="shared" si="0"/>
        <v>1167138.8099999998</v>
      </c>
      <c r="M205" s="8"/>
      <c r="N205" s="266"/>
    </row>
    <row r="206" spans="1:14" s="3" customFormat="1" ht="12.2" customHeight="1" x14ac:dyDescent="0.15">
      <c r="A206" s="1" t="s">
        <v>446</v>
      </c>
      <c r="B206" s="2" t="s">
        <v>341</v>
      </c>
      <c r="C206" s="2" t="s">
        <v>298</v>
      </c>
      <c r="D206" s="2" t="s">
        <v>431</v>
      </c>
      <c r="E206" s="6">
        <v>2500</v>
      </c>
      <c r="F206" s="18">
        <f>240929.82</f>
        <v>240929.82</v>
      </c>
      <c r="G206" s="18">
        <f>106620.04</f>
        <v>106620.04</v>
      </c>
      <c r="H206" s="18">
        <f>10796.83</f>
        <v>10796.83</v>
      </c>
      <c r="I206" s="18">
        <f>362</f>
        <v>362</v>
      </c>
      <c r="J206" s="18">
        <f>2712.11</f>
        <v>2712.11</v>
      </c>
      <c r="K206" s="18">
        <f>26158.43</f>
        <v>26158.43</v>
      </c>
      <c r="L206" s="19">
        <f t="shared" si="0"/>
        <v>387579.23</v>
      </c>
      <c r="M206" s="8"/>
      <c r="N206" s="266"/>
    </row>
    <row r="207" spans="1:14" s="3" customFormat="1" ht="12.2" customHeight="1" x14ac:dyDescent="0.15">
      <c r="A207" s="1" t="s">
        <v>447</v>
      </c>
      <c r="B207" s="2" t="s">
        <v>341</v>
      </c>
      <c r="C207" s="2" t="s">
        <v>299</v>
      </c>
      <c r="D207" s="2" t="s">
        <v>431</v>
      </c>
      <c r="E207" s="6">
        <v>2600</v>
      </c>
      <c r="F207" s="18">
        <f>611911.66+171499</f>
        <v>783410.66</v>
      </c>
      <c r="G207" s="18">
        <f>255459.6+80984.13+15428.61</f>
        <v>351872.33999999997</v>
      </c>
      <c r="H207" s="18">
        <f>2411.29+445362.52+48339+140215.61</f>
        <v>636328.41999999993</v>
      </c>
      <c r="I207" s="18">
        <f>48264.35+576322.68+26568.61</f>
        <v>651155.64</v>
      </c>
      <c r="J207" s="18">
        <f>46280.6+12515+8268.45</f>
        <v>67064.05</v>
      </c>
      <c r="K207" s="18">
        <f>295.62</f>
        <v>295.62</v>
      </c>
      <c r="L207" s="19">
        <f t="shared" si="0"/>
        <v>2490126.73</v>
      </c>
      <c r="M207" s="8"/>
      <c r="N207" s="266"/>
    </row>
    <row r="208" spans="1:14" s="3" customFormat="1" ht="12.2" customHeight="1" x14ac:dyDescent="0.15">
      <c r="A208" s="1" t="s">
        <v>448</v>
      </c>
      <c r="B208" s="2" t="s">
        <v>341</v>
      </c>
      <c r="C208" s="2" t="s">
        <v>300</v>
      </c>
      <c r="D208" s="2" t="s">
        <v>431</v>
      </c>
      <c r="E208" s="6">
        <v>2700</v>
      </c>
      <c r="F208" s="18">
        <f>669265.68</f>
        <v>669265.68000000005</v>
      </c>
      <c r="G208" s="18">
        <f>235860.74</f>
        <v>235860.74</v>
      </c>
      <c r="H208" s="18">
        <f>1659.96+21887.46+190817.26</f>
        <v>214364.68</v>
      </c>
      <c r="I208" s="18">
        <f>108247.9</f>
        <v>108247.9</v>
      </c>
      <c r="J208" s="18">
        <f>20108.54</f>
        <v>20108.54</v>
      </c>
      <c r="K208" s="18">
        <f>650.37</f>
        <v>650.37</v>
      </c>
      <c r="L208" s="19">
        <f t="shared" si="0"/>
        <v>1248497.9100000001</v>
      </c>
      <c r="M208" s="8"/>
      <c r="N208" s="266"/>
    </row>
    <row r="209" spans="1:14" s="3" customFormat="1" ht="12.2" customHeight="1" x14ac:dyDescent="0.15">
      <c r="A209" s="1" t="s">
        <v>449</v>
      </c>
      <c r="B209" s="2" t="s">
        <v>341</v>
      </c>
      <c r="C209" s="2" t="s">
        <v>343</v>
      </c>
      <c r="D209" s="2" t="s">
        <v>431</v>
      </c>
      <c r="E209" s="6">
        <v>2800</v>
      </c>
      <c r="F209" s="18">
        <f>154130.49</f>
        <v>154130.49</v>
      </c>
      <c r="G209" s="18">
        <f>84429.4</f>
        <v>84429.4</v>
      </c>
      <c r="H209" s="18">
        <f>37705.95</f>
        <v>37705.949999999997</v>
      </c>
      <c r="I209" s="18">
        <f>12018.75</f>
        <v>12018.75</v>
      </c>
      <c r="J209" s="18">
        <f>15045.18</f>
        <v>15045.18</v>
      </c>
      <c r="K209" s="18"/>
      <c r="L209" s="19">
        <f>SUM(F209:K209)</f>
        <v>303329.76999999996</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18351307.809999999</v>
      </c>
      <c r="G211" s="41">
        <f t="shared" si="1"/>
        <v>8209541.3600000003</v>
      </c>
      <c r="H211" s="41">
        <f t="shared" si="1"/>
        <v>2556851.35</v>
      </c>
      <c r="I211" s="41">
        <f t="shared" si="1"/>
        <v>1276547.26</v>
      </c>
      <c r="J211" s="41">
        <f t="shared" si="1"/>
        <v>500233.0799999999</v>
      </c>
      <c r="K211" s="41">
        <f t="shared" si="1"/>
        <v>45091.900000000009</v>
      </c>
      <c r="L211" s="41">
        <f t="shared" si="1"/>
        <v>30939572.759999998</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4551097+8894.46+65448.31</f>
        <v>4625439.7699999996</v>
      </c>
      <c r="G215" s="18">
        <f>2125285.17+719.47+114773.83</f>
        <v>2240778.4700000002</v>
      </c>
      <c r="H215" s="18">
        <f>13165.36+346.38</f>
        <v>13511.74</v>
      </c>
      <c r="I215" s="18">
        <f>53628.58</f>
        <v>53628.58</v>
      </c>
      <c r="J215" s="18">
        <f>21987.54</f>
        <v>21987.54</v>
      </c>
      <c r="K215" s="18">
        <f>2120</f>
        <v>2120</v>
      </c>
      <c r="L215" s="19">
        <f>SUM(F215:K215)</f>
        <v>6957466.1000000006</v>
      </c>
      <c r="M215" s="8"/>
      <c r="N215" s="266"/>
    </row>
    <row r="216" spans="1:14" s="3" customFormat="1" ht="12.2" customHeight="1" x14ac:dyDescent="0.15">
      <c r="A216" s="1" t="s">
        <v>439</v>
      </c>
      <c r="B216" s="2" t="s">
        <v>346</v>
      </c>
      <c r="C216" s="2" t="s">
        <v>291</v>
      </c>
      <c r="D216" s="2" t="s">
        <v>431</v>
      </c>
      <c r="E216" s="6">
        <v>1200</v>
      </c>
      <c r="F216" s="18">
        <f>537192.73+575945.64+129785.71+561.86</f>
        <v>1243485.9400000002</v>
      </c>
      <c r="G216" s="18">
        <f>177822.14+293140.09+44520.6+65.47+31327.61</f>
        <v>546875.91</v>
      </c>
      <c r="H216" s="18">
        <f>200930.55+52646.13+4057.82+19600.01</f>
        <v>277234.51</v>
      </c>
      <c r="I216" s="18">
        <f>2464.94+467.5+5531.81</f>
        <v>8464.25</v>
      </c>
      <c r="J216" s="18">
        <f>4415+8617.14</f>
        <v>13032.14</v>
      </c>
      <c r="K216" s="18"/>
      <c r="L216" s="19">
        <f>SUM(F216:K216)</f>
        <v>2089092.75</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f>13310+61467.81+31320.34</f>
        <v>106098.15</v>
      </c>
      <c r="G218" s="18">
        <f>2621.78+13012.79+14627.43+1881.54</f>
        <v>32143.54</v>
      </c>
      <c r="H218" s="18">
        <f>23386.14</f>
        <v>23386.14</v>
      </c>
      <c r="I218" s="18">
        <f>2895.42</f>
        <v>2895.42</v>
      </c>
      <c r="J218" s="18">
        <f>-2139.5</f>
        <v>-2139.5</v>
      </c>
      <c r="K218" s="18">
        <f>4122</f>
        <v>4122</v>
      </c>
      <c r="L218" s="19">
        <f>SUM(F218:K218)</f>
        <v>166505.75000000003</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325774.52+96404.7+84535.45+115277.88+34000.16+40251</f>
        <v>696243.71000000008</v>
      </c>
      <c r="G220" s="18">
        <f>141204.89+42777.85+43226.05+54044.83+2600.9+8540.94+16557.54</f>
        <v>308953.00000000006</v>
      </c>
      <c r="H220" s="18">
        <f>13824+3272+15703.19+13456+9257.08</f>
        <v>55512.270000000004</v>
      </c>
      <c r="I220" s="18">
        <f>627.53+2012+3833.27</f>
        <v>6472.7999999999993</v>
      </c>
      <c r="J220" s="18">
        <v>1365.62</v>
      </c>
      <c r="K220" s="18">
        <f>176.25</f>
        <v>176.25</v>
      </c>
      <c r="L220" s="19">
        <f t="shared" ref="L220:L226" si="2">SUM(F220:K220)</f>
        <v>1068723.6500000004</v>
      </c>
      <c r="M220" s="8"/>
      <c r="N220" s="266"/>
    </row>
    <row r="221" spans="1:14" s="3" customFormat="1" ht="12.2" customHeight="1" x14ac:dyDescent="0.15">
      <c r="A221" s="1" t="s">
        <v>443</v>
      </c>
      <c r="B221" s="2" t="s">
        <v>346</v>
      </c>
      <c r="C221" s="2" t="s">
        <v>295</v>
      </c>
      <c r="D221" s="2" t="s">
        <v>431</v>
      </c>
      <c r="E221" s="6">
        <v>2200</v>
      </c>
      <c r="F221" s="18">
        <f>18990+184467.72+21196.69+112826.35</f>
        <v>337480.76</v>
      </c>
      <c r="G221" s="18">
        <f>4728.56+73438.27+9533.41+81610.17+5644.61</f>
        <v>174955.02</v>
      </c>
      <c r="H221" s="18">
        <f>2967.36+112816.18</f>
        <v>115783.54</v>
      </c>
      <c r="I221" s="18">
        <f>14704.09+1044.63+3600.58+69536.24</f>
        <v>88885.540000000008</v>
      </c>
      <c r="J221" s="18">
        <f>4716.23+1042+98556.85</f>
        <v>104315.08</v>
      </c>
      <c r="K221" s="18">
        <f>737.28</f>
        <v>737.28</v>
      </c>
      <c r="L221" s="19">
        <f t="shared" si="2"/>
        <v>822157.22000000009</v>
      </c>
      <c r="M221" s="8"/>
      <c r="N221" s="266"/>
    </row>
    <row r="222" spans="1:14" s="3" customFormat="1" ht="12.2" customHeight="1" x14ac:dyDescent="0.15">
      <c r="A222" s="1" t="s">
        <v>444</v>
      </c>
      <c r="B222" s="2" t="s">
        <v>346</v>
      </c>
      <c r="C222" s="2" t="s">
        <v>296</v>
      </c>
      <c r="D222" s="2" t="s">
        <v>431</v>
      </c>
      <c r="E222" s="6">
        <v>2300</v>
      </c>
      <c r="F222" s="18">
        <f>110416.23</f>
        <v>110416.23</v>
      </c>
      <c r="G222" s="18">
        <f>43293</f>
        <v>43293</v>
      </c>
      <c r="H222" s="18">
        <f>49285.01</f>
        <v>49285.01</v>
      </c>
      <c r="I222" s="18">
        <f>7769.13</f>
        <v>7769.13</v>
      </c>
      <c r="J222" s="18">
        <f>512.79</f>
        <v>512.79</v>
      </c>
      <c r="K222" s="18">
        <f>2174.04</f>
        <v>2174.04</v>
      </c>
      <c r="L222" s="19">
        <f t="shared" si="2"/>
        <v>213450.2</v>
      </c>
      <c r="M222" s="8"/>
      <c r="N222" s="266"/>
    </row>
    <row r="223" spans="1:14" s="3" customFormat="1" ht="12.2" customHeight="1" x14ac:dyDescent="0.15">
      <c r="A223" s="1" t="s">
        <v>445</v>
      </c>
      <c r="B223" s="2" t="s">
        <v>346</v>
      </c>
      <c r="C223" s="2" t="s">
        <v>297</v>
      </c>
      <c r="D223" s="2" t="s">
        <v>431</v>
      </c>
      <c r="E223" s="6">
        <v>2400</v>
      </c>
      <c r="F223" s="18">
        <f>636652.89</f>
        <v>636652.89</v>
      </c>
      <c r="G223" s="18">
        <f>234751.02+16087.15</f>
        <v>250838.16999999998</v>
      </c>
      <c r="H223" s="18">
        <f>12052.08</f>
        <v>12052.08</v>
      </c>
      <c r="I223" s="18">
        <f>4234.68</f>
        <v>4234.68</v>
      </c>
      <c r="J223" s="18">
        <f>389.98</f>
        <v>389.98</v>
      </c>
      <c r="K223" s="18">
        <f>4621.97</f>
        <v>4621.97</v>
      </c>
      <c r="L223" s="19">
        <f t="shared" si="2"/>
        <v>908789.77</v>
      </c>
      <c r="M223" s="8"/>
      <c r="N223" s="266"/>
    </row>
    <row r="224" spans="1:14" s="3" customFormat="1" ht="12.2" customHeight="1" x14ac:dyDescent="0.15">
      <c r="A224" s="1" t="s">
        <v>446</v>
      </c>
      <c r="B224" s="2" t="s">
        <v>346</v>
      </c>
      <c r="C224" s="2" t="s">
        <v>298</v>
      </c>
      <c r="D224" s="2" t="s">
        <v>431</v>
      </c>
      <c r="E224" s="6">
        <v>2500</v>
      </c>
      <c r="F224" s="18">
        <f>87551.89</f>
        <v>87551.89</v>
      </c>
      <c r="G224" s="18">
        <f>38744.83</f>
        <v>38744.83</v>
      </c>
      <c r="H224" s="18">
        <f>3923.48</f>
        <v>3923.48</v>
      </c>
      <c r="I224" s="18">
        <f>131.55</f>
        <v>131.55000000000001</v>
      </c>
      <c r="J224" s="18">
        <f>985.56</f>
        <v>985.56</v>
      </c>
      <c r="K224" s="18">
        <f>9505.75</f>
        <v>9505.75</v>
      </c>
      <c r="L224" s="19">
        <f t="shared" si="2"/>
        <v>140843.06</v>
      </c>
      <c r="M224" s="8"/>
      <c r="N224" s="266"/>
    </row>
    <row r="225" spans="1:14" s="3" customFormat="1" ht="12.2" customHeight="1" x14ac:dyDescent="0.15">
      <c r="A225" s="1" t="s">
        <v>447</v>
      </c>
      <c r="B225" s="2" t="s">
        <v>346</v>
      </c>
      <c r="C225" s="2" t="s">
        <v>299</v>
      </c>
      <c r="D225" s="2" t="s">
        <v>431</v>
      </c>
      <c r="E225" s="6">
        <v>2600</v>
      </c>
      <c r="F225" s="18">
        <f>259724.64+90319.79</f>
        <v>350044.43</v>
      </c>
      <c r="G225" s="18">
        <f>113503.74+42650.22+6585.38</f>
        <v>162739.34000000003</v>
      </c>
      <c r="H225" s="18">
        <f>541.91+120001.07+15486+73844.42</f>
        <v>209873.40000000002</v>
      </c>
      <c r="I225" s="18">
        <f>22707.35+268587.1+13992.34</f>
        <v>305286.78999999998</v>
      </c>
      <c r="J225" s="18">
        <f>3119.02+54884.32+4354.57</f>
        <v>62357.909999999996</v>
      </c>
      <c r="K225" s="18">
        <f>155.69</f>
        <v>155.69</v>
      </c>
      <c r="L225" s="19">
        <f t="shared" si="2"/>
        <v>1090457.5599999998</v>
      </c>
      <c r="M225" s="8"/>
      <c r="N225" s="266"/>
    </row>
    <row r="226" spans="1:14" s="3" customFormat="1" ht="12.2" customHeight="1" x14ac:dyDescent="0.15">
      <c r="A226" s="1" t="s">
        <v>448</v>
      </c>
      <c r="B226" s="2" t="s">
        <v>346</v>
      </c>
      <c r="C226" s="2" t="s">
        <v>300</v>
      </c>
      <c r="D226" s="2" t="s">
        <v>431</v>
      </c>
      <c r="E226" s="6">
        <v>2700</v>
      </c>
      <c r="F226" s="18">
        <f>326922.41</f>
        <v>326922.40999999997</v>
      </c>
      <c r="G226" s="18">
        <f>115213.08</f>
        <v>115213.08</v>
      </c>
      <c r="H226" s="18">
        <f>31721.94+10137.24+93210.27</f>
        <v>135069.45000000001</v>
      </c>
      <c r="I226" s="18">
        <f>52876.85</f>
        <v>52876.85</v>
      </c>
      <c r="J226" s="18">
        <f>9822.6</f>
        <v>9822.6</v>
      </c>
      <c r="K226" s="18">
        <f>317.68</f>
        <v>317.68</v>
      </c>
      <c r="L226" s="19">
        <f t="shared" si="2"/>
        <v>640222.06999999995</v>
      </c>
      <c r="M226" s="8"/>
      <c r="N226" s="266"/>
    </row>
    <row r="227" spans="1:14" s="3" customFormat="1" ht="12.2" customHeight="1" x14ac:dyDescent="0.15">
      <c r="A227" s="1" t="s">
        <v>449</v>
      </c>
      <c r="B227" s="2" t="s">
        <v>346</v>
      </c>
      <c r="C227" s="2" t="s">
        <v>343</v>
      </c>
      <c r="D227" s="2" t="s">
        <v>431</v>
      </c>
      <c r="E227" s="6">
        <v>2800</v>
      </c>
      <c r="F227" s="18">
        <f>56009.73</f>
        <v>56009.73</v>
      </c>
      <c r="G227" s="18">
        <f>30680.94</f>
        <v>30680.94</v>
      </c>
      <c r="H227" s="18">
        <f>13702.03</f>
        <v>13702.03</v>
      </c>
      <c r="I227" s="18">
        <f>4367.51</f>
        <v>4367.51</v>
      </c>
      <c r="J227" s="18">
        <f>5467.29</f>
        <v>5467.29</v>
      </c>
      <c r="K227" s="18"/>
      <c r="L227" s="19">
        <f>SUM(F227:K227)</f>
        <v>110227.49999999999</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8576345.9100000001</v>
      </c>
      <c r="G229" s="41">
        <f>SUM(G215:G228)</f>
        <v>3945215.3000000003</v>
      </c>
      <c r="H229" s="41">
        <f>SUM(H215:H228)</f>
        <v>909333.64999999991</v>
      </c>
      <c r="I229" s="41">
        <f>SUM(I215:I228)</f>
        <v>535013.1</v>
      </c>
      <c r="J229" s="41">
        <f>SUM(J215:J228)</f>
        <v>218097.01000000004</v>
      </c>
      <c r="K229" s="41">
        <f t="shared" si="3"/>
        <v>23930.66</v>
      </c>
      <c r="L229" s="41">
        <f t="shared" si="3"/>
        <v>14207935.630000003</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6069111.01+14852.07+112730.72+1404.74</f>
        <v>6198098.54</v>
      </c>
      <c r="G233" s="18">
        <f>2850225.99+1201.37+152969.05</f>
        <v>3004396.41</v>
      </c>
      <c r="H233" s="18">
        <f>333277.04+578.4</f>
        <v>333855.44</v>
      </c>
      <c r="I233" s="18">
        <f>127055.22</f>
        <v>127055.22</v>
      </c>
      <c r="J233" s="18">
        <f>147289.35</f>
        <v>147289.35</v>
      </c>
      <c r="K233" s="18">
        <f>920+3540</f>
        <v>4460</v>
      </c>
      <c r="L233" s="19">
        <f>SUM(F233:K233)</f>
        <v>9815154.959999999</v>
      </c>
      <c r="M233" s="8"/>
      <c r="N233" s="266"/>
    </row>
    <row r="234" spans="1:14" s="3" customFormat="1" ht="12.2" customHeight="1" x14ac:dyDescent="0.15">
      <c r="A234" s="1" t="s">
        <v>439</v>
      </c>
      <c r="B234" s="2" t="s">
        <v>350</v>
      </c>
      <c r="C234" s="2" t="s">
        <v>291</v>
      </c>
      <c r="D234" s="2" t="s">
        <v>431</v>
      </c>
      <c r="E234" s="6">
        <v>1200</v>
      </c>
      <c r="F234" s="18">
        <f>876359.08+1442988.85+276193.68+705.31</f>
        <v>2596246.9200000004</v>
      </c>
      <c r="G234" s="18">
        <f>268831.17+678199.77+130982.59+82.19+65477.53</f>
        <v>1143573.25</v>
      </c>
      <c r="H234" s="18">
        <f>1536171.02+137739.79+8437.65+24604.26</f>
        <v>1706952.72</v>
      </c>
      <c r="I234" s="18">
        <f>35242.93+8124.96+6944.18</f>
        <v>50312.07</v>
      </c>
      <c r="J234" s="18">
        <f>10817.26</f>
        <v>10817.26</v>
      </c>
      <c r="K234" s="18">
        <v>131.76</v>
      </c>
      <c r="L234" s="19">
        <f>SUM(F234:K234)</f>
        <v>5508033.9800000004</v>
      </c>
      <c r="M234" s="8"/>
      <c r="N234" s="266"/>
    </row>
    <row r="235" spans="1:14" s="3" customFormat="1" ht="12.2" customHeight="1" x14ac:dyDescent="0.15">
      <c r="A235" s="1" t="s">
        <v>440</v>
      </c>
      <c r="B235" s="2" t="s">
        <v>350</v>
      </c>
      <c r="C235" s="2" t="s">
        <v>292</v>
      </c>
      <c r="D235" s="2" t="s">
        <v>431</v>
      </c>
      <c r="E235" s="6">
        <v>1300</v>
      </c>
      <c r="F235" s="18">
        <f>144210.61+164577.65+56230.21+214246.69+407880.32</f>
        <v>987145.48</v>
      </c>
      <c r="G235" s="18">
        <f>77295.4+85979.82+24931.91+121877.83+161525.29+24930.38</f>
        <v>496540.63</v>
      </c>
      <c r="H235" s="18">
        <f>3746.46+2529.66+759</f>
        <v>7035.12</v>
      </c>
      <c r="I235" s="18">
        <f>25757.16+1346.72+1000+14224.08+21407.59</f>
        <v>63735.55</v>
      </c>
      <c r="J235" s="18">
        <f>445.76</f>
        <v>445.76</v>
      </c>
      <c r="K235" s="18">
        <f>230+80</f>
        <v>310</v>
      </c>
      <c r="L235" s="19">
        <f>SUM(F235:K235)</f>
        <v>1555212.54</v>
      </c>
      <c r="M235" s="8"/>
      <c r="N235" s="266"/>
    </row>
    <row r="236" spans="1:14" s="3" customFormat="1" ht="12.2" customHeight="1" x14ac:dyDescent="0.15">
      <c r="A236" s="1" t="s">
        <v>441</v>
      </c>
      <c r="B236" s="2" t="s">
        <v>350</v>
      </c>
      <c r="C236" s="2" t="s">
        <v>293</v>
      </c>
      <c r="D236" s="2" t="s">
        <v>431</v>
      </c>
      <c r="E236" s="6">
        <v>1400</v>
      </c>
      <c r="F236" s="18">
        <f>85937.8+276082.5+9961.42+52299.06</f>
        <v>424280.77999999997</v>
      </c>
      <c r="G236" s="18">
        <f>20406.92+41478.98+1271.48+24425.04+9407.69</f>
        <v>96990.110000000015</v>
      </c>
      <c r="H236" s="18">
        <f>147403.72</f>
        <v>147403.72</v>
      </c>
      <c r="I236" s="18">
        <f>34277.43</f>
        <v>34277.43</v>
      </c>
      <c r="J236" s="18">
        <f>12616.65</f>
        <v>12616.65</v>
      </c>
      <c r="K236" s="18">
        <f>30086.82</f>
        <v>30086.82</v>
      </c>
      <c r="L236" s="19">
        <f>SUM(F236:K236)</f>
        <v>745655.51</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667219.33+121448.08+129403.2+140942.54+51801.12+32479.98+64189.06+50527.85</f>
        <v>1258011.1600000001</v>
      </c>
      <c r="G238" s="18">
        <f>327890.3+73275.19+48021.74+51344.53+23844.88+10116.96+40972.36+10721.6+30480.92</f>
        <v>616668.48</v>
      </c>
      <c r="H238" s="18">
        <f>1379.75+6488.25+10682.83+27280+11911.36</f>
        <v>57742.19</v>
      </c>
      <c r="I238" s="18">
        <f>1867.4+1717.58+4811.97</f>
        <v>8396.9500000000007</v>
      </c>
      <c r="J238" s="18">
        <f>1714.29</f>
        <v>1714.29</v>
      </c>
      <c r="K238" s="18">
        <f>252.5+90+221.25</f>
        <v>563.75</v>
      </c>
      <c r="L238" s="19">
        <f t="shared" ref="L238:L244" si="4">SUM(F238:K238)</f>
        <v>1943096.82</v>
      </c>
      <c r="M238" s="8"/>
      <c r="N238" s="266"/>
    </row>
    <row r="239" spans="1:14" s="3" customFormat="1" ht="12.2" customHeight="1" x14ac:dyDescent="0.15">
      <c r="A239" s="1" t="s">
        <v>443</v>
      </c>
      <c r="B239" s="2" t="s">
        <v>350</v>
      </c>
      <c r="C239" s="2" t="s">
        <v>295</v>
      </c>
      <c r="D239" s="2" t="s">
        <v>431</v>
      </c>
      <c r="E239" s="6">
        <v>2200</v>
      </c>
      <c r="F239" s="18">
        <f>17361.06+203000.1+22977.44+184488.11</f>
        <v>427826.70999999996</v>
      </c>
      <c r="G239" s="18">
        <f>9311.22+98986.1+4815.53+130606.39+6115</f>
        <v>249834.23999999999</v>
      </c>
      <c r="H239" s="18">
        <f>6793.77+187458.26</f>
        <v>194252.03</v>
      </c>
      <c r="I239" s="18">
        <f>39693.85+1360.35+17463.41+115512.73</f>
        <v>174030.34</v>
      </c>
      <c r="J239" s="18">
        <f>1227.49+390.97+17388.01+164571.34</f>
        <v>183577.81</v>
      </c>
      <c r="K239" s="18">
        <f>1231.12</f>
        <v>1231.1199999999999</v>
      </c>
      <c r="L239" s="19">
        <f t="shared" si="4"/>
        <v>1230752.25</v>
      </c>
      <c r="M239" s="8"/>
      <c r="N239" s="266"/>
    </row>
    <row r="240" spans="1:14" s="3" customFormat="1" ht="12.2" customHeight="1" x14ac:dyDescent="0.15">
      <c r="A240" s="1" t="s">
        <v>444</v>
      </c>
      <c r="B240" s="2" t="s">
        <v>350</v>
      </c>
      <c r="C240" s="2" t="s">
        <v>296</v>
      </c>
      <c r="D240" s="2" t="s">
        <v>431</v>
      </c>
      <c r="E240" s="6">
        <v>2300</v>
      </c>
      <c r="F240" s="18">
        <f>184374.27</f>
        <v>184374.27</v>
      </c>
      <c r="G240" s="18">
        <f>72291.15</f>
        <v>72291.149999999994</v>
      </c>
      <c r="H240" s="18">
        <f>82296.68</f>
        <v>82296.679999999993</v>
      </c>
      <c r="I240" s="18">
        <f>12972.99</f>
        <v>12972.99</v>
      </c>
      <c r="J240" s="18">
        <f>856.26</f>
        <v>856.26</v>
      </c>
      <c r="K240" s="18">
        <f>3630.23</f>
        <v>3630.23</v>
      </c>
      <c r="L240" s="19">
        <f t="shared" si="4"/>
        <v>356421.57999999996</v>
      </c>
      <c r="M240" s="8"/>
      <c r="N240" s="266"/>
    </row>
    <row r="241" spans="1:14" s="3" customFormat="1" ht="12.2" customHeight="1" x14ac:dyDescent="0.15">
      <c r="A241" s="1" t="s">
        <v>445</v>
      </c>
      <c r="B241" s="2" t="s">
        <v>350</v>
      </c>
      <c r="C241" s="2" t="s">
        <v>297</v>
      </c>
      <c r="D241" s="2" t="s">
        <v>431</v>
      </c>
      <c r="E241" s="6">
        <v>2400</v>
      </c>
      <c r="F241" s="18">
        <f>1151064.79</f>
        <v>1151064.79</v>
      </c>
      <c r="G241" s="18">
        <f>483358.41+28975.69+2163.77</f>
        <v>514497.87</v>
      </c>
      <c r="H241" s="18">
        <f>20804.91+13044.51</f>
        <v>33849.42</v>
      </c>
      <c r="I241" s="18">
        <f>11452.01+1004.4</f>
        <v>12456.41</v>
      </c>
      <c r="J241" s="18">
        <f>30376.69</f>
        <v>30376.69</v>
      </c>
      <c r="K241" s="18">
        <f>17687.79</f>
        <v>17687.79</v>
      </c>
      <c r="L241" s="19">
        <f t="shared" si="4"/>
        <v>1759932.97</v>
      </c>
      <c r="M241" s="8"/>
      <c r="N241" s="266"/>
    </row>
    <row r="242" spans="1:14" s="3" customFormat="1" ht="12.2" customHeight="1" x14ac:dyDescent="0.15">
      <c r="A242" s="1" t="s">
        <v>446</v>
      </c>
      <c r="B242" s="2" t="s">
        <v>350</v>
      </c>
      <c r="C242" s="2" t="s">
        <v>298</v>
      </c>
      <c r="D242" s="2" t="s">
        <v>431</v>
      </c>
      <c r="E242" s="6">
        <v>2500</v>
      </c>
      <c r="F242" s="18">
        <f>44334.94+134755.79</f>
        <v>179090.73</v>
      </c>
      <c r="G242" s="18">
        <f>16605.8+59634.25+1128.92</f>
        <v>77368.97</v>
      </c>
      <c r="H242" s="18">
        <f>4043+6038.83</f>
        <v>10081.83</v>
      </c>
      <c r="I242" s="18">
        <f>33543.5+202.47</f>
        <v>33745.97</v>
      </c>
      <c r="J242" s="18">
        <f>4442.21+1516.93</f>
        <v>5959.14</v>
      </c>
      <c r="K242" s="18">
        <f>14630.82</f>
        <v>14630.82</v>
      </c>
      <c r="L242" s="19">
        <f t="shared" si="4"/>
        <v>320877.46000000002</v>
      </c>
      <c r="M242" s="8"/>
      <c r="N242" s="266"/>
    </row>
    <row r="243" spans="1:14" s="3" customFormat="1" ht="12.2" customHeight="1" x14ac:dyDescent="0.15">
      <c r="A243" s="1" t="s">
        <v>447</v>
      </c>
      <c r="B243" s="2" t="s">
        <v>350</v>
      </c>
      <c r="C243" s="2" t="s">
        <v>299</v>
      </c>
      <c r="D243" s="2" t="s">
        <v>431</v>
      </c>
      <c r="E243" s="6">
        <v>2600</v>
      </c>
      <c r="F243" s="18">
        <f>503967.57+1161.42+190685.17</f>
        <v>695814.16</v>
      </c>
      <c r="G243" s="18">
        <f>174061.13+220.59+90044.1+12700.38</f>
        <v>277026.2</v>
      </c>
      <c r="H243" s="18">
        <f>1094.57+177935.82+75258+155902</f>
        <v>410190.39</v>
      </c>
      <c r="I243" s="18">
        <f>51296.93+709018.36+29540.93</f>
        <v>789856.22000000009</v>
      </c>
      <c r="J243" s="18">
        <f>19935.37+22370+9193.47</f>
        <v>51498.84</v>
      </c>
      <c r="K243" s="18">
        <f>328.69</f>
        <v>328.69</v>
      </c>
      <c r="L243" s="19">
        <f t="shared" si="4"/>
        <v>2224714.5</v>
      </c>
      <c r="M243" s="8"/>
      <c r="N243" s="266"/>
    </row>
    <row r="244" spans="1:14" s="3" customFormat="1" ht="12.2" customHeight="1" x14ac:dyDescent="0.15">
      <c r="A244" s="1" t="s">
        <v>448</v>
      </c>
      <c r="B244" s="2" t="s">
        <v>350</v>
      </c>
      <c r="C244" s="2" t="s">
        <v>300</v>
      </c>
      <c r="D244" s="2" t="s">
        <v>431</v>
      </c>
      <c r="E244" s="6">
        <v>2700</v>
      </c>
      <c r="F244" s="18">
        <f>545898.72</f>
        <v>545898.72</v>
      </c>
      <c r="G244" s="18">
        <f>192384.09</f>
        <v>192384.09</v>
      </c>
      <c r="H244" s="18">
        <f>3763.62+145878.34+28281.96+155643.57</f>
        <v>333567.49</v>
      </c>
      <c r="I244" s="18">
        <f>88294.37</f>
        <v>88294.37</v>
      </c>
      <c r="J244" s="18">
        <f>16401.88</f>
        <v>16401.88</v>
      </c>
      <c r="K244" s="18">
        <f>530.47</f>
        <v>530.47</v>
      </c>
      <c r="L244" s="19">
        <f t="shared" si="4"/>
        <v>1177077.0199999998</v>
      </c>
      <c r="M244" s="8"/>
      <c r="N244" s="266"/>
    </row>
    <row r="245" spans="1:14" s="3" customFormat="1" ht="12.2" customHeight="1" x14ac:dyDescent="0.15">
      <c r="A245" s="1" t="s">
        <v>449</v>
      </c>
      <c r="B245" s="2" t="s">
        <v>350</v>
      </c>
      <c r="C245" s="2" t="s">
        <v>343</v>
      </c>
      <c r="D245" s="2" t="s">
        <v>431</v>
      </c>
      <c r="E245" s="6">
        <v>2800</v>
      </c>
      <c r="F245" s="18">
        <f>86207.58</f>
        <v>86207.58</v>
      </c>
      <c r="G245" s="18">
        <f>47222.67</f>
        <v>47222.67</v>
      </c>
      <c r="H245" s="18">
        <f>21089.52</f>
        <v>21089.52</v>
      </c>
      <c r="I245" s="18">
        <f>6722.28</f>
        <v>6722.28</v>
      </c>
      <c r="J245" s="18">
        <f>8415</f>
        <v>8415</v>
      </c>
      <c r="K245" s="18"/>
      <c r="L245" s="19">
        <f>SUM(F245:K245)</f>
        <v>169657.05</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14734059.84</v>
      </c>
      <c r="G247" s="41">
        <f t="shared" si="5"/>
        <v>6788794.0700000012</v>
      </c>
      <c r="H247" s="41">
        <f t="shared" si="5"/>
        <v>3338316.5500000003</v>
      </c>
      <c r="I247" s="41">
        <f t="shared" si="5"/>
        <v>1401855.8</v>
      </c>
      <c r="J247" s="41">
        <f t="shared" si="5"/>
        <v>469968.93000000005</v>
      </c>
      <c r="K247" s="41">
        <f t="shared" si="5"/>
        <v>73591.450000000012</v>
      </c>
      <c r="L247" s="41">
        <f t="shared" si="5"/>
        <v>26806586.640000001</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f>79224.24</f>
        <v>79224.240000000005</v>
      </c>
      <c r="G251" s="18">
        <f>21102.32+1975.62</f>
        <v>23077.94</v>
      </c>
      <c r="H251" s="18">
        <f>1609.5</f>
        <v>1609.5</v>
      </c>
      <c r="I251" s="18">
        <f>6343.99</f>
        <v>6343.99</v>
      </c>
      <c r="J251" s="18"/>
      <c r="K251" s="18">
        <f>381.09</f>
        <v>381.09</v>
      </c>
      <c r="L251" s="19">
        <f t="shared" si="6"/>
        <v>110636.76000000001</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f>84504.54</f>
        <v>84504.54</v>
      </c>
      <c r="G255" s="18">
        <f>24659.96</f>
        <v>24659.96</v>
      </c>
      <c r="H255" s="18">
        <f>82119.73+1269.15+180000</f>
        <v>263388.88</v>
      </c>
      <c r="I255" s="18">
        <f>17011.79</f>
        <v>17011.79</v>
      </c>
      <c r="J255" s="18">
        <f>11457.99</f>
        <v>11457.99</v>
      </c>
      <c r="K255" s="18"/>
      <c r="L255" s="19">
        <f t="shared" si="6"/>
        <v>401023.16</v>
      </c>
      <c r="M255" s="8"/>
      <c r="N255" s="266"/>
    </row>
    <row r="256" spans="1:14" s="3" customFormat="1" ht="12.2" customHeight="1" thickTop="1" thickBot="1" x14ac:dyDescent="0.2">
      <c r="A256" s="38" t="s">
        <v>461</v>
      </c>
      <c r="B256" s="40">
        <v>10</v>
      </c>
      <c r="C256" s="40">
        <v>7</v>
      </c>
      <c r="D256" s="39" t="s">
        <v>431</v>
      </c>
      <c r="E256" s="40"/>
      <c r="F256" s="41">
        <f t="shared" ref="F256:K256" si="7">SUM(F250:F255)</f>
        <v>163728.78</v>
      </c>
      <c r="G256" s="41">
        <f t="shared" si="7"/>
        <v>47737.899999999994</v>
      </c>
      <c r="H256" s="41">
        <f t="shared" si="7"/>
        <v>264998.38</v>
      </c>
      <c r="I256" s="41">
        <f t="shared" si="7"/>
        <v>23355.78</v>
      </c>
      <c r="J256" s="41">
        <f t="shared" si="7"/>
        <v>11457.99</v>
      </c>
      <c r="K256" s="41">
        <f t="shared" si="7"/>
        <v>381.09</v>
      </c>
      <c r="L256" s="41">
        <f>SUM(F256:K256)</f>
        <v>511659.92</v>
      </c>
      <c r="M256" s="8"/>
      <c r="N256" s="266"/>
    </row>
    <row r="257" spans="1:14" s="3" customFormat="1" ht="12.2" customHeight="1" thickTop="1" x14ac:dyDescent="0.15">
      <c r="A257" s="38" t="s">
        <v>462</v>
      </c>
      <c r="B257" s="40">
        <v>10</v>
      </c>
      <c r="C257" s="40">
        <v>8</v>
      </c>
      <c r="D257" s="39" t="s">
        <v>431</v>
      </c>
      <c r="E257" s="40"/>
      <c r="F257" s="41">
        <f t="shared" ref="F257:L257" si="8">F211+F229+F247+F256</f>
        <v>41825442.340000004</v>
      </c>
      <c r="G257" s="41">
        <f t="shared" si="8"/>
        <v>18991288.629999999</v>
      </c>
      <c r="H257" s="41">
        <f t="shared" si="8"/>
        <v>7069499.9300000006</v>
      </c>
      <c r="I257" s="41">
        <f t="shared" si="8"/>
        <v>3236771.94</v>
      </c>
      <c r="J257" s="41">
        <f t="shared" si="8"/>
        <v>1199757.01</v>
      </c>
      <c r="K257" s="41">
        <f t="shared" si="8"/>
        <v>142995.1</v>
      </c>
      <c r="L257" s="41">
        <f t="shared" si="8"/>
        <v>72465754.950000003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f>270000+3111825</f>
        <v>3381825</v>
      </c>
      <c r="L260" s="19">
        <f>SUM(F260:K260)</f>
        <v>3381825</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f>123700.5+2370142.5</f>
        <v>2493843</v>
      </c>
      <c r="L261" s="19">
        <f>SUM(F261:K261)</f>
        <v>2493843</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f>82000</f>
        <v>82000</v>
      </c>
      <c r="L263" s="19">
        <f>SUM(F263:K263)</f>
        <v>82000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317152.09000000003</v>
      </c>
      <c r="L264" s="19">
        <f t="shared" ref="L264:L270" si="9">SUM(F264:K264)</f>
        <v>317152.09000000003</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f>154255.68+2138377.28</f>
        <v>2292632.96</v>
      </c>
      <c r="L266" s="19">
        <f t="shared" si="9"/>
        <v>2292632.96</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146690.39000000001</v>
      </c>
      <c r="L268" s="19">
        <f t="shared" si="9"/>
        <v>146690.39000000001</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8714143.4400000013</v>
      </c>
      <c r="L270" s="41">
        <f t="shared" si="9"/>
        <v>8714143.4400000013</v>
      </c>
      <c r="N270" s="264"/>
    </row>
    <row r="271" spans="1:14" s="3" customFormat="1" ht="12.2" customHeight="1" thickTop="1" x14ac:dyDescent="0.2">
      <c r="A271" s="43" t="s">
        <v>464</v>
      </c>
      <c r="B271" s="40">
        <v>10</v>
      </c>
      <c r="C271" s="40">
        <v>18</v>
      </c>
      <c r="D271" s="39" t="s">
        <v>431</v>
      </c>
      <c r="E271" s="40"/>
      <c r="F271" s="42">
        <f t="shared" ref="F271:L271" si="11">F257+F270</f>
        <v>41825442.340000004</v>
      </c>
      <c r="G271" s="42">
        <f t="shared" si="11"/>
        <v>18991288.629999999</v>
      </c>
      <c r="H271" s="42">
        <f t="shared" si="11"/>
        <v>7069499.9300000006</v>
      </c>
      <c r="I271" s="42">
        <f t="shared" si="11"/>
        <v>3236771.94</v>
      </c>
      <c r="J271" s="42">
        <f t="shared" si="11"/>
        <v>1199757.01</v>
      </c>
      <c r="K271" s="42">
        <f t="shared" si="11"/>
        <v>8857138.540000001</v>
      </c>
      <c r="L271" s="42">
        <f t="shared" si="11"/>
        <v>81179898.390000001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505823.13+1038.34</f>
        <v>506861.47000000003</v>
      </c>
      <c r="G276" s="18">
        <f>121174.74+86.8</f>
        <v>121261.54000000001</v>
      </c>
      <c r="H276" s="18">
        <f>9799.31+3906</f>
        <v>13705.31</v>
      </c>
      <c r="I276" s="18">
        <f>24727.04+13191.96</f>
        <v>37919</v>
      </c>
      <c r="J276" s="18">
        <f>1274.92</f>
        <v>1274.92</v>
      </c>
      <c r="K276" s="18"/>
      <c r="L276" s="19">
        <f>SUM(F276:K276)</f>
        <v>681022.24000000011</v>
      </c>
      <c r="M276" s="8"/>
      <c r="N276" s="266"/>
    </row>
    <row r="277" spans="1:14" s="3" customFormat="1" ht="12.2" customHeight="1" x14ac:dyDescent="0.15">
      <c r="A277" s="1" t="s">
        <v>439</v>
      </c>
      <c r="B277" s="2" t="s">
        <v>357</v>
      </c>
      <c r="C277" s="2" t="s">
        <v>291</v>
      </c>
      <c r="D277" s="2" t="s">
        <v>431</v>
      </c>
      <c r="E277" s="6">
        <v>1200</v>
      </c>
      <c r="F277" s="18">
        <f>499452.55+21758.92</f>
        <v>521211.47</v>
      </c>
      <c r="G277" s="18">
        <f>218965.7+4523.87</f>
        <v>223489.57</v>
      </c>
      <c r="H277" s="18">
        <f>2072.51</f>
        <v>2072.5100000000002</v>
      </c>
      <c r="I277" s="18">
        <f>1024+5724.85</f>
        <v>6748.85</v>
      </c>
      <c r="J277" s="18">
        <f>439.45</f>
        <v>439.45</v>
      </c>
      <c r="K277" s="18"/>
      <c r="L277" s="19">
        <f>SUM(F277:K277)</f>
        <v>753961.85</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f>187.46+94033.5+141896.25+18011.76</f>
        <v>254128.97000000003</v>
      </c>
      <c r="G279" s="18">
        <f>46.88+15455.65+16018.07+2864.5</f>
        <v>34385.1</v>
      </c>
      <c r="H279" s="18"/>
      <c r="I279" s="18">
        <f>14448.6+416.31+5537.14</f>
        <v>20402.05</v>
      </c>
      <c r="J279" s="18">
        <f>1687.47</f>
        <v>1687.47</v>
      </c>
      <c r="K279" s="18">
        <f>230</f>
        <v>230</v>
      </c>
      <c r="L279" s="19">
        <f>SUM(F279:K279)</f>
        <v>310833.58999999997</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f>7343+178438.28+28919.52</f>
        <v>214700.79999999999</v>
      </c>
      <c r="G281" s="18">
        <f>1836.48+50518.97+6129.19</f>
        <v>58484.640000000007</v>
      </c>
      <c r="H281" s="18">
        <f>38415.27+6950.8</f>
        <v>45366.07</v>
      </c>
      <c r="I281" s="18">
        <f>1527.75+563.3+1570+1453.01</f>
        <v>5114.0600000000004</v>
      </c>
      <c r="J281" s="18">
        <f>6474.95</f>
        <v>6474.95</v>
      </c>
      <c r="K281" s="18"/>
      <c r="L281" s="19">
        <f t="shared" ref="L281:L287" si="12">SUM(F281:K281)</f>
        <v>330140.52</v>
      </c>
      <c r="M281" s="8"/>
      <c r="N281" s="266"/>
    </row>
    <row r="282" spans="1:14" s="3" customFormat="1" ht="12.2" customHeight="1" x14ac:dyDescent="0.15">
      <c r="A282" s="1" t="s">
        <v>443</v>
      </c>
      <c r="B282" s="2" t="s">
        <v>357</v>
      </c>
      <c r="C282" s="2" t="s">
        <v>295</v>
      </c>
      <c r="D282" s="2" t="s">
        <v>431</v>
      </c>
      <c r="E282" s="6">
        <v>2200</v>
      </c>
      <c r="F282" s="18">
        <f>77652.7+29661.07</f>
        <v>107313.76999999999</v>
      </c>
      <c r="G282" s="18">
        <f>21475+8820.94</f>
        <v>30295.940000000002</v>
      </c>
      <c r="H282" s="18">
        <f>11767+65832.89</f>
        <v>77599.89</v>
      </c>
      <c r="I282" s="18">
        <f>11096.82+735.7+12233.68</f>
        <v>24066.2</v>
      </c>
      <c r="J282" s="18">
        <f>6151.21</f>
        <v>6151.21</v>
      </c>
      <c r="K282" s="18">
        <f>130.02</f>
        <v>130.02000000000001</v>
      </c>
      <c r="L282" s="19">
        <f t="shared" si="12"/>
        <v>245557.02999999997</v>
      </c>
      <c r="M282" s="8"/>
      <c r="N282" s="266"/>
    </row>
    <row r="283" spans="1:14" s="3" customFormat="1" ht="12.2" customHeight="1" x14ac:dyDescent="0.15">
      <c r="A283" s="1" t="s">
        <v>444</v>
      </c>
      <c r="B283" s="2" t="s">
        <v>357</v>
      </c>
      <c r="C283" s="2" t="s">
        <v>296</v>
      </c>
      <c r="D283" s="2" t="s">
        <v>431</v>
      </c>
      <c r="E283" s="6">
        <v>2300</v>
      </c>
      <c r="F283" s="18">
        <f>52022.98+25972.5</f>
        <v>77995.48000000001</v>
      </c>
      <c r="G283" s="18">
        <f>8721.29+8879.43</f>
        <v>17600.72</v>
      </c>
      <c r="H283" s="18">
        <f>20163.62+18959.47</f>
        <v>39123.089999999997</v>
      </c>
      <c r="I283" s="18">
        <f>646.1</f>
        <v>646.1</v>
      </c>
      <c r="J283" s="18"/>
      <c r="K283" s="18"/>
      <c r="L283" s="19">
        <f t="shared" si="12"/>
        <v>135365.39000000001</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f>44780.52</f>
        <v>44780.52</v>
      </c>
      <c r="I287" s="18"/>
      <c r="J287" s="18"/>
      <c r="K287" s="18"/>
      <c r="L287" s="19">
        <f t="shared" si="12"/>
        <v>44780.52</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1682211.96</v>
      </c>
      <c r="G290" s="42">
        <f t="shared" si="13"/>
        <v>485517.51</v>
      </c>
      <c r="H290" s="42">
        <f t="shared" si="13"/>
        <v>222647.38999999998</v>
      </c>
      <c r="I290" s="42">
        <f t="shared" si="13"/>
        <v>94896.26</v>
      </c>
      <c r="J290" s="42">
        <f t="shared" si="13"/>
        <v>16028</v>
      </c>
      <c r="K290" s="42">
        <f t="shared" si="13"/>
        <v>360.02</v>
      </c>
      <c r="L290" s="41">
        <f t="shared" si="13"/>
        <v>2501661.14</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f>41556.69+507.21</f>
        <v>42063.9</v>
      </c>
      <c r="G295" s="18">
        <f>11283.2+42.4</f>
        <v>11325.6</v>
      </c>
      <c r="H295" s="18">
        <f>4250+1908</f>
        <v>6158</v>
      </c>
      <c r="I295" s="18">
        <f>21382.69+6444</f>
        <v>27826.69</v>
      </c>
      <c r="J295" s="18">
        <f>0.13</f>
        <v>0.13</v>
      </c>
      <c r="K295" s="18"/>
      <c r="L295" s="19">
        <f>SUM(F295:K295)</f>
        <v>87374.32</v>
      </c>
      <c r="M295" s="8"/>
      <c r="N295" s="266"/>
    </row>
    <row r="296" spans="1:14" s="3" customFormat="1" ht="12.2" customHeight="1" x14ac:dyDescent="0.15">
      <c r="A296" s="1" t="s">
        <v>439</v>
      </c>
      <c r="B296" s="2" t="s">
        <v>358</v>
      </c>
      <c r="C296" s="2" t="s">
        <v>291</v>
      </c>
      <c r="D296" s="2" t="s">
        <v>431</v>
      </c>
      <c r="E296" s="6">
        <v>1200</v>
      </c>
      <c r="F296" s="18">
        <f>322573.06</f>
        <v>322573.06</v>
      </c>
      <c r="G296" s="18">
        <f>131675.88</f>
        <v>131675.88</v>
      </c>
      <c r="H296" s="18">
        <f>1036.25</f>
        <v>1036.25</v>
      </c>
      <c r="I296" s="18">
        <f>2862.42</f>
        <v>2862.42</v>
      </c>
      <c r="J296" s="18">
        <f>219.72</f>
        <v>219.72</v>
      </c>
      <c r="K296" s="18"/>
      <c r="L296" s="19">
        <f>SUM(F296:K296)</f>
        <v>458367.32999999996</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f>599+24245+8798.37</f>
        <v>33642.370000000003</v>
      </c>
      <c r="G298" s="18">
        <f>149.52+4884.71+1399.25</f>
        <v>6433.4800000000005</v>
      </c>
      <c r="H298" s="18"/>
      <c r="I298" s="18">
        <f>573.51+2704.78</f>
        <v>3278.29</v>
      </c>
      <c r="J298" s="18">
        <f>955.55</f>
        <v>955.55</v>
      </c>
      <c r="K298" s="18">
        <f>385</f>
        <v>385</v>
      </c>
      <c r="L298" s="19">
        <f>SUM(F298:K298)</f>
        <v>44694.69000000001</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f>14126.59</f>
        <v>14126.59</v>
      </c>
      <c r="G300" s="18">
        <f>2993.98</f>
        <v>2993.98</v>
      </c>
      <c r="H300" s="18">
        <f>3395.32</f>
        <v>3395.32</v>
      </c>
      <c r="I300" s="18">
        <f>57.84+709.77</f>
        <v>767.61</v>
      </c>
      <c r="J300" s="18"/>
      <c r="K300" s="18"/>
      <c r="L300" s="19">
        <f t="shared" ref="L300:L306" si="14">SUM(F300:K300)</f>
        <v>21283.5</v>
      </c>
      <c r="M300" s="8"/>
      <c r="N300" s="266"/>
    </row>
    <row r="301" spans="1:14" s="3" customFormat="1" ht="12.2" customHeight="1" x14ac:dyDescent="0.15">
      <c r="A301" s="1" t="s">
        <v>443</v>
      </c>
      <c r="B301" s="2" t="s">
        <v>358</v>
      </c>
      <c r="C301" s="2" t="s">
        <v>295</v>
      </c>
      <c r="D301" s="2" t="s">
        <v>431</v>
      </c>
      <c r="E301" s="6">
        <v>2200</v>
      </c>
      <c r="F301" s="18">
        <f>10778.58</f>
        <v>10778.58</v>
      </c>
      <c r="G301" s="18">
        <f>3205.45</f>
        <v>3205.45</v>
      </c>
      <c r="H301" s="18">
        <f>23923.12</f>
        <v>23923.119999999999</v>
      </c>
      <c r="I301" s="18">
        <f>4445.62</f>
        <v>4445.62</v>
      </c>
      <c r="J301" s="18">
        <f>2235.3</f>
        <v>2235.3000000000002</v>
      </c>
      <c r="K301" s="18">
        <f>47.25</f>
        <v>47.25</v>
      </c>
      <c r="L301" s="19">
        <f t="shared" si="14"/>
        <v>44635.32</v>
      </c>
      <c r="M301" s="8"/>
      <c r="N301" s="266"/>
    </row>
    <row r="302" spans="1:14" s="3" customFormat="1" ht="12.2" customHeight="1" x14ac:dyDescent="0.15">
      <c r="A302" s="1" t="s">
        <v>444</v>
      </c>
      <c r="B302" s="2" t="s">
        <v>358</v>
      </c>
      <c r="C302" s="2" t="s">
        <v>296</v>
      </c>
      <c r="D302" s="2" t="s">
        <v>431</v>
      </c>
      <c r="E302" s="6">
        <v>2300</v>
      </c>
      <c r="F302" s="18">
        <f>12687.03</f>
        <v>12687.03</v>
      </c>
      <c r="G302" s="18">
        <f>4337.41</f>
        <v>4337.41</v>
      </c>
      <c r="H302" s="18">
        <f>9261.31</f>
        <v>9261.31</v>
      </c>
      <c r="I302" s="18">
        <f>315.6</f>
        <v>315.60000000000002</v>
      </c>
      <c r="J302" s="18"/>
      <c r="K302" s="18"/>
      <c r="L302" s="19">
        <f t="shared" si="14"/>
        <v>26601.35</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435871.53000000009</v>
      </c>
      <c r="G309" s="42">
        <f t="shared" si="15"/>
        <v>159971.80000000005</v>
      </c>
      <c r="H309" s="42">
        <f t="shared" si="15"/>
        <v>43774</v>
      </c>
      <c r="I309" s="42">
        <f t="shared" si="15"/>
        <v>39496.230000000003</v>
      </c>
      <c r="J309" s="42">
        <f t="shared" si="15"/>
        <v>3410.7</v>
      </c>
      <c r="K309" s="42">
        <f t="shared" si="15"/>
        <v>432.25</v>
      </c>
      <c r="L309" s="41">
        <f t="shared" si="15"/>
        <v>682956.50999999989</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f>3195.03+846.95</f>
        <v>4041.9800000000005</v>
      </c>
      <c r="G314" s="18">
        <f>504.84+70.8</f>
        <v>575.64</v>
      </c>
      <c r="H314" s="18">
        <f>3186</f>
        <v>3186</v>
      </c>
      <c r="I314" s="18">
        <f>8513.06+10760.26</f>
        <v>19273.32</v>
      </c>
      <c r="J314" s="18">
        <f>23005.5</f>
        <v>23005.5</v>
      </c>
      <c r="K314" s="18"/>
      <c r="L314" s="19">
        <f>SUM(F314:K314)</f>
        <v>50082.44</v>
      </c>
      <c r="M314" s="8"/>
      <c r="N314" s="266"/>
    </row>
    <row r="315" spans="1:14" s="3" customFormat="1" ht="12.2" customHeight="1" x14ac:dyDescent="0.15">
      <c r="A315" s="1" t="s">
        <v>439</v>
      </c>
      <c r="B315" s="2" t="s">
        <v>359</v>
      </c>
      <c r="C315" s="2" t="s">
        <v>291</v>
      </c>
      <c r="D315" s="2" t="s">
        <v>431</v>
      </c>
      <c r="E315" s="6">
        <v>1200</v>
      </c>
      <c r="F315" s="18">
        <f>37223.04+18301.48</f>
        <v>55524.520000000004</v>
      </c>
      <c r="G315" s="18">
        <f>12776.44+6702.11</f>
        <v>19478.55</v>
      </c>
      <c r="H315" s="18">
        <f>1300.83</f>
        <v>1300.83</v>
      </c>
      <c r="I315" s="18">
        <f>3593.25</f>
        <v>3593.25</v>
      </c>
      <c r="J315" s="18">
        <f>275.83</f>
        <v>275.83</v>
      </c>
      <c r="K315" s="18"/>
      <c r="L315" s="19">
        <f>SUM(F315:K315)</f>
        <v>80172.98000000001</v>
      </c>
      <c r="M315" s="8"/>
      <c r="N315" s="266"/>
    </row>
    <row r="316" spans="1:14" s="3" customFormat="1" ht="12.2" customHeight="1" x14ac:dyDescent="0.15">
      <c r="A316" s="1" t="s">
        <v>440</v>
      </c>
      <c r="B316" s="2" t="s">
        <v>359</v>
      </c>
      <c r="C316" s="2" t="s">
        <v>292</v>
      </c>
      <c r="D316" s="2" t="s">
        <v>431</v>
      </c>
      <c r="E316" s="6">
        <v>1300</v>
      </c>
      <c r="F316" s="18">
        <f>129278.9</f>
        <v>129278.9</v>
      </c>
      <c r="G316" s="18">
        <f>62829.89</f>
        <v>62829.89</v>
      </c>
      <c r="H316" s="18">
        <f>5996.89+30539.1</f>
        <v>36535.99</v>
      </c>
      <c r="I316" s="18">
        <f>1486.27+3211+35795.64+12103.74</f>
        <v>52596.65</v>
      </c>
      <c r="J316" s="18">
        <f>5922.94+3961.76</f>
        <v>9884.7000000000007</v>
      </c>
      <c r="K316" s="18">
        <f>3000</f>
        <v>3000</v>
      </c>
      <c r="L316" s="19">
        <f>SUM(F316:K316)</f>
        <v>294126.13</v>
      </c>
      <c r="M316" s="8"/>
      <c r="N316" s="266"/>
    </row>
    <row r="317" spans="1:14" s="3" customFormat="1" ht="12.2" customHeight="1" x14ac:dyDescent="0.15">
      <c r="A317" s="1" t="s">
        <v>441</v>
      </c>
      <c r="B317" s="2" t="s">
        <v>359</v>
      </c>
      <c r="C317" s="2" t="s">
        <v>293</v>
      </c>
      <c r="D317" s="2" t="s">
        <v>431</v>
      </c>
      <c r="E317" s="6">
        <v>1400</v>
      </c>
      <c r="F317" s="18">
        <f>1385.25+2604+14691.62</f>
        <v>18680.870000000003</v>
      </c>
      <c r="G317" s="18">
        <f>105.96+528.73+2336.49</f>
        <v>2971.18</v>
      </c>
      <c r="H317" s="18">
        <f>344.5</f>
        <v>344.5</v>
      </c>
      <c r="I317" s="18">
        <f>727.95+4516.47</f>
        <v>5244.42</v>
      </c>
      <c r="J317" s="18"/>
      <c r="K317" s="18">
        <f>5000</f>
        <v>5000</v>
      </c>
      <c r="L317" s="19">
        <f>SUM(F317:K317)</f>
        <v>32240.97</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f>1743.75+4110+23588.73</f>
        <v>29442.48</v>
      </c>
      <c r="G319" s="18">
        <f>110.82+314.45+4999.38</f>
        <v>5424.65</v>
      </c>
      <c r="H319" s="18">
        <f>268+5669.55</f>
        <v>5937.55</v>
      </c>
      <c r="I319" s="18">
        <f>146.94+1185.17</f>
        <v>1332.1100000000001</v>
      </c>
      <c r="J319" s="18"/>
      <c r="K319" s="18"/>
      <c r="L319" s="19">
        <f t="shared" ref="L319:L325" si="16">SUM(F319:K319)</f>
        <v>42136.79</v>
      </c>
      <c r="M319" s="8"/>
      <c r="N319" s="266"/>
    </row>
    <row r="320" spans="1:14" s="3" customFormat="1" ht="12.2" customHeight="1" x14ac:dyDescent="0.15">
      <c r="A320" s="1" t="s">
        <v>443</v>
      </c>
      <c r="B320" s="2" t="s">
        <v>359</v>
      </c>
      <c r="C320" s="2" t="s">
        <v>295</v>
      </c>
      <c r="D320" s="2" t="s">
        <v>431</v>
      </c>
      <c r="E320" s="6">
        <v>2200</v>
      </c>
      <c r="F320" s="18">
        <f>15650.22+18092.5+16589.89</f>
        <v>50332.61</v>
      </c>
      <c r="G320" s="18">
        <f>1930.76+2607.46+4933.69</f>
        <v>9471.91</v>
      </c>
      <c r="H320" s="18">
        <f>36874.27+220+36821.35</f>
        <v>73915.62</v>
      </c>
      <c r="I320" s="18">
        <f>2033.79+6842.48</f>
        <v>8876.27</v>
      </c>
      <c r="J320" s="18">
        <f>747.84+3440.47</f>
        <v>4188.3099999999995</v>
      </c>
      <c r="K320" s="18">
        <f>13093.53+72.73</f>
        <v>13166.26</v>
      </c>
      <c r="L320" s="19">
        <f t="shared" si="16"/>
        <v>159950.98000000001</v>
      </c>
      <c r="M320" s="8"/>
      <c r="N320" s="266"/>
    </row>
    <row r="321" spans="1:14" s="3" customFormat="1" ht="12.2" customHeight="1" x14ac:dyDescent="0.15">
      <c r="A321" s="1" t="s">
        <v>444</v>
      </c>
      <c r="B321" s="2" t="s">
        <v>359</v>
      </c>
      <c r="C321" s="2" t="s">
        <v>296</v>
      </c>
      <c r="D321" s="2" t="s">
        <v>431</v>
      </c>
      <c r="E321" s="6">
        <v>2300</v>
      </c>
      <c r="F321" s="18">
        <f>21184.94</f>
        <v>21184.94</v>
      </c>
      <c r="G321" s="18">
        <f>7242.67</f>
        <v>7242.67</v>
      </c>
      <c r="H321" s="18">
        <f>386.24+15464.63</f>
        <v>15850.869999999999</v>
      </c>
      <c r="I321" s="18">
        <f>527</f>
        <v>527</v>
      </c>
      <c r="J321" s="18"/>
      <c r="K321" s="18"/>
      <c r="L321" s="19">
        <f t="shared" si="16"/>
        <v>44805.479999999996</v>
      </c>
      <c r="M321" s="8"/>
      <c r="N321" s="266"/>
    </row>
    <row r="322" spans="1:14" s="3" customFormat="1" ht="12.2" customHeight="1" x14ac:dyDescent="0.15">
      <c r="A322" s="1" t="s">
        <v>445</v>
      </c>
      <c r="B322" s="2" t="s">
        <v>359</v>
      </c>
      <c r="C322" s="2" t="s">
        <v>297</v>
      </c>
      <c r="D322" s="2" t="s">
        <v>431</v>
      </c>
      <c r="E322" s="6">
        <v>2400</v>
      </c>
      <c r="F322" s="18">
        <f>17029.58</f>
        <v>17029.580000000002</v>
      </c>
      <c r="G322" s="18">
        <f>3102.51</f>
        <v>3102.51</v>
      </c>
      <c r="H322" s="18">
        <f>1287</f>
        <v>1287</v>
      </c>
      <c r="I322" s="18"/>
      <c r="J322" s="18"/>
      <c r="K322" s="18"/>
      <c r="L322" s="19">
        <f t="shared" si="16"/>
        <v>21419.090000000004</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f>46341.68+93489.51</f>
        <v>139831.19</v>
      </c>
      <c r="I325" s="18"/>
      <c r="J325" s="18"/>
      <c r="K325" s="18"/>
      <c r="L325" s="19">
        <f t="shared" si="16"/>
        <v>139831.19</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325515.88</v>
      </c>
      <c r="G328" s="42">
        <f t="shared" si="17"/>
        <v>111096.99999999999</v>
      </c>
      <c r="H328" s="42">
        <f t="shared" si="17"/>
        <v>278189.55</v>
      </c>
      <c r="I328" s="42">
        <f t="shared" si="17"/>
        <v>91443.02</v>
      </c>
      <c r="J328" s="42">
        <f t="shared" si="17"/>
        <v>37354.339999999997</v>
      </c>
      <c r="K328" s="42">
        <f t="shared" si="17"/>
        <v>21166.260000000002</v>
      </c>
      <c r="L328" s="41">
        <f t="shared" si="17"/>
        <v>864766.05</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f>49368.84</f>
        <v>49368.84</v>
      </c>
      <c r="G333" s="18">
        <f>15554.46</f>
        <v>15554.46</v>
      </c>
      <c r="H333" s="18">
        <f>1423.94</f>
        <v>1423.94</v>
      </c>
      <c r="I333" s="18">
        <f>9155.44</f>
        <v>9155.44</v>
      </c>
      <c r="J333" s="18">
        <f>3689.73</f>
        <v>3689.73</v>
      </c>
      <c r="K333" s="18"/>
      <c r="L333" s="19">
        <f t="shared" si="18"/>
        <v>79192.409999999989</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f>164970.37+241288.79</f>
        <v>406259.16000000003</v>
      </c>
      <c r="I336" s="18"/>
      <c r="J336" s="18">
        <f>236983.35+1500+677434.95</f>
        <v>915918.29999999993</v>
      </c>
      <c r="K336" s="18"/>
      <c r="L336" s="19">
        <f t="shared" si="18"/>
        <v>1322177.46</v>
      </c>
      <c r="M336" s="8"/>
      <c r="N336" s="266"/>
    </row>
    <row r="337" spans="1:43" s="3" customFormat="1" ht="12.2" customHeight="1" thickTop="1" thickBot="1" x14ac:dyDescent="0.2">
      <c r="A337" s="50" t="s">
        <v>467</v>
      </c>
      <c r="B337" s="40">
        <v>14</v>
      </c>
      <c r="C337" s="51">
        <v>6</v>
      </c>
      <c r="D337" s="48" t="s">
        <v>431</v>
      </c>
      <c r="E337" s="51"/>
      <c r="F337" s="41">
        <f t="shared" ref="F337:K337" si="19">SUM(F332:F336)</f>
        <v>49368.84</v>
      </c>
      <c r="G337" s="41">
        <f t="shared" si="19"/>
        <v>15554.46</v>
      </c>
      <c r="H337" s="41">
        <f t="shared" si="19"/>
        <v>407683.10000000003</v>
      </c>
      <c r="I337" s="41">
        <f t="shared" si="19"/>
        <v>9155.44</v>
      </c>
      <c r="J337" s="41">
        <f t="shared" si="19"/>
        <v>919608.02999999991</v>
      </c>
      <c r="K337" s="41">
        <f t="shared" si="19"/>
        <v>0</v>
      </c>
      <c r="L337" s="41">
        <f t="shared" si="18"/>
        <v>1401369.8699999999</v>
      </c>
      <c r="M337" s="8"/>
      <c r="N337" s="266"/>
    </row>
    <row r="338" spans="1:43" s="3" customFormat="1" ht="12.2" customHeight="1" thickTop="1" x14ac:dyDescent="0.15">
      <c r="A338" s="38" t="s">
        <v>468</v>
      </c>
      <c r="B338" s="40">
        <v>14</v>
      </c>
      <c r="C338" s="40">
        <v>7</v>
      </c>
      <c r="D338" s="39" t="s">
        <v>431</v>
      </c>
      <c r="E338" s="40"/>
      <c r="F338" s="41">
        <f t="shared" ref="F338:L338" si="20">F290+F309+F328+F337</f>
        <v>2492968.21</v>
      </c>
      <c r="G338" s="41">
        <f t="shared" si="20"/>
        <v>772140.77</v>
      </c>
      <c r="H338" s="41">
        <f t="shared" si="20"/>
        <v>952294.04</v>
      </c>
      <c r="I338" s="41">
        <f t="shared" si="20"/>
        <v>234990.95</v>
      </c>
      <c r="J338" s="41">
        <f t="shared" si="20"/>
        <v>976401.07</v>
      </c>
      <c r="K338" s="41">
        <f t="shared" si="20"/>
        <v>21958.530000000002</v>
      </c>
      <c r="L338" s="41">
        <f t="shared" si="20"/>
        <v>5450753.5700000003</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f>7387.92+84979.12</f>
        <v>92367.039999999994</v>
      </c>
      <c r="L344" s="19">
        <f t="shared" ref="L344:L350" si="21">SUM(F344:K344)</f>
        <v>92367.039999999994</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92367.039999999994</v>
      </c>
      <c r="L351" s="41">
        <f>SUM(L341:L350)</f>
        <v>92367.039999999994</v>
      </c>
      <c r="M351" s="8"/>
      <c r="N351" s="266"/>
    </row>
    <row r="352" spans="1:43" s="12" customFormat="1" ht="12.2" customHeight="1" thickTop="1" thickBot="1" x14ac:dyDescent="0.25">
      <c r="A352" s="38" t="s">
        <v>469</v>
      </c>
      <c r="B352" s="40">
        <v>14</v>
      </c>
      <c r="C352" s="40">
        <v>17</v>
      </c>
      <c r="D352" s="39" t="s">
        <v>431</v>
      </c>
      <c r="E352" s="40"/>
      <c r="F352" s="41">
        <f>F338</f>
        <v>2492968.21</v>
      </c>
      <c r="G352" s="41">
        <f>G338</f>
        <v>772140.77</v>
      </c>
      <c r="H352" s="41">
        <f>H338</f>
        <v>952294.04</v>
      </c>
      <c r="I352" s="41">
        <f>I338</f>
        <v>234990.95</v>
      </c>
      <c r="J352" s="41">
        <f>J338</f>
        <v>976401.07</v>
      </c>
      <c r="K352" s="47">
        <f>K338+K351</f>
        <v>114325.56999999999</v>
      </c>
      <c r="L352" s="41">
        <f>L338+L351</f>
        <v>5543120.6100000003</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f>240292.83+2026.31+53307.55</f>
        <v>295626.69</v>
      </c>
      <c r="G358" s="18">
        <f>70148.03+141.67+23459.96</f>
        <v>93749.66</v>
      </c>
      <c r="H358" s="18">
        <f>19734.95+2883.77</f>
        <v>22618.720000000001</v>
      </c>
      <c r="I358" s="18">
        <f>496227.76+35120.37</f>
        <v>531348.13</v>
      </c>
      <c r="J358" s="18">
        <f>1168</f>
        <v>1168</v>
      </c>
      <c r="K358" s="18">
        <f>556.6</f>
        <v>556.6</v>
      </c>
      <c r="L358" s="13">
        <f>SUM(F358:K358)</f>
        <v>945067.79999999993</v>
      </c>
      <c r="N358" s="264"/>
      <c r="R358" s="3"/>
      <c r="S358" s="3"/>
      <c r="T358" s="3"/>
      <c r="U358" s="3"/>
      <c r="V358" s="3"/>
    </row>
    <row r="359" spans="1:22" s="3" customFormat="1" ht="12.2" customHeight="1" x14ac:dyDescent="0.15">
      <c r="A359" s="1" t="s">
        <v>542</v>
      </c>
      <c r="B359" s="2" t="s">
        <v>366</v>
      </c>
      <c r="C359" s="6">
        <v>2</v>
      </c>
      <c r="D359" s="2" t="s">
        <v>431</v>
      </c>
      <c r="E359" s="6"/>
      <c r="F359" s="18">
        <f>101179.17+26039.63</f>
        <v>127218.8</v>
      </c>
      <c r="G359" s="18">
        <f>11261.61+11459.71</f>
        <v>22721.32</v>
      </c>
      <c r="H359" s="18">
        <f>3250.91+1408.66</f>
        <v>4659.57</v>
      </c>
      <c r="I359" s="18">
        <f>190697.54+17155.58</f>
        <v>207853.12</v>
      </c>
      <c r="J359" s="18">
        <f>268</f>
        <v>268</v>
      </c>
      <c r="K359" s="18">
        <f>271.89</f>
        <v>271.89</v>
      </c>
      <c r="L359" s="19">
        <f>SUM(F359:K359)</f>
        <v>362992.7</v>
      </c>
      <c r="M359" s="8"/>
      <c r="N359" s="266"/>
    </row>
    <row r="360" spans="1:22" s="3" customFormat="1" ht="12.2" customHeight="1" x14ac:dyDescent="0.15">
      <c r="A360" s="3" t="s">
        <v>543</v>
      </c>
      <c r="B360" s="2" t="s">
        <v>366</v>
      </c>
      <c r="C360" s="6">
        <v>3</v>
      </c>
      <c r="D360" s="2" t="s">
        <v>431</v>
      </c>
      <c r="E360" s="6"/>
      <c r="F360" s="18">
        <f>171146.05+43481.28</f>
        <v>214627.33</v>
      </c>
      <c r="G360" s="18">
        <f>34451.41+19135.55</f>
        <v>53586.960000000006</v>
      </c>
      <c r="H360" s="18">
        <f>16292.6+2352.2</f>
        <v>18644.8</v>
      </c>
      <c r="I360" s="18">
        <f>336583.16+28646.57</f>
        <v>365229.73</v>
      </c>
      <c r="J360" s="18">
        <f>25244.7</f>
        <v>25244.7</v>
      </c>
      <c r="K360" s="18">
        <f>454.01</f>
        <v>454.01</v>
      </c>
      <c r="L360" s="19">
        <f>SUM(F360:K360)</f>
        <v>677787.52999999991</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637472.81999999995</v>
      </c>
      <c r="G362" s="47">
        <f t="shared" si="22"/>
        <v>170057.94</v>
      </c>
      <c r="H362" s="47">
        <f t="shared" si="22"/>
        <v>45923.09</v>
      </c>
      <c r="I362" s="47">
        <f t="shared" si="22"/>
        <v>1104430.98</v>
      </c>
      <c r="J362" s="47">
        <f t="shared" si="22"/>
        <v>26680.7</v>
      </c>
      <c r="K362" s="47">
        <f t="shared" si="22"/>
        <v>1282.5</v>
      </c>
      <c r="L362" s="47">
        <f t="shared" si="22"/>
        <v>1985848.0299999998</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441775.05+33051.78</f>
        <v>474826.82999999996</v>
      </c>
      <c r="G367" s="18">
        <f>162031.37+16145.12</f>
        <v>178176.49</v>
      </c>
      <c r="H367" s="18">
        <f>308443.52+26959.29</f>
        <v>335402.81</v>
      </c>
      <c r="I367" s="56">
        <f>SUM(F367:H367)</f>
        <v>988406.12999999989</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53152.71+1300+2068.59</f>
        <v>56521.3</v>
      </c>
      <c r="G368" s="63">
        <f>28666.17+1010.46</f>
        <v>29676.629999999997</v>
      </c>
      <c r="H368" s="63">
        <f>28139.64+1687.28</f>
        <v>29826.92</v>
      </c>
      <c r="I368" s="56">
        <f>SUM(F368:H368)</f>
        <v>116024.84999999999</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531348.13</v>
      </c>
      <c r="G369" s="47">
        <f>SUM(G367:G368)</f>
        <v>207853.12</v>
      </c>
      <c r="H369" s="47">
        <f>SUM(H367:H368)</f>
        <v>365229.73</v>
      </c>
      <c r="I369" s="47">
        <f>SUM(I367:I368)</f>
        <v>1104430.98</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f>66291.22</f>
        <v>66291.22</v>
      </c>
      <c r="I376" s="18"/>
      <c r="J376" s="18"/>
      <c r="K376" s="18"/>
      <c r="L376" s="13">
        <f t="shared" si="23"/>
        <v>66291.22</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f>5110+1379527.51+6955+3136661.18</f>
        <v>4528253.6900000004</v>
      </c>
      <c r="I379" s="18">
        <f>69+71.5</f>
        <v>140.5</v>
      </c>
      <c r="J379" s="18">
        <f>5633.44</f>
        <v>5633.44</v>
      </c>
      <c r="K379" s="18"/>
      <c r="L379" s="13">
        <f t="shared" si="23"/>
        <v>4534027.6300000008</v>
      </c>
      <c r="M379" s="8"/>
      <c r="N379" s="266"/>
    </row>
    <row r="380" spans="1:14" s="3" customFormat="1" ht="12.2" customHeight="1" x14ac:dyDescent="0.15">
      <c r="A380" s="1" t="s">
        <v>510</v>
      </c>
      <c r="B380" s="2" t="s">
        <v>366</v>
      </c>
      <c r="C380" s="2" t="s">
        <v>347</v>
      </c>
      <c r="D380" s="2" t="s">
        <v>431</v>
      </c>
      <c r="E380" s="6">
        <v>4900</v>
      </c>
      <c r="F380" s="18"/>
      <c r="G380" s="18"/>
      <c r="H380" s="18">
        <f>11161.51+2000</f>
        <v>13161.51</v>
      </c>
      <c r="I380" s="18">
        <f>7502+2591.1+5824.81+13672.07</f>
        <v>29589.98</v>
      </c>
      <c r="J380" s="18">
        <f>810+6241.55+26833+35057.48+3519.17</f>
        <v>72461.2</v>
      </c>
      <c r="K380" s="18"/>
      <c r="L380" s="13">
        <f t="shared" si="23"/>
        <v>115212.69</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4607706.42</v>
      </c>
      <c r="I382" s="41">
        <f t="shared" si="24"/>
        <v>29730.48</v>
      </c>
      <c r="J382" s="47">
        <f t="shared" si="24"/>
        <v>78094.64</v>
      </c>
      <c r="K382" s="47">
        <f t="shared" si="24"/>
        <v>0</v>
      </c>
      <c r="L382" s="47">
        <f t="shared" si="24"/>
        <v>4715531.540000001</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f>2214310.68+78322.28</f>
        <v>2292632.96</v>
      </c>
      <c r="H400" s="18">
        <f>38719.64+2587.25</f>
        <v>41306.89</v>
      </c>
      <c r="I400" s="18">
        <f>31125.09</f>
        <v>31125.09</v>
      </c>
      <c r="J400" s="24" t="s">
        <v>288</v>
      </c>
      <c r="K400" s="24" t="s">
        <v>288</v>
      </c>
      <c r="L400" s="56">
        <f t="shared" si="26"/>
        <v>2365064.94</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2292632.96</v>
      </c>
      <c r="H401" s="47">
        <f>SUM(H395:H400)</f>
        <v>41306.89</v>
      </c>
      <c r="I401" s="47">
        <f>SUM(I395:I400)</f>
        <v>31125.09</v>
      </c>
      <c r="J401" s="45" t="s">
        <v>288</v>
      </c>
      <c r="K401" s="45" t="s">
        <v>288</v>
      </c>
      <c r="L401" s="47">
        <f>SUM(L395:L400)</f>
        <v>2365064.94</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2292632.96</v>
      </c>
      <c r="H408" s="47">
        <f>H393+H401+H407</f>
        <v>41306.89</v>
      </c>
      <c r="I408" s="47">
        <f>I393+I401+I407</f>
        <v>31125.09</v>
      </c>
      <c r="J408" s="24" t="s">
        <v>288</v>
      </c>
      <c r="K408" s="24" t="s">
        <v>288</v>
      </c>
      <c r="L408" s="47">
        <f>L393+L401+L407</f>
        <v>2365064.94</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v>106295.08</v>
      </c>
      <c r="L426" s="56">
        <f t="shared" si="29"/>
        <v>106295.08</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106295.08</v>
      </c>
      <c r="L427" s="47">
        <f t="shared" si="30"/>
        <v>106295.08</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v>22113</v>
      </c>
      <c r="L429" s="56">
        <f>SUM(F429:K429)</f>
        <v>22113</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22113</v>
      </c>
      <c r="L433" s="47">
        <f t="shared" si="31"/>
        <v>22113</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128408.08</v>
      </c>
      <c r="L434" s="47">
        <f t="shared" si="32"/>
        <v>128408.08</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f>8118389.6+444282.63</f>
        <v>8562672.2300000004</v>
      </c>
      <c r="H440" s="18"/>
      <c r="I440" s="56">
        <f t="shared" si="33"/>
        <v>8562672.2300000004</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f>-1797634.2+93749.4</f>
        <v>-1703884.8</v>
      </c>
      <c r="H441" s="18"/>
      <c r="I441" s="56">
        <f t="shared" si="33"/>
        <v>-1703884.8</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6858787.4300000006</v>
      </c>
      <c r="H446" s="13">
        <f>SUM(H439:H445)</f>
        <v>0</v>
      </c>
      <c r="I446" s="13">
        <f>SUM(I439:I445)</f>
        <v>6858787.4300000006</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f>-1808980.66+93827.22</f>
        <v>-1715153.44</v>
      </c>
      <c r="H448" s="18"/>
      <c r="I448" s="56">
        <f>SUM(F448:H448)</f>
        <v>-1715153.44</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-1715153.44</v>
      </c>
      <c r="H452" s="72">
        <f>SUM(H448:H451)</f>
        <v>0</v>
      </c>
      <c r="I452" s="72">
        <f>SUM(I448:I451)</f>
        <v>-1715153.44</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f>8129736.06+444204.81</f>
        <v>8573940.8699999992</v>
      </c>
      <c r="H459" s="18"/>
      <c r="I459" s="56">
        <f t="shared" si="34"/>
        <v>8573940.8699999992</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8573940.8699999992</v>
      </c>
      <c r="H460" s="83">
        <f>SUM(H454:H459)</f>
        <v>0</v>
      </c>
      <c r="I460" s="83">
        <f>SUM(I454:I459)</f>
        <v>8573940.8699999992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6858787.4299999997</v>
      </c>
      <c r="H461" s="42">
        <f>H452+H460</f>
        <v>0</v>
      </c>
      <c r="I461" s="42">
        <f>I452+I460</f>
        <v>6858787.4299999997</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3997104.84</v>
      </c>
      <c r="G465" s="18">
        <v>94890.4</v>
      </c>
      <c r="H465" s="18">
        <v>301655.67999999999</v>
      </c>
      <c r="I465" s="18">
        <v>2490279.64</v>
      </c>
      <c r="J465" s="18">
        <v>6337284.0099999998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81230042.189999998</v>
      </c>
      <c r="G468" s="18">
        <v>2099359.1800000002</v>
      </c>
      <c r="H468" s="18">
        <v>5571876.8200000003</v>
      </c>
      <c r="I468" s="18">
        <v>5125166.8099999996</v>
      </c>
      <c r="J468" s="18">
        <f>2331352.6+33712.34</f>
        <v>2365064.94</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81230042.189999998</v>
      </c>
      <c r="G470" s="53">
        <f>SUM(G468:G469)</f>
        <v>2099359.1800000002</v>
      </c>
      <c r="H470" s="53">
        <f>SUM(H468:H469)</f>
        <v>5571876.8200000003</v>
      </c>
      <c r="I470" s="53">
        <f>SUM(I468:I469)</f>
        <v>5125166.8099999996</v>
      </c>
      <c r="J470" s="53">
        <f>SUM(J468:J469)</f>
        <v>2365064.94</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81179898.390000001</v>
      </c>
      <c r="G472" s="18">
        <v>1985848.03</v>
      </c>
      <c r="H472" s="18">
        <v>5543120.6100000003</v>
      </c>
      <c r="I472" s="18">
        <v>4715531.54</v>
      </c>
      <c r="J472" s="18">
        <f>106295.08+22113</f>
        <v>128408.08</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81179898.390000001</v>
      </c>
      <c r="G474" s="53">
        <f>SUM(G472:G473)</f>
        <v>1985848.03</v>
      </c>
      <c r="H474" s="53">
        <f>SUM(H472:H473)</f>
        <v>5543120.6100000003</v>
      </c>
      <c r="I474" s="53">
        <f>SUM(I472:I473)</f>
        <v>4715531.54</v>
      </c>
      <c r="J474" s="53">
        <f>SUM(J472:J473)</f>
        <v>128408.08</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4047248.6400000006</v>
      </c>
      <c r="G476" s="53">
        <f>(G465+G470)- G474</f>
        <v>208401.55000000005</v>
      </c>
      <c r="H476" s="53">
        <f>(H465+H470)- H474</f>
        <v>330411.88999999966</v>
      </c>
      <c r="I476" s="53">
        <f>(I465+I470)- I474</f>
        <v>2899914.9099999992</v>
      </c>
      <c r="J476" s="53">
        <f>(J465+J470)- J474</f>
        <v>8573940.8699999992</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t="s">
        <v>1610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1612</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99903145.400000006</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54" t="s">
        <v>1610</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56050000</v>
      </c>
      <c r="G495" s="18" t="s">
        <v>286</v>
      </c>
      <c r="H495" s="18"/>
      <c r="I495" s="18"/>
      <c r="J495" s="18"/>
      <c r="K495" s="53">
        <f>SUM(F495:J495)</f>
        <v>56050000</v>
      </c>
      <c r="L495" s="24" t="s">
        <v>288</v>
      </c>
      <c r="N495" s="265"/>
    </row>
    <row r="496" spans="1:14" s="52" customFormat="1" ht="12.2" customHeight="1" x14ac:dyDescent="0.2">
      <c r="A496" s="22" t="s">
        <v>620</v>
      </c>
      <c r="B496" s="75">
        <v>20</v>
      </c>
      <c r="C496" s="115">
        <v>7</v>
      </c>
      <c r="D496" s="2" t="s">
        <v>432</v>
      </c>
      <c r="E496" s="115"/>
      <c r="F496" s="18">
        <v>4240000</v>
      </c>
      <c r="G496" s="18"/>
      <c r="H496" s="18"/>
      <c r="I496" s="18"/>
      <c r="J496" s="18"/>
      <c r="K496" s="53">
        <f t="shared" ref="K496:K503" si="35">SUM(F496:J496)</f>
        <v>4240000</v>
      </c>
      <c r="L496" s="24" t="s">
        <v>288</v>
      </c>
      <c r="N496" s="265"/>
    </row>
    <row r="497" spans="1:14" s="52" customFormat="1" ht="12.2" customHeight="1" x14ac:dyDescent="0.2">
      <c r="A497" s="22" t="s">
        <v>621</v>
      </c>
      <c r="B497" s="75">
        <v>20</v>
      </c>
      <c r="C497" s="115">
        <v>8</v>
      </c>
      <c r="D497" s="2" t="s">
        <v>432</v>
      </c>
      <c r="E497" s="115"/>
      <c r="F497" s="18">
        <v>2965000</v>
      </c>
      <c r="G497" s="18"/>
      <c r="H497" s="18"/>
      <c r="I497" s="18"/>
      <c r="J497" s="18"/>
      <c r="K497" s="53">
        <f t="shared" si="35"/>
        <v>2965000</v>
      </c>
      <c r="L497" s="24" t="s">
        <v>288</v>
      </c>
      <c r="N497" s="265"/>
    </row>
    <row r="498" spans="1:14" s="52" customFormat="1" ht="12.2" customHeight="1" x14ac:dyDescent="0.2">
      <c r="A498" s="200" t="s">
        <v>622</v>
      </c>
      <c r="B498" s="201">
        <v>20</v>
      </c>
      <c r="C498" s="202">
        <v>9</v>
      </c>
      <c r="D498" s="203" t="s">
        <v>432</v>
      </c>
      <c r="E498" s="202"/>
      <c r="F498" s="204">
        <v>57325000</v>
      </c>
      <c r="G498" s="204"/>
      <c r="H498" s="204"/>
      <c r="I498" s="204"/>
      <c r="J498" s="204"/>
      <c r="K498" s="205">
        <f t="shared" si="35"/>
        <v>57325000</v>
      </c>
      <c r="L498" s="206" t="s">
        <v>288</v>
      </c>
      <c r="N498" s="265"/>
    </row>
    <row r="499" spans="1:14" s="52" customFormat="1" ht="12.2" customHeight="1" thickBot="1" x14ac:dyDescent="0.25">
      <c r="A499" s="22" t="s">
        <v>623</v>
      </c>
      <c r="B499" s="75">
        <v>20</v>
      </c>
      <c r="C499" s="115">
        <v>10</v>
      </c>
      <c r="D499" s="2" t="s">
        <v>432</v>
      </c>
      <c r="E499" s="115"/>
      <c r="F499" s="18">
        <f>2910668-871000.38</f>
        <v>2039667.62</v>
      </c>
      <c r="G499" s="18"/>
      <c r="H499" s="18"/>
      <c r="I499" s="18"/>
      <c r="J499" s="18"/>
      <c r="K499" s="53">
        <f t="shared" si="35"/>
        <v>2039667.62</v>
      </c>
      <c r="L499" s="24" t="s">
        <v>288</v>
      </c>
      <c r="N499" s="265"/>
    </row>
    <row r="500" spans="1:14" s="52" customFormat="1" ht="12.2" customHeight="1" thickTop="1" x14ac:dyDescent="0.2">
      <c r="A500" s="139" t="s">
        <v>624</v>
      </c>
      <c r="B500" s="44">
        <v>20</v>
      </c>
      <c r="C500" s="195">
        <v>11</v>
      </c>
      <c r="D500" s="39" t="s">
        <v>432</v>
      </c>
      <c r="E500" s="195"/>
      <c r="F500" s="42">
        <f>SUM(F498:F499)</f>
        <v>59364667.619999997</v>
      </c>
      <c r="G500" s="42">
        <f>SUM(G498:G499)</f>
        <v>0</v>
      </c>
      <c r="H500" s="42">
        <f>SUM(H498:H499)</f>
        <v>0</v>
      </c>
      <c r="I500" s="42">
        <f>SUM(I498:I499)</f>
        <v>0</v>
      </c>
      <c r="J500" s="42">
        <f>SUM(J498:J499)</f>
        <v>0</v>
      </c>
      <c r="K500" s="42">
        <f t="shared" si="35"/>
        <v>59364667.619999997</v>
      </c>
      <c r="L500" s="45" t="s">
        <v>288</v>
      </c>
      <c r="N500" s="265"/>
    </row>
    <row r="501" spans="1:14" s="52" customFormat="1" ht="12.2" customHeight="1" x14ac:dyDescent="0.2">
      <c r="A501" s="200" t="s">
        <v>651</v>
      </c>
      <c r="B501" s="201">
        <v>20</v>
      </c>
      <c r="C501" s="202">
        <v>12</v>
      </c>
      <c r="D501" s="203" t="s">
        <v>432</v>
      </c>
      <c r="E501" s="202"/>
      <c r="F501" s="204">
        <v>3385000</v>
      </c>
      <c r="G501" s="204"/>
      <c r="H501" s="204"/>
      <c r="I501" s="204"/>
      <c r="J501" s="204"/>
      <c r="K501" s="205">
        <f t="shared" si="35"/>
        <v>3385000</v>
      </c>
      <c r="L501" s="206" t="s">
        <v>288</v>
      </c>
      <c r="N501" s="265"/>
    </row>
    <row r="502" spans="1:14" s="52" customFormat="1" ht="12.2" customHeight="1" thickBot="1" x14ac:dyDescent="0.25">
      <c r="A502" s="22" t="s">
        <v>625</v>
      </c>
      <c r="B502" s="75">
        <v>20</v>
      </c>
      <c r="C502" s="115">
        <v>13</v>
      </c>
      <c r="D502" s="2" t="s">
        <v>432</v>
      </c>
      <c r="E502" s="115"/>
      <c r="F502" s="18">
        <f>2982912.22-856447.38</f>
        <v>2126464.8400000003</v>
      </c>
      <c r="G502" s="18"/>
      <c r="H502" s="18"/>
      <c r="I502" s="18"/>
      <c r="J502" s="18"/>
      <c r="K502" s="53">
        <f t="shared" si="35"/>
        <v>2126464.8400000003</v>
      </c>
      <c r="L502" s="24" t="s">
        <v>288</v>
      </c>
      <c r="N502" s="265"/>
    </row>
    <row r="503" spans="1:14" s="52" customFormat="1" ht="12.2" customHeight="1" thickTop="1" x14ac:dyDescent="0.2">
      <c r="A503" s="139" t="s">
        <v>626</v>
      </c>
      <c r="B503" s="44">
        <v>20</v>
      </c>
      <c r="C503" s="195">
        <v>14</v>
      </c>
      <c r="D503" s="39" t="s">
        <v>432</v>
      </c>
      <c r="E503" s="195"/>
      <c r="F503" s="42">
        <f>SUM(F501:F502)</f>
        <v>5511464.8399999999</v>
      </c>
      <c r="G503" s="42">
        <f>SUM(G501:G502)</f>
        <v>0</v>
      </c>
      <c r="H503" s="42">
        <f>SUM(H501:H502)</f>
        <v>0</v>
      </c>
      <c r="I503" s="42">
        <f>SUM(I501:I502)</f>
        <v>0</v>
      </c>
      <c r="J503" s="42">
        <f>SUM(J501:J502)</f>
        <v>0</v>
      </c>
      <c r="K503" s="42">
        <f t="shared" si="35"/>
        <v>5511464.8399999999</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4594056</f>
        <v>4594056</v>
      </c>
      <c r="G521" s="18">
        <f>1607656.25</f>
        <v>1607656.25</v>
      </c>
      <c r="H521" s="18">
        <f>1125675.64</f>
        <v>1125675.6399999999</v>
      </c>
      <c r="I521" s="18">
        <f>30128.74</f>
        <v>30128.74</v>
      </c>
      <c r="J521" s="18">
        <f>17673.72</f>
        <v>17673.72</v>
      </c>
      <c r="K521" s="18"/>
      <c r="L521" s="88">
        <f>SUM(F521:K521)</f>
        <v>7375190.3499999996</v>
      </c>
      <c r="N521" s="265"/>
    </row>
    <row r="522" spans="1:14" s="52" customFormat="1" ht="12.2" customHeight="1" x14ac:dyDescent="0.2">
      <c r="A522" s="22" t="s">
        <v>634</v>
      </c>
      <c r="B522" s="105">
        <v>21</v>
      </c>
      <c r="C522" s="115">
        <v>2</v>
      </c>
      <c r="D522" s="2" t="s">
        <v>432</v>
      </c>
      <c r="E522" s="115"/>
      <c r="F522" s="18">
        <f>1566059</f>
        <v>1566059</v>
      </c>
      <c r="G522" s="18">
        <f>647224.18</f>
        <v>647224.18000000005</v>
      </c>
      <c r="H522" s="18">
        <f>278237.03</f>
        <v>278237.03000000003</v>
      </c>
      <c r="I522" s="18">
        <f>11326.67</f>
        <v>11326.67</v>
      </c>
      <c r="J522" s="18">
        <f>13251.86</f>
        <v>13251.86</v>
      </c>
      <c r="K522" s="18"/>
      <c r="L522" s="88">
        <f>SUM(F522:K522)</f>
        <v>2516098.7399999998</v>
      </c>
      <c r="N522" s="265"/>
    </row>
    <row r="523" spans="1:14" s="52" customFormat="1" ht="12.2" customHeight="1" thickBot="1" x14ac:dyDescent="0.25">
      <c r="A523" s="22" t="s">
        <v>635</v>
      </c>
      <c r="B523" s="105">
        <v>21</v>
      </c>
      <c r="C523" s="115">
        <v>3</v>
      </c>
      <c r="D523" s="2" t="s">
        <v>432</v>
      </c>
      <c r="E523" s="115"/>
      <c r="F523" s="18">
        <f>2651771.44</f>
        <v>2651771.44</v>
      </c>
      <c r="G523" s="18">
        <f>1097574.27</f>
        <v>1097574.27</v>
      </c>
      <c r="H523" s="18">
        <f>1708211.22</f>
        <v>1708211.22</v>
      </c>
      <c r="I523" s="18">
        <f>53905.32</f>
        <v>53905.32</v>
      </c>
      <c r="J523" s="18">
        <f>11093.09</f>
        <v>11093.09</v>
      </c>
      <c r="K523" s="18">
        <f>131.76</f>
        <v>131.76</v>
      </c>
      <c r="L523" s="88">
        <f>SUM(F523:K523)</f>
        <v>5522687.0999999996</v>
      </c>
      <c r="N523" s="265"/>
    </row>
    <row r="524" spans="1:14" s="52" customFormat="1" ht="12.2" customHeight="1" thickTop="1" x14ac:dyDescent="0.2">
      <c r="A524" s="139" t="s">
        <v>63</v>
      </c>
      <c r="B524" s="107">
        <v>21</v>
      </c>
      <c r="C524" s="195">
        <v>4</v>
      </c>
      <c r="D524" s="196" t="s">
        <v>432</v>
      </c>
      <c r="E524" s="195"/>
      <c r="F524" s="108">
        <f>SUM(F521:F523)</f>
        <v>8811886.4399999995</v>
      </c>
      <c r="G524" s="108">
        <f t="shared" ref="G524:L524" si="36">SUM(G521:G523)</f>
        <v>3352454.7</v>
      </c>
      <c r="H524" s="108">
        <f t="shared" si="36"/>
        <v>3112123.8899999997</v>
      </c>
      <c r="I524" s="108">
        <f t="shared" si="36"/>
        <v>95360.73000000001</v>
      </c>
      <c r="J524" s="108">
        <f t="shared" si="36"/>
        <v>42018.67</v>
      </c>
      <c r="K524" s="108">
        <f t="shared" si="36"/>
        <v>131.76</v>
      </c>
      <c r="L524" s="89">
        <f t="shared" si="36"/>
        <v>15413976.189999999</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1450102.82</f>
        <v>1450102.82</v>
      </c>
      <c r="G526" s="18">
        <f>556128.01</f>
        <v>556128.01</v>
      </c>
      <c r="H526" s="18">
        <f>188028.58</f>
        <v>188028.58</v>
      </c>
      <c r="I526" s="18">
        <f>21349</f>
        <v>21349</v>
      </c>
      <c r="J526" s="18">
        <f>10466.97</f>
        <v>10466.969999999999</v>
      </c>
      <c r="K526" s="18">
        <f>652.5</f>
        <v>652.5</v>
      </c>
      <c r="L526" s="88">
        <f>SUM(F526:K526)</f>
        <v>2226727.8800000004</v>
      </c>
      <c r="M526" s="8"/>
      <c r="N526" s="266"/>
    </row>
    <row r="527" spans="1:14" s="3" customFormat="1" ht="12.2" customHeight="1" x14ac:dyDescent="0.15">
      <c r="A527" s="22" t="s">
        <v>634</v>
      </c>
      <c r="B527" s="105">
        <v>21</v>
      </c>
      <c r="C527" s="115">
        <v>6</v>
      </c>
      <c r="D527" s="2" t="s">
        <v>432</v>
      </c>
      <c r="E527" s="115"/>
      <c r="F527" s="18">
        <f>288191.08</f>
        <v>288191.08</v>
      </c>
      <c r="G527" s="18">
        <f>111406.7</f>
        <v>111406.7</v>
      </c>
      <c r="H527" s="18">
        <f>54934.08</f>
        <v>54934.080000000002</v>
      </c>
      <c r="I527" s="18">
        <f>4543.04</f>
        <v>4543.04</v>
      </c>
      <c r="J527" s="18">
        <f>1365.62</f>
        <v>1365.62</v>
      </c>
      <c r="K527" s="18">
        <f>176.25</f>
        <v>176.25</v>
      </c>
      <c r="L527" s="88">
        <f>SUM(F527:K527)</f>
        <v>460616.77</v>
      </c>
      <c r="M527" s="8"/>
      <c r="N527" s="266"/>
    </row>
    <row r="528" spans="1:14" s="3" customFormat="1" ht="12.2" customHeight="1" thickBot="1" x14ac:dyDescent="0.2">
      <c r="A528" s="22" t="s">
        <v>635</v>
      </c>
      <c r="B528" s="118">
        <v>21</v>
      </c>
      <c r="C528" s="118">
        <v>7</v>
      </c>
      <c r="D528" s="2" t="s">
        <v>432</v>
      </c>
      <c r="E528" s="118"/>
      <c r="F528" s="18">
        <f>539011.17</f>
        <v>539011.17000000004</v>
      </c>
      <c r="G528" s="18">
        <f>206738.07</f>
        <v>206738.07</v>
      </c>
      <c r="H528" s="18">
        <f>65171.6</f>
        <v>65171.6</v>
      </c>
      <c r="I528" s="18">
        <f>39540.64</f>
        <v>39540.639999999999</v>
      </c>
      <c r="J528" s="18">
        <f>6156.5</f>
        <v>6156.5</v>
      </c>
      <c r="K528" s="18">
        <f>221.25</f>
        <v>221.25</v>
      </c>
      <c r="L528" s="88">
        <f>SUM(F528:K528)</f>
        <v>856839.23</v>
      </c>
      <c r="M528" s="8"/>
      <c r="N528" s="266"/>
    </row>
    <row r="529" spans="1:14" s="3" customFormat="1" ht="12.2" customHeight="1" thickTop="1" x14ac:dyDescent="0.15">
      <c r="A529" s="139" t="s">
        <v>65</v>
      </c>
      <c r="B529" s="107">
        <v>21</v>
      </c>
      <c r="C529" s="107">
        <v>8</v>
      </c>
      <c r="D529" s="158" t="s">
        <v>432</v>
      </c>
      <c r="E529" s="107"/>
      <c r="F529" s="89">
        <f>SUM(F526:F528)</f>
        <v>2277305.0700000003</v>
      </c>
      <c r="G529" s="89">
        <f t="shared" ref="G529:L529" si="37">SUM(G526:G528)</f>
        <v>874272.78</v>
      </c>
      <c r="H529" s="89">
        <f t="shared" si="37"/>
        <v>308134.25999999995</v>
      </c>
      <c r="I529" s="89">
        <f t="shared" si="37"/>
        <v>65432.68</v>
      </c>
      <c r="J529" s="89">
        <f t="shared" si="37"/>
        <v>17989.09</v>
      </c>
      <c r="K529" s="89">
        <f t="shared" si="37"/>
        <v>1050</v>
      </c>
      <c r="L529" s="89">
        <f t="shared" si="37"/>
        <v>3544183.8800000004</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f>61940.77</f>
        <v>61940.77</v>
      </c>
      <c r="G531" s="18">
        <f>20948.62</f>
        <v>20948.62</v>
      </c>
      <c r="H531" s="18"/>
      <c r="I531" s="18"/>
      <c r="J531" s="18"/>
      <c r="K531" s="18"/>
      <c r="L531" s="88">
        <f>SUM(F531:K531)</f>
        <v>82889.39</v>
      </c>
      <c r="M531" s="8"/>
      <c r="N531" s="266"/>
    </row>
    <row r="532" spans="1:14" s="3" customFormat="1" ht="12.2" customHeight="1" x14ac:dyDescent="0.15">
      <c r="A532" s="22" t="s">
        <v>634</v>
      </c>
      <c r="B532" s="105">
        <v>21</v>
      </c>
      <c r="C532" s="105">
        <v>10</v>
      </c>
      <c r="D532" s="2" t="s">
        <v>432</v>
      </c>
      <c r="E532" s="105"/>
      <c r="F532" s="18">
        <v>30970.39</v>
      </c>
      <c r="G532" s="18">
        <f>10492.31</f>
        <v>10492.31</v>
      </c>
      <c r="H532" s="18"/>
      <c r="I532" s="18"/>
      <c r="J532" s="18"/>
      <c r="K532" s="18"/>
      <c r="L532" s="88">
        <f>SUM(F532:K532)</f>
        <v>41462.699999999997</v>
      </c>
      <c r="M532" s="8"/>
      <c r="N532" s="266"/>
    </row>
    <row r="533" spans="1:14" s="3" customFormat="1" ht="12.2" customHeight="1" thickBot="1" x14ac:dyDescent="0.2">
      <c r="A533" s="22" t="s">
        <v>635</v>
      </c>
      <c r="B533" s="105">
        <v>21</v>
      </c>
      <c r="C533" s="105">
        <v>11</v>
      </c>
      <c r="D533" s="2" t="s">
        <v>432</v>
      </c>
      <c r="E533" s="105"/>
      <c r="F533" s="18">
        <f>38877.72</f>
        <v>38877.72</v>
      </c>
      <c r="G533" s="18">
        <f>13171.2</f>
        <v>13171.2</v>
      </c>
      <c r="H533" s="18"/>
      <c r="I533" s="18"/>
      <c r="J533" s="18"/>
      <c r="K533" s="18"/>
      <c r="L533" s="88">
        <f>SUM(F533:K533)</f>
        <v>52048.92</v>
      </c>
      <c r="M533" s="8"/>
      <c r="N533" s="266"/>
    </row>
    <row r="534" spans="1:14" s="3" customFormat="1" ht="12.2" customHeight="1" thickTop="1" x14ac:dyDescent="0.15">
      <c r="A534" s="139" t="s">
        <v>67</v>
      </c>
      <c r="B534" s="107">
        <v>21</v>
      </c>
      <c r="C534" s="107">
        <v>12</v>
      </c>
      <c r="D534" s="158" t="s">
        <v>432</v>
      </c>
      <c r="E534" s="107"/>
      <c r="F534" s="89">
        <f>SUM(F531:F533)</f>
        <v>131788.88</v>
      </c>
      <c r="G534" s="89">
        <f t="shared" ref="G534:L534" si="38">SUM(G531:G533)</f>
        <v>44612.130000000005</v>
      </c>
      <c r="H534" s="89">
        <f t="shared" si="38"/>
        <v>0</v>
      </c>
      <c r="I534" s="89">
        <f t="shared" si="38"/>
        <v>0</v>
      </c>
      <c r="J534" s="89">
        <f t="shared" si="38"/>
        <v>0</v>
      </c>
      <c r="K534" s="89">
        <f t="shared" si="38"/>
        <v>0</v>
      </c>
      <c r="L534" s="89">
        <f t="shared" si="38"/>
        <v>176401.01</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f>67.45</f>
        <v>67.45</v>
      </c>
      <c r="I536" s="18"/>
      <c r="J536" s="18"/>
      <c r="K536" s="18"/>
      <c r="L536" s="88">
        <f>SUM(F536:K536)</f>
        <v>67.45</v>
      </c>
      <c r="M536" s="8"/>
      <c r="N536" s="266"/>
    </row>
    <row r="537" spans="1:14" s="3" customFormat="1" ht="12.2" customHeight="1" x14ac:dyDescent="0.15">
      <c r="A537" s="22" t="s">
        <v>634</v>
      </c>
      <c r="B537" s="105">
        <v>21</v>
      </c>
      <c r="C537" s="105">
        <v>14</v>
      </c>
      <c r="D537" s="2" t="s">
        <v>432</v>
      </c>
      <c r="E537" s="105"/>
      <c r="F537" s="18"/>
      <c r="G537" s="18"/>
      <c r="H537" s="18">
        <f>33.72</f>
        <v>33.72</v>
      </c>
      <c r="I537" s="18"/>
      <c r="J537" s="18"/>
      <c r="K537" s="18"/>
      <c r="L537" s="88">
        <f>SUM(F537:K537)</f>
        <v>33.72</v>
      </c>
      <c r="M537" s="8"/>
      <c r="N537" s="266"/>
    </row>
    <row r="538" spans="1:14" s="3" customFormat="1" ht="12.2" customHeight="1" thickBot="1" x14ac:dyDescent="0.2">
      <c r="A538" s="22" t="s">
        <v>635</v>
      </c>
      <c r="B538" s="105">
        <v>21</v>
      </c>
      <c r="C538" s="105">
        <v>15</v>
      </c>
      <c r="D538" s="2" t="s">
        <v>432</v>
      </c>
      <c r="E538" s="105"/>
      <c r="F538" s="18"/>
      <c r="G538" s="18"/>
      <c r="H538" s="18">
        <f>42.33</f>
        <v>42.33</v>
      </c>
      <c r="I538" s="18"/>
      <c r="J538" s="18"/>
      <c r="K538" s="18"/>
      <c r="L538" s="88">
        <f>SUM(F538:K538)</f>
        <v>42.33</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143.5</v>
      </c>
      <c r="I539" s="89">
        <f t="shared" si="39"/>
        <v>0</v>
      </c>
      <c r="J539" s="89">
        <f t="shared" si="39"/>
        <v>0</v>
      </c>
      <c r="K539" s="89">
        <f t="shared" si="39"/>
        <v>0</v>
      </c>
      <c r="L539" s="89">
        <f t="shared" si="39"/>
        <v>143.5</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f>278654.23</f>
        <v>278654.23</v>
      </c>
      <c r="G541" s="18">
        <f>98248.22</f>
        <v>98248.22</v>
      </c>
      <c r="H541" s="18">
        <f>99416.16</f>
        <v>99416.16</v>
      </c>
      <c r="I541" s="18"/>
      <c r="J541" s="18">
        <f>114.01</f>
        <v>114.01</v>
      </c>
      <c r="K541" s="18">
        <f>213.82</f>
        <v>213.82</v>
      </c>
      <c r="L541" s="88">
        <f>SUM(F541:K541)</f>
        <v>476646.44</v>
      </c>
      <c r="M541" s="8"/>
      <c r="N541" s="266"/>
    </row>
    <row r="542" spans="1:14" s="3" customFormat="1" ht="12.2" customHeight="1" x14ac:dyDescent="0.15">
      <c r="A542" s="22" t="s">
        <v>634</v>
      </c>
      <c r="B542" s="105">
        <v>21</v>
      </c>
      <c r="C542" s="105">
        <v>18</v>
      </c>
      <c r="D542" s="2" t="s">
        <v>432</v>
      </c>
      <c r="E542" s="105"/>
      <c r="F542" s="18">
        <f>136116.81</f>
        <v>136116.81</v>
      </c>
      <c r="G542" s="18">
        <f>47992.22</f>
        <v>47992.22</v>
      </c>
      <c r="H542" s="18">
        <f>48562.73</f>
        <v>48562.73</v>
      </c>
      <c r="I542" s="18"/>
      <c r="J542" s="18">
        <f>55.69</f>
        <v>55.69</v>
      </c>
      <c r="K542" s="18">
        <f>104.44</f>
        <v>104.44</v>
      </c>
      <c r="L542" s="88">
        <f>SUM(F542:K542)</f>
        <v>232831.89</v>
      </c>
      <c r="M542" s="8"/>
      <c r="N542" s="266"/>
    </row>
    <row r="543" spans="1:14" s="3" customFormat="1" ht="12.2" customHeight="1" thickBot="1" x14ac:dyDescent="0.2">
      <c r="A543" s="22" t="s">
        <v>635</v>
      </c>
      <c r="B543" s="105">
        <v>21</v>
      </c>
      <c r="C543" s="105">
        <v>19</v>
      </c>
      <c r="D543" s="2" t="s">
        <v>432</v>
      </c>
      <c r="E543" s="105"/>
      <c r="F543" s="18">
        <f>227289.39</f>
        <v>227289.39</v>
      </c>
      <c r="G543" s="18">
        <f>80137.94</f>
        <v>80137.94</v>
      </c>
      <c r="H543" s="18">
        <f>81090.6</f>
        <v>81090.600000000006</v>
      </c>
      <c r="I543" s="18"/>
      <c r="J543" s="18">
        <f>93</f>
        <v>93</v>
      </c>
      <c r="K543" s="18">
        <f>174.4</f>
        <v>174.4</v>
      </c>
      <c r="L543" s="88">
        <f>SUM(F543:K543)</f>
        <v>388785.33000000007</v>
      </c>
      <c r="M543" s="8"/>
      <c r="N543" s="266"/>
    </row>
    <row r="544" spans="1:14" s="3" customFormat="1" ht="12.2" customHeight="1" thickTop="1" thickBot="1" x14ac:dyDescent="0.2">
      <c r="A544" s="130" t="s">
        <v>71</v>
      </c>
      <c r="B544" s="191">
        <v>21</v>
      </c>
      <c r="C544" s="191">
        <v>20</v>
      </c>
      <c r="D544" s="192" t="s">
        <v>432</v>
      </c>
      <c r="E544" s="191"/>
      <c r="F544" s="193">
        <f>SUM(F541:F543)</f>
        <v>642060.42999999993</v>
      </c>
      <c r="G544" s="193">
        <f t="shared" ref="G544:L544" si="40">SUM(G541:G543)</f>
        <v>226378.38</v>
      </c>
      <c r="H544" s="193">
        <f t="shared" si="40"/>
        <v>229069.49000000002</v>
      </c>
      <c r="I544" s="193">
        <f t="shared" si="40"/>
        <v>0</v>
      </c>
      <c r="J544" s="193">
        <f t="shared" si="40"/>
        <v>262.7</v>
      </c>
      <c r="K544" s="193">
        <f t="shared" si="40"/>
        <v>492.65999999999997</v>
      </c>
      <c r="L544" s="193">
        <f t="shared" si="40"/>
        <v>1098263.6600000001</v>
      </c>
      <c r="M544" s="8"/>
      <c r="N544" s="266"/>
    </row>
    <row r="545" spans="1:14" s="3" customFormat="1" ht="12.2" customHeight="1" thickTop="1" x14ac:dyDescent="0.15">
      <c r="A545" s="98" t="s">
        <v>72</v>
      </c>
      <c r="B545" s="107">
        <v>21</v>
      </c>
      <c r="C545" s="107">
        <v>21</v>
      </c>
      <c r="D545" s="158" t="s">
        <v>432</v>
      </c>
      <c r="E545" s="107"/>
      <c r="F545" s="89">
        <f>F524+F529+F534+F539+F544</f>
        <v>11863040.82</v>
      </c>
      <c r="G545" s="89">
        <f t="shared" ref="G545:L545" si="41">G524+G529+G534+G539+G544</f>
        <v>4497717.99</v>
      </c>
      <c r="H545" s="89">
        <f t="shared" si="41"/>
        <v>3649471.1399999997</v>
      </c>
      <c r="I545" s="89">
        <f t="shared" si="41"/>
        <v>160793.41</v>
      </c>
      <c r="J545" s="89">
        <f t="shared" si="41"/>
        <v>60270.459999999992</v>
      </c>
      <c r="K545" s="89">
        <f t="shared" si="41"/>
        <v>1674.42</v>
      </c>
      <c r="L545" s="89">
        <f t="shared" si="41"/>
        <v>20232968.240000002</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7375190.3499999996</v>
      </c>
      <c r="G549" s="87">
        <f>L526</f>
        <v>2226727.8800000004</v>
      </c>
      <c r="H549" s="87">
        <f>L531</f>
        <v>82889.39</v>
      </c>
      <c r="I549" s="87">
        <f>L536</f>
        <v>67.45</v>
      </c>
      <c r="J549" s="87">
        <f>L541</f>
        <v>476646.44</v>
      </c>
      <c r="K549" s="87">
        <f>SUM(F549:J549)</f>
        <v>10161521.51</v>
      </c>
      <c r="L549" s="24" t="s">
        <v>288</v>
      </c>
      <c r="M549" s="8"/>
      <c r="N549" s="266"/>
    </row>
    <row r="550" spans="1:14" s="3" customFormat="1" ht="12.2" customHeight="1" x14ac:dyDescent="0.15">
      <c r="A550" s="22" t="s">
        <v>634</v>
      </c>
      <c r="B550" s="75">
        <v>21</v>
      </c>
      <c r="C550" s="75">
        <v>23</v>
      </c>
      <c r="D550" s="2" t="s">
        <v>432</v>
      </c>
      <c r="E550" s="75"/>
      <c r="F550" s="87">
        <f>L522</f>
        <v>2516098.7399999998</v>
      </c>
      <c r="G550" s="87">
        <f>L527</f>
        <v>460616.77</v>
      </c>
      <c r="H550" s="87">
        <f>L532</f>
        <v>41462.699999999997</v>
      </c>
      <c r="I550" s="87">
        <f>L537</f>
        <v>33.72</v>
      </c>
      <c r="J550" s="87">
        <f>L542</f>
        <v>232831.89</v>
      </c>
      <c r="K550" s="87">
        <f>SUM(F550:J550)</f>
        <v>3251043.8200000003</v>
      </c>
      <c r="L550" s="24" t="s">
        <v>288</v>
      </c>
      <c r="M550" s="8"/>
      <c r="N550" s="266"/>
    </row>
    <row r="551" spans="1:14" s="3" customFormat="1" ht="12.2" customHeight="1" thickBot="1" x14ac:dyDescent="0.2">
      <c r="A551" s="22" t="s">
        <v>635</v>
      </c>
      <c r="B551" s="75">
        <v>21</v>
      </c>
      <c r="C551" s="75">
        <v>24</v>
      </c>
      <c r="D551" s="2" t="s">
        <v>432</v>
      </c>
      <c r="E551" s="75"/>
      <c r="F551" s="87">
        <f>L523</f>
        <v>5522687.0999999996</v>
      </c>
      <c r="G551" s="87">
        <f>L528</f>
        <v>856839.23</v>
      </c>
      <c r="H551" s="87">
        <f>L533</f>
        <v>52048.92</v>
      </c>
      <c r="I551" s="87">
        <f>L538</f>
        <v>42.33</v>
      </c>
      <c r="J551" s="87">
        <f>L543</f>
        <v>388785.33000000007</v>
      </c>
      <c r="K551" s="87">
        <f>SUM(F551:J551)</f>
        <v>6820402.9100000001</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15413976.189999999</v>
      </c>
      <c r="G552" s="89">
        <f t="shared" si="42"/>
        <v>3544183.8800000004</v>
      </c>
      <c r="H552" s="89">
        <f t="shared" si="42"/>
        <v>176401.01</v>
      </c>
      <c r="I552" s="89">
        <f t="shared" si="42"/>
        <v>143.5</v>
      </c>
      <c r="J552" s="89">
        <f t="shared" si="42"/>
        <v>1098263.6600000001</v>
      </c>
      <c r="K552" s="89">
        <f t="shared" si="42"/>
        <v>20232968.240000002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f>337994.87</f>
        <v>337994.87</v>
      </c>
      <c r="G562" s="18">
        <f>117218.01</f>
        <v>117218.01</v>
      </c>
      <c r="H562" s="18">
        <f>23291.91+1913.76</f>
        <v>25205.67</v>
      </c>
      <c r="I562" s="18">
        <f>1468.39+4611.04</f>
        <v>6079.43</v>
      </c>
      <c r="J562" s="18">
        <f>405.79</f>
        <v>405.79</v>
      </c>
      <c r="K562" s="18"/>
      <c r="L562" s="88">
        <f>SUM(F562:K562)</f>
        <v>486903.76999999996</v>
      </c>
      <c r="M562" s="8"/>
      <c r="N562" s="266"/>
    </row>
    <row r="563" spans="1:14" s="3" customFormat="1" ht="12.2" customHeight="1" x14ac:dyDescent="0.15">
      <c r="A563" s="22" t="s">
        <v>634</v>
      </c>
      <c r="B563" s="105">
        <v>22</v>
      </c>
      <c r="C563" s="115">
        <v>6</v>
      </c>
      <c r="D563" s="2" t="s">
        <v>432</v>
      </c>
      <c r="E563" s="115"/>
      <c r="F563" s="18">
        <f>129785.71</f>
        <v>129785.71</v>
      </c>
      <c r="G563" s="18">
        <f>44520.6</f>
        <v>44520.6</v>
      </c>
      <c r="H563" s="18">
        <f>4057.82+934.83</f>
        <v>4992.6500000000005</v>
      </c>
      <c r="I563" s="18">
        <f>467.5+2252.4</f>
        <v>2719.9</v>
      </c>
      <c r="J563" s="18">
        <f>4415+198.22</f>
        <v>4613.22</v>
      </c>
      <c r="K563" s="18"/>
      <c r="L563" s="88">
        <f>SUM(F563:K563)</f>
        <v>186632.08</v>
      </c>
      <c r="M563" s="8"/>
      <c r="N563" s="266"/>
    </row>
    <row r="564" spans="1:14" s="3" customFormat="1" ht="12.2" customHeight="1" thickBot="1" x14ac:dyDescent="0.2">
      <c r="A564" s="22" t="s">
        <v>635</v>
      </c>
      <c r="B564" s="105">
        <v>22</v>
      </c>
      <c r="C564" s="118">
        <v>7</v>
      </c>
      <c r="D564" s="2" t="s">
        <v>432</v>
      </c>
      <c r="E564" s="118"/>
      <c r="F564" s="18">
        <f>294495.16</f>
        <v>294495.15999999997</v>
      </c>
      <c r="G564" s="18">
        <f>137684.7</f>
        <v>137684.70000000001</v>
      </c>
      <c r="H564" s="18">
        <f>8437.65+1561</f>
        <v>9998.65</v>
      </c>
      <c r="I564" s="18">
        <f>3761.08</f>
        <v>3761.08</v>
      </c>
      <c r="J564" s="18">
        <f>330.99</f>
        <v>330.99</v>
      </c>
      <c r="K564" s="18"/>
      <c r="L564" s="88">
        <f>SUM(F564:K564)</f>
        <v>446270.58</v>
      </c>
      <c r="M564" s="8"/>
      <c r="N564" s="266"/>
    </row>
    <row r="565" spans="1:14" s="3" customFormat="1" ht="12.2" customHeight="1" thickTop="1" x14ac:dyDescent="0.15">
      <c r="A565" s="139" t="s">
        <v>65</v>
      </c>
      <c r="B565" s="107">
        <v>22</v>
      </c>
      <c r="C565" s="107">
        <v>8</v>
      </c>
      <c r="D565" s="196" t="s">
        <v>432</v>
      </c>
      <c r="E565" s="107"/>
      <c r="F565" s="89">
        <f t="shared" ref="F565:L565" si="44">SUM(F562:F564)</f>
        <v>762275.74</v>
      </c>
      <c r="G565" s="89">
        <f t="shared" si="44"/>
        <v>299423.31</v>
      </c>
      <c r="H565" s="89">
        <f t="shared" si="44"/>
        <v>40196.97</v>
      </c>
      <c r="I565" s="89">
        <f t="shared" si="44"/>
        <v>12560.41</v>
      </c>
      <c r="J565" s="89">
        <f t="shared" si="44"/>
        <v>5350</v>
      </c>
      <c r="K565" s="89">
        <f t="shared" si="44"/>
        <v>0</v>
      </c>
      <c r="L565" s="89">
        <f t="shared" si="44"/>
        <v>1119806.43</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762275.74</v>
      </c>
      <c r="G571" s="89">
        <f t="shared" ref="G571:L571" si="46">G560+G565+G570</f>
        <v>299423.31</v>
      </c>
      <c r="H571" s="89">
        <f t="shared" si="46"/>
        <v>40196.97</v>
      </c>
      <c r="I571" s="89">
        <f t="shared" si="46"/>
        <v>12560.41</v>
      </c>
      <c r="J571" s="89">
        <f t="shared" si="46"/>
        <v>5350</v>
      </c>
      <c r="K571" s="89">
        <f t="shared" si="46"/>
        <v>0</v>
      </c>
      <c r="L571" s="89">
        <f t="shared" si="46"/>
        <v>1119806.43</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1436.11</v>
      </c>
      <c r="G579" s="18"/>
      <c r="H579" s="18"/>
      <c r="I579" s="87">
        <f t="shared" si="47"/>
        <v>1436.11</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284211.73</v>
      </c>
      <c r="G582" s="18">
        <v>200930.55</v>
      </c>
      <c r="H582" s="18">
        <v>1502497.61</v>
      </c>
      <c r="I582" s="87">
        <f t="shared" si="47"/>
        <v>1987639.8900000001</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723354.91</f>
        <v>723354.91</v>
      </c>
      <c r="I591" s="18">
        <f>353343.87</f>
        <v>353343.87</v>
      </c>
      <c r="J591" s="18">
        <f>590017.57</f>
        <v>590017.56999999995</v>
      </c>
      <c r="K591" s="104">
        <f t="shared" ref="K591:K597" si="48">SUM(H591:J591)</f>
        <v>1666716.35</v>
      </c>
      <c r="L591" s="24" t="s">
        <v>288</v>
      </c>
      <c r="M591" s="8"/>
      <c r="N591" s="266"/>
    </row>
    <row r="592" spans="1:14" s="3" customFormat="1" ht="12.2" customHeight="1" x14ac:dyDescent="0.15">
      <c r="A592" s="3" t="s">
        <v>638</v>
      </c>
      <c r="B592" s="75">
        <v>23</v>
      </c>
      <c r="C592" s="75">
        <v>2</v>
      </c>
      <c r="D592" s="2" t="s">
        <v>432</v>
      </c>
      <c r="E592" s="75"/>
      <c r="F592" s="102">
        <v>2722</v>
      </c>
      <c r="G592" s="103" t="s">
        <v>97</v>
      </c>
      <c r="H592" s="18">
        <f>476646.44</f>
        <v>476646.44</v>
      </c>
      <c r="I592" s="18">
        <f>232831.89</f>
        <v>232831.89</v>
      </c>
      <c r="J592" s="18">
        <f>388785.33</f>
        <v>388785.33</v>
      </c>
      <c r="K592" s="104">
        <f t="shared" si="48"/>
        <v>1098263.6600000001</v>
      </c>
      <c r="L592" s="24" t="s">
        <v>288</v>
      </c>
      <c r="M592" s="8"/>
      <c r="N592" s="266"/>
    </row>
    <row r="593" spans="1:14" s="3" customFormat="1" ht="12.2" customHeight="1" x14ac:dyDescent="0.15">
      <c r="A593" s="3" t="s">
        <v>639</v>
      </c>
      <c r="B593" s="75">
        <v>23</v>
      </c>
      <c r="C593" s="75">
        <v>3</v>
      </c>
      <c r="D593" s="2" t="s">
        <v>432</v>
      </c>
      <c r="E593" s="75"/>
      <c r="F593" s="102">
        <v>2723</v>
      </c>
      <c r="G593" s="103" t="s">
        <v>97</v>
      </c>
      <c r="H593" s="18">
        <f>2276.38</f>
        <v>2276.38</v>
      </c>
      <c r="I593" s="18">
        <f>1111.97</f>
        <v>1111.97</v>
      </c>
      <c r="J593" s="18">
        <f>5620.4</f>
        <v>5620.4</v>
      </c>
      <c r="K593" s="104">
        <f t="shared" si="48"/>
        <v>9008.75</v>
      </c>
      <c r="L593" s="24" t="s">
        <v>288</v>
      </c>
      <c r="M593" s="8"/>
      <c r="N593" s="266"/>
    </row>
    <row r="594" spans="1:14" s="3" customFormat="1" ht="12.2" customHeight="1" x14ac:dyDescent="0.15">
      <c r="A594" s="22" t="s">
        <v>640</v>
      </c>
      <c r="B594" s="75">
        <v>23</v>
      </c>
      <c r="C594" s="75">
        <v>4</v>
      </c>
      <c r="D594" s="2" t="s">
        <v>432</v>
      </c>
      <c r="E594" s="75"/>
      <c r="F594" s="102">
        <v>2724</v>
      </c>
      <c r="G594" s="103" t="s">
        <v>97</v>
      </c>
      <c r="H594" s="18">
        <f>5141.5</f>
        <v>5141.5</v>
      </c>
      <c r="I594" s="18">
        <f>34233.45</f>
        <v>34233.449999999997</v>
      </c>
      <c r="J594" s="18">
        <f>150072.09</f>
        <v>150072.09</v>
      </c>
      <c r="K594" s="104">
        <f t="shared" si="48"/>
        <v>189447.03999999998</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f>4250.34</f>
        <v>4250.34</v>
      </c>
      <c r="I595" s="18">
        <f>11402.58</f>
        <v>11402.58</v>
      </c>
      <c r="J595" s="18">
        <f>30394.84</f>
        <v>30394.84</v>
      </c>
      <c r="K595" s="104">
        <f t="shared" si="48"/>
        <v>46047.76</v>
      </c>
      <c r="L595" s="24" t="s">
        <v>288</v>
      </c>
      <c r="M595" s="8"/>
      <c r="N595" s="266"/>
    </row>
    <row r="596" spans="1:14" s="3" customFormat="1" ht="12.2" customHeight="1" x14ac:dyDescent="0.15">
      <c r="A596" s="22" t="s">
        <v>641</v>
      </c>
      <c r="B596" s="75">
        <v>23</v>
      </c>
      <c r="C596" s="75">
        <v>6</v>
      </c>
      <c r="D596" s="2" t="s">
        <v>432</v>
      </c>
      <c r="E596" s="75"/>
      <c r="F596" s="102">
        <v>2726</v>
      </c>
      <c r="G596" s="103" t="s">
        <v>97</v>
      </c>
      <c r="H596" s="18">
        <f>1687.66</f>
        <v>1687.66</v>
      </c>
      <c r="I596" s="18">
        <f>824.4</f>
        <v>824.4</v>
      </c>
      <c r="J596" s="18">
        <f>1376.57</f>
        <v>1376.57</v>
      </c>
      <c r="K596" s="104">
        <f t="shared" si="48"/>
        <v>3888.63</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f>35140.68</f>
        <v>35140.68</v>
      </c>
      <c r="I597" s="18">
        <f>6473.91</f>
        <v>6473.91</v>
      </c>
      <c r="J597" s="18">
        <f>10810.22</f>
        <v>10810.22</v>
      </c>
      <c r="K597" s="104">
        <f t="shared" si="48"/>
        <v>52424.81</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1248497.9099999999</v>
      </c>
      <c r="I598" s="108">
        <f>SUM(I591:I597)</f>
        <v>640222.06999999995</v>
      </c>
      <c r="J598" s="108">
        <f>SUM(J591:J597)</f>
        <v>1177077.02</v>
      </c>
      <c r="K598" s="108">
        <f>SUM(K591:K597)</f>
        <v>3065797</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516261.08-0.01</f>
        <v>516261.07</v>
      </c>
      <c r="I604" s="18">
        <f>221507.72</f>
        <v>221507.72</v>
      </c>
      <c r="J604" s="18">
        <f>511013</f>
        <v>511013</v>
      </c>
      <c r="K604" s="104">
        <f>SUM(H604:J604)</f>
        <v>1248781.79</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516261.07</v>
      </c>
      <c r="I605" s="108">
        <f>SUM(I602:I604)</f>
        <v>221507.72</v>
      </c>
      <c r="J605" s="108">
        <f>SUM(J602:J604)</f>
        <v>511013</v>
      </c>
      <c r="K605" s="108">
        <f>SUM(K602:K604)</f>
        <v>1248781.79</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125548170.42</v>
      </c>
      <c r="H617" s="109">
        <f>SUM(F52)</f>
        <v>125548170.42</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7429394.6700000009</v>
      </c>
      <c r="H618" s="109">
        <f>SUM(G52)</f>
        <v>7429394.669999999</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47174006.669999994</v>
      </c>
      <c r="H619" s="109">
        <f>SUM(H52)</f>
        <v>47174006.669999994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70278852.670000002</v>
      </c>
      <c r="H620" s="109">
        <f>SUM(I52)</f>
        <v>70278852.670000017</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6858787.4300000006</v>
      </c>
      <c r="H621" s="109">
        <f>SUM(J52)</f>
        <v>6858787.4299999997</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4047248.64</v>
      </c>
      <c r="H622" s="109">
        <f>F476</f>
        <v>4047248.6400000006</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208401.55000000002</v>
      </c>
      <c r="H623" s="109">
        <f>G476</f>
        <v>208401.55000000005</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330411.88999999658</v>
      </c>
      <c r="H624" s="109">
        <f>H476</f>
        <v>330411.88999999966</v>
      </c>
      <c r="I624" s="121" t="s">
        <v>103</v>
      </c>
      <c r="J624" s="109">
        <f t="shared" si="50"/>
        <v>-3.0850060284137726E-9</v>
      </c>
      <c r="K624" s="109"/>
      <c r="L624" s="109"/>
      <c r="M624" s="8"/>
    </row>
    <row r="625" spans="1:13" s="3" customFormat="1" ht="12.2" customHeight="1" x14ac:dyDescent="0.15">
      <c r="A625" s="97"/>
      <c r="B625" s="105"/>
      <c r="C625" s="105"/>
      <c r="D625" s="105"/>
      <c r="E625" s="105"/>
      <c r="F625" s="120" t="s">
        <v>868</v>
      </c>
      <c r="G625" s="109">
        <f>I51</f>
        <v>2899914.9100000155</v>
      </c>
      <c r="H625" s="109">
        <f>I476</f>
        <v>2899914.9099999992</v>
      </c>
      <c r="I625" s="121" t="s">
        <v>104</v>
      </c>
      <c r="J625" s="109">
        <f t="shared" si="50"/>
        <v>1.6298145055770874E-8</v>
      </c>
      <c r="K625" s="109"/>
      <c r="L625" s="109"/>
      <c r="M625" s="8"/>
    </row>
    <row r="626" spans="1:13" s="3" customFormat="1" ht="12.2" customHeight="1" x14ac:dyDescent="0.15">
      <c r="A626" s="22"/>
      <c r="B626" s="105"/>
      <c r="C626" s="105"/>
      <c r="D626" s="105"/>
      <c r="E626" s="105"/>
      <c r="F626" s="120" t="s">
        <v>869</v>
      </c>
      <c r="G626" s="109">
        <f>J51</f>
        <v>8573940.8699999992</v>
      </c>
      <c r="H626" s="109">
        <f>J476</f>
        <v>8573940.8699999992</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81230042.189999983</v>
      </c>
      <c r="H627" s="104">
        <f>SUM(F468)</f>
        <v>81230042.189999998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2099359.1799999997</v>
      </c>
      <c r="H628" s="104">
        <f>SUM(G468)</f>
        <v>2099359.1800000002</v>
      </c>
      <c r="I628" s="140" t="s">
        <v>107</v>
      </c>
      <c r="J628" s="109">
        <f>G628-H628</f>
        <v>0</v>
      </c>
      <c r="K628" s="85"/>
      <c r="L628" s="88"/>
      <c r="M628" s="8"/>
    </row>
    <row r="629" spans="1:13" s="3" customFormat="1" ht="12.2" customHeight="1" x14ac:dyDescent="0.15">
      <c r="A629" s="22"/>
      <c r="B629" s="105"/>
      <c r="C629" s="105"/>
      <c r="D629" s="105"/>
      <c r="E629" s="105"/>
      <c r="F629" s="120" t="s">
        <v>660</v>
      </c>
      <c r="G629" s="109">
        <f>H193</f>
        <v>5571876.8200000003</v>
      </c>
      <c r="H629" s="104">
        <f>SUM(H468)</f>
        <v>5571876.8200000003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5125166.8100000005</v>
      </c>
      <c r="H630" s="104">
        <f>SUM(I468)</f>
        <v>5125166.8099999996</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2365064.94</v>
      </c>
      <c r="H631" s="104">
        <f>SUM(J468)</f>
        <v>2365064.94</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81179898.390000001</v>
      </c>
      <c r="H632" s="104">
        <f>SUM(F472)</f>
        <v>81179898.390000001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5543120.6100000003</v>
      </c>
      <c r="H633" s="104">
        <f>SUM(H472)</f>
        <v>5543120.6100000003</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1104430.98</v>
      </c>
      <c r="H634" s="104">
        <f>I369</f>
        <v>1104430.98</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1985848.0299999998</v>
      </c>
      <c r="H635" s="104">
        <f>SUM(G472)</f>
        <v>1985848.03</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4715531.540000001</v>
      </c>
      <c r="H636" s="104">
        <f>SUM(I472)</f>
        <v>4715531.54</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2365064.94</v>
      </c>
      <c r="H637" s="164">
        <f>SUM(J468)</f>
        <v>2365064.94</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128408.08</v>
      </c>
      <c r="H638" s="164">
        <f>SUM(J472)</f>
        <v>128408.08</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6858787.4300000006</v>
      </c>
      <c r="H640" s="104">
        <f>SUM(G461)</f>
        <v>6858787.4299999997</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6858787.4300000006</v>
      </c>
      <c r="H642" s="104">
        <f>SUM(I461)</f>
        <v>6858787.4299999997</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41306.89</v>
      </c>
      <c r="H644" s="104">
        <f>H408</f>
        <v>41306.89</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2292632.96</v>
      </c>
      <c r="H645" s="104">
        <f>G408</f>
        <v>2292632.96</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2365064.94</v>
      </c>
      <c r="H646" s="104">
        <f>L408</f>
        <v>2365064.94</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3065797</v>
      </c>
      <c r="H647" s="104">
        <f>L208+L226+L244</f>
        <v>3065797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1248781.79</v>
      </c>
      <c r="H648" s="104">
        <f>(J257+J338)-(J255+J336)</f>
        <v>1248781.79</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1248497.9100000001</v>
      </c>
      <c r="H649" s="104">
        <f>H598</f>
        <v>1248497.9099999999</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640222.06999999995</v>
      </c>
      <c r="H650" s="104">
        <f>I598</f>
        <v>640222.06999999995</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1177077.0199999998</v>
      </c>
      <c r="H651" s="104">
        <f>J598</f>
        <v>1177077.02</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82000</v>
      </c>
      <c r="H652" s="104">
        <f>K263+K345</f>
        <v>82000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317152.09000000003</v>
      </c>
      <c r="H653" s="104">
        <f>K264</f>
        <v>317152.09000000003</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2292632.96</v>
      </c>
      <c r="H655" s="104">
        <f>K266+K347</f>
        <v>2292632.96</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34386301.699999996</v>
      </c>
      <c r="G660" s="19">
        <f>(L229+L309+L359)</f>
        <v>15253884.840000002</v>
      </c>
      <c r="H660" s="19">
        <f>(L247+L328+L360)</f>
        <v>28349140.220000003</v>
      </c>
      <c r="I660" s="19">
        <f>SUM(F660:H660)</f>
        <v>77989326.760000005</v>
      </c>
      <c r="J660" s="13"/>
      <c r="K660" s="13"/>
      <c r="L660" s="13"/>
      <c r="M660" s="9"/>
    </row>
    <row r="661" spans="1:13" s="3" customFormat="1" ht="12.2" customHeight="1" x14ac:dyDescent="0.2">
      <c r="A661" s="1" t="s">
        <v>127</v>
      </c>
      <c r="F661" s="19">
        <f>(L358/IF(SUM(L358:L360)=0,1,SUM(L358:L360))*(SUM(G97:G110)))</f>
        <v>408538.74545117631</v>
      </c>
      <c r="G661" s="19">
        <f>(L359/IF(SUM(L358:L360)=0,1,SUM(L358:L360))*(SUM(G97:G110)))</f>
        <v>156916.34215654709</v>
      </c>
      <c r="H661" s="19">
        <f>(L360/IF(SUM(L358:L360)=0,1,SUM(L358:L360))*(SUM(G97:G110)))</f>
        <v>292997.46239227656</v>
      </c>
      <c r="I661" s="19">
        <f>SUM(F661:H661)</f>
        <v>858452.55</v>
      </c>
      <c r="J661"/>
      <c r="K661" s="13"/>
      <c r="L661" s="13"/>
      <c r="M661" s="9"/>
    </row>
    <row r="662" spans="1:13" s="3" customFormat="1" ht="12.2" customHeight="1" x14ac:dyDescent="0.2">
      <c r="A662" s="1" t="s">
        <v>128</v>
      </c>
      <c r="F662" s="19">
        <f>(L208+L287)-(J208+J287)</f>
        <v>1273169.8900000001</v>
      </c>
      <c r="G662" s="19">
        <f>(L226+L306)-(J226+J306)</f>
        <v>630399.47</v>
      </c>
      <c r="H662" s="19">
        <f>(L244+L325)-(J244+J325)</f>
        <v>1300506.3299999998</v>
      </c>
      <c r="I662" s="19">
        <f>SUM(F662:H662)</f>
        <v>3204075.69</v>
      </c>
      <c r="J662"/>
      <c r="K662" s="13"/>
      <c r="L662" s="13"/>
      <c r="M662" s="8"/>
    </row>
    <row r="663" spans="1:13" s="3" customFormat="1" ht="12.2" customHeight="1" x14ac:dyDescent="0.15">
      <c r="A663" s="198" t="s">
        <v>129</v>
      </c>
      <c r="B663" s="169"/>
      <c r="C663" s="169"/>
      <c r="D663" s="169"/>
      <c r="E663" s="169"/>
      <c r="F663" s="199">
        <f>SUM(F575:F587)+SUM(H602:H604)+SUM(L611)</f>
        <v>801908.90999999992</v>
      </c>
      <c r="G663" s="199">
        <f>SUM(G575:G587)+SUM(I602:I604)+L612</f>
        <v>422438.27</v>
      </c>
      <c r="H663" s="199">
        <f>SUM(H575:H587)+SUM(J602:J604)+L613</f>
        <v>2013510.61</v>
      </c>
      <c r="I663" s="19">
        <f>SUM(F663:H663)</f>
        <v>3237857.79</v>
      </c>
      <c r="J663" s="13"/>
      <c r="K663" s="13"/>
      <c r="L663" s="13"/>
      <c r="M663" s="9"/>
    </row>
    <row r="664" spans="1:13" s="3" customFormat="1" ht="12.2" customHeight="1" x14ac:dyDescent="0.15">
      <c r="A664" s="1" t="s">
        <v>130</v>
      </c>
      <c r="F664" s="19">
        <f>F660-SUM(F661:F663)</f>
        <v>31902684.15454882</v>
      </c>
      <c r="G664" s="19">
        <f>G660-SUM(G661:G663)</f>
        <v>14044130.757843455</v>
      </c>
      <c r="H664" s="19">
        <f>H660-SUM(H661:H663)</f>
        <v>24742125.817607727</v>
      </c>
      <c r="I664" s="19">
        <f>I660-SUM(I661:I663)</f>
        <v>70688940.730000004</v>
      </c>
      <c r="J664" s="13"/>
      <c r="K664" s="13"/>
      <c r="L664" s="13"/>
      <c r="M664" s="9"/>
    </row>
    <row r="665" spans="1:13" s="3" customFormat="1" ht="12.2" customHeight="1" x14ac:dyDescent="0.2">
      <c r="A665" s="1" t="s">
        <v>131</v>
      </c>
      <c r="F665" s="246">
        <v>1851.29</v>
      </c>
      <c r="G665" s="247">
        <v>948.63</v>
      </c>
      <c r="H665" s="247">
        <v>1592.11</v>
      </c>
      <c r="I665" s="19">
        <f>SUM(F665:H665)</f>
        <v>4392.03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17232.68</v>
      </c>
      <c r="G667" s="19">
        <f>ROUND(G664/G665,2)</f>
        <v>14804.65</v>
      </c>
      <c r="H667" s="19">
        <f>ROUND(H664/H665,2)</f>
        <v>15540.46</v>
      </c>
      <c r="I667" s="19">
        <f>ROUND(I664/I665,2)</f>
        <v>16094.82</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122.39</v>
      </c>
      <c r="I670" s="19">
        <f>SUM(F670:H670)</f>
        <v>122.39</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17232.68</v>
      </c>
      <c r="G672" s="19">
        <f>ROUND((G664+G669)/(G665+G670),2)</f>
        <v>14804.65</v>
      </c>
      <c r="H672" s="19">
        <f>ROUND((H664+H669)/(H665+H670),2)</f>
        <v>14431.1</v>
      </c>
      <c r="I672" s="19">
        <f>ROUND((I664+I669)/(I665+I670),2)</f>
        <v>15658.48</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J31" sqref="J3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Concord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20014861.349999998</v>
      </c>
      <c r="C9" s="229">
        <f>'DOE25'!G197+'DOE25'!G215+'DOE25'!G233+'DOE25'!G276+'DOE25'!G295+'DOE25'!G314</f>
        <v>9529164.2599999998</v>
      </c>
    </row>
    <row r="10" spans="1:3" x14ac:dyDescent="0.2">
      <c r="A10" t="s">
        <v>775</v>
      </c>
      <c r="B10" s="240">
        <v>19692406.280000001</v>
      </c>
      <c r="C10" s="240">
        <f>B10/B9*C9</f>
        <v>9375641.970998494</v>
      </c>
    </row>
    <row r="11" spans="1:3" x14ac:dyDescent="0.2">
      <c r="A11" t="s">
        <v>776</v>
      </c>
      <c r="B11" s="240">
        <v>76842.95</v>
      </c>
      <c r="C11" s="240">
        <f>B11/B9*C9</f>
        <v>36585.269314042336</v>
      </c>
    </row>
    <row r="12" spans="1:3" x14ac:dyDescent="0.2">
      <c r="A12" t="s">
        <v>777</v>
      </c>
      <c r="B12" s="240">
        <f>B9-B10-B11</f>
        <v>245612.11999999656</v>
      </c>
      <c r="C12" s="240">
        <f>B12/B9*C9</f>
        <v>116937.01968746333</v>
      </c>
    </row>
    <row r="13" spans="1:3" x14ac:dyDescent="0.2">
      <c r="A13" t="str">
        <f>IF(B9=B13,IF(C9=C13,"Check Total OK","Check Total Error"),"Check Total Error")</f>
        <v>Check Total OK</v>
      </c>
      <c r="B13" s="231">
        <f>SUM(B10:B12)</f>
        <v>20014861.349999998</v>
      </c>
      <c r="C13" s="231">
        <f>SUM(C10:C12)</f>
        <v>9529164.2599999998</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8811886.4400000013</v>
      </c>
      <c r="C18" s="229">
        <f>'DOE25'!G198+'DOE25'!G216+'DOE25'!G234+'DOE25'!G277+'DOE25'!G296+'DOE25'!G315</f>
        <v>3551897.7499999995</v>
      </c>
    </row>
    <row r="19" spans="1:3" x14ac:dyDescent="0.2">
      <c r="A19" t="s">
        <v>775</v>
      </c>
      <c r="B19" s="240">
        <v>4598739.08</v>
      </c>
      <c r="C19" s="240">
        <f>B19/B18*C18</f>
        <v>1853661.0863415832</v>
      </c>
    </row>
    <row r="20" spans="1:3" x14ac:dyDescent="0.2">
      <c r="A20" t="s">
        <v>776</v>
      </c>
      <c r="B20" s="240">
        <v>3704175.43</v>
      </c>
      <c r="C20" s="240">
        <f>B20/B18*C18</f>
        <v>1493080.1100317265</v>
      </c>
    </row>
    <row r="21" spans="1:3" x14ac:dyDescent="0.2">
      <c r="A21" t="s">
        <v>777</v>
      </c>
      <c r="B21" s="240">
        <f>B18-B19-B20</f>
        <v>508971.9300000011</v>
      </c>
      <c r="C21" s="240">
        <f>B21/B18*C18</f>
        <v>205156.55362668983</v>
      </c>
    </row>
    <row r="22" spans="1:3" x14ac:dyDescent="0.2">
      <c r="A22" t="str">
        <f>IF(B18=B22,IF(C18=C22,"Check Total OK","Check Total Error"),"Check Total Error")</f>
        <v>Check Total OK</v>
      </c>
      <c r="B22" s="231">
        <f>SUM(B19:B21)</f>
        <v>8811886.4400000013</v>
      </c>
      <c r="C22" s="231">
        <f>SUM(C19:C21)</f>
        <v>3551897.75</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1116424.3799999999</v>
      </c>
      <c r="C27" s="234">
        <f>'DOE25'!G199+'DOE25'!G217+'DOE25'!G235+'DOE25'!G278+'DOE25'!G297+'DOE25'!G316</f>
        <v>559370.52</v>
      </c>
    </row>
    <row r="28" spans="1:3" x14ac:dyDescent="0.2">
      <c r="A28" t="s">
        <v>775</v>
      </c>
      <c r="B28" s="240">
        <v>904308.01</v>
      </c>
      <c r="C28" s="240">
        <f>B28/B27*C27</f>
        <v>453092.25672218413</v>
      </c>
    </row>
    <row r="29" spans="1:3" x14ac:dyDescent="0.2">
      <c r="A29" t="s">
        <v>776</v>
      </c>
      <c r="B29" s="240">
        <v>37514.910000000003</v>
      </c>
      <c r="C29" s="240">
        <f>B29/B27*C27</f>
        <v>18796.378053346707</v>
      </c>
    </row>
    <row r="30" spans="1:3" x14ac:dyDescent="0.2">
      <c r="A30" t="s">
        <v>777</v>
      </c>
      <c r="B30" s="240">
        <f>B27-B28-B29</f>
        <v>174601.45999999988</v>
      </c>
      <c r="C30" s="240">
        <f>B30/B27*C27</f>
        <v>87481.885224469166</v>
      </c>
    </row>
    <row r="31" spans="1:3" x14ac:dyDescent="0.2">
      <c r="A31" t="str">
        <f>IF(B27=B31,IF(C27=C31,"Check Total OK","Check Total Error"),"Check Total Error")</f>
        <v>Check Total OK</v>
      </c>
      <c r="B31" s="231">
        <f>SUM(B28:B30)</f>
        <v>1116424.3799999999</v>
      </c>
      <c r="C31" s="231">
        <f>SUM(C28:C30)</f>
        <v>559370.52</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920194.2</v>
      </c>
      <c r="C36" s="235">
        <f>'DOE25'!G200+'DOE25'!G218+'DOE25'!G236+'DOE25'!G279+'DOE25'!G298+'DOE25'!G317</f>
        <v>208120.12000000002</v>
      </c>
    </row>
    <row r="37" spans="1:3" x14ac:dyDescent="0.2">
      <c r="A37" t="s">
        <v>775</v>
      </c>
      <c r="B37" s="240">
        <v>0</v>
      </c>
      <c r="C37" s="240">
        <f>B37/B36*C36</f>
        <v>0</v>
      </c>
    </row>
    <row r="38" spans="1:3" x14ac:dyDescent="0.2">
      <c r="A38" t="s">
        <v>776</v>
      </c>
      <c r="B38" s="240">
        <v>0</v>
      </c>
      <c r="C38" s="240">
        <f>B38/B36*C36</f>
        <v>0</v>
      </c>
    </row>
    <row r="39" spans="1:3" x14ac:dyDescent="0.2">
      <c r="A39" t="s">
        <v>777</v>
      </c>
      <c r="B39" s="240">
        <f>B36-B37-B38</f>
        <v>920194.2</v>
      </c>
      <c r="C39" s="240">
        <f>B39/B36*C36</f>
        <v>208120.12000000002</v>
      </c>
    </row>
    <row r="40" spans="1:3" x14ac:dyDescent="0.2">
      <c r="A40" t="str">
        <f>IF(B36=B40,IF(C36=C40,"Check Total OK","Check Total Error"),"Check Total Error")</f>
        <v>Check Total OK</v>
      </c>
      <c r="B40" s="231">
        <f>SUM(B37:B39)</f>
        <v>920194.2</v>
      </c>
      <c r="C40" s="231">
        <f>SUM(C37:C39)</f>
        <v>208120.12000000002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Normal="10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Concord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46937088.590000004</v>
      </c>
      <c r="D5" s="20">
        <f>SUM('DOE25'!L197:L200)+SUM('DOE25'!L215:L218)+SUM('DOE25'!L233:L236)-F5-G5-H5</f>
        <v>45550143.780000001</v>
      </c>
      <c r="E5" s="243"/>
      <c r="F5" s="244">
        <v>958137.52</v>
      </c>
      <c r="G5" s="53">
        <f>SUM('DOE25'!J197:J200)+SUM('DOE25'!J215:J218)+SUM('DOE25'!J233:J236)</f>
        <v>383236.70999999996</v>
      </c>
      <c r="H5" s="53">
        <f>SUM('DOE25'!K197:K200)+SUM('DOE25'!K215:K218)+SUM('DOE25'!K233:K236)</f>
        <v>45570.58</v>
      </c>
      <c r="I5" s="256"/>
    </row>
    <row r="6" spans="1:9" x14ac:dyDescent="0.2">
      <c r="A6" s="32">
        <v>2100</v>
      </c>
      <c r="B6" t="s">
        <v>796</v>
      </c>
      <c r="C6" s="276">
        <f t="shared" si="0"/>
        <v>6021353.46</v>
      </c>
      <c r="D6" s="20">
        <f>'DOE25'!L202+'DOE25'!L220+'DOE25'!L238-F6-G6-H6</f>
        <v>5919339.1000000006</v>
      </c>
      <c r="E6" s="243"/>
      <c r="F6" s="244">
        <v>93849.93</v>
      </c>
      <c r="G6" s="53">
        <f>'DOE25'!J202+'DOE25'!J220+'DOE25'!J238</f>
        <v>7071.9299999999994</v>
      </c>
      <c r="H6" s="53">
        <f>'DOE25'!K202+'DOE25'!K220+'DOE25'!K238</f>
        <v>1092.5</v>
      </c>
      <c r="I6" s="256"/>
    </row>
    <row r="7" spans="1:9" x14ac:dyDescent="0.2">
      <c r="A7" s="32">
        <v>2200</v>
      </c>
      <c r="B7" t="s">
        <v>821</v>
      </c>
      <c r="C7" s="276">
        <f t="shared" si="0"/>
        <v>3849190.0700000003</v>
      </c>
      <c r="D7" s="20">
        <f>'DOE25'!L203+'DOE25'!L221+'DOE25'!L239-F7-G7-H7</f>
        <v>3346745.5300000003</v>
      </c>
      <c r="E7" s="243"/>
      <c r="F7" s="244"/>
      <c r="G7" s="53">
        <f>'DOE25'!J203+'DOE25'!J221+'DOE25'!J239</f>
        <v>498966.79</v>
      </c>
      <c r="H7" s="53">
        <f>'DOE25'!K203+'DOE25'!K221+'DOE25'!K239</f>
        <v>3477.75</v>
      </c>
      <c r="I7" s="256"/>
    </row>
    <row r="8" spans="1:9" x14ac:dyDescent="0.2">
      <c r="A8" s="32">
        <v>2300</v>
      </c>
      <c r="B8" t="s">
        <v>797</v>
      </c>
      <c r="C8" s="276">
        <f t="shared" si="0"/>
        <v>438532.03000000009</v>
      </c>
      <c r="D8" s="243"/>
      <c r="E8" s="20">
        <f>'DOE25'!L204+'DOE25'!L222+'DOE25'!L240-F8-G8-H8-D9-D11</f>
        <v>425858.31000000006</v>
      </c>
      <c r="F8" s="244"/>
      <c r="G8" s="53">
        <f>'DOE25'!J204+'DOE25'!J222+'DOE25'!J240</f>
        <v>2418.8199999999997</v>
      </c>
      <c r="H8" s="53">
        <f>'DOE25'!K204+'DOE25'!K222+'DOE25'!K240</f>
        <v>10254.9</v>
      </c>
      <c r="I8" s="256"/>
    </row>
    <row r="9" spans="1:9" ht="14.25" x14ac:dyDescent="0.2">
      <c r="A9" s="32">
        <v>2310</v>
      </c>
      <c r="B9" s="185" t="s">
        <v>890</v>
      </c>
      <c r="C9" s="276">
        <f t="shared" si="0"/>
        <v>20144.189999999999</v>
      </c>
      <c r="D9" s="244">
        <v>20144.189999999999</v>
      </c>
      <c r="E9" s="243"/>
      <c r="F9" s="253"/>
      <c r="G9" s="253"/>
      <c r="H9" s="253"/>
      <c r="I9" s="256"/>
    </row>
    <row r="10" spans="1:9" ht="14.25" x14ac:dyDescent="0.2">
      <c r="A10" s="32">
        <v>2317</v>
      </c>
      <c r="B10" s="185" t="s">
        <v>891</v>
      </c>
      <c r="C10" s="276">
        <f t="shared" si="0"/>
        <v>46850</v>
      </c>
      <c r="D10" s="243"/>
      <c r="E10" s="244">
        <v>46850</v>
      </c>
      <c r="F10" s="253"/>
      <c r="G10" s="253"/>
      <c r="H10" s="253"/>
      <c r="I10" s="256"/>
    </row>
    <row r="11" spans="1:9" ht="14.25" x14ac:dyDescent="0.2">
      <c r="A11" s="32">
        <v>2321</v>
      </c>
      <c r="B11" s="185" t="s">
        <v>892</v>
      </c>
      <c r="C11" s="276">
        <f t="shared" si="0"/>
        <v>548315.27999999991</v>
      </c>
      <c r="D11" s="244">
        <f>150218+23347.2+1665.2+10263.62+16948.1+137724.12+17293.8+1040+9943.63+14878.76+55258.06+17749+1040+4001.14+6288.36+46410+23961.6+1665.2+3338.11+5281.38</f>
        <v>548315.27999999991</v>
      </c>
      <c r="E11" s="243"/>
      <c r="F11" s="253"/>
      <c r="G11" s="253"/>
      <c r="H11" s="253"/>
      <c r="I11" s="256"/>
    </row>
    <row r="12" spans="1:9" x14ac:dyDescent="0.2">
      <c r="A12" s="32">
        <v>2400</v>
      </c>
      <c r="B12" t="s">
        <v>711</v>
      </c>
      <c r="C12" s="276">
        <f t="shared" si="0"/>
        <v>3835861.55</v>
      </c>
      <c r="D12" s="20">
        <f>'DOE25'!L205+'DOE25'!L223+'DOE25'!L241-F12-G12-H12</f>
        <v>3775450.12</v>
      </c>
      <c r="E12" s="243"/>
      <c r="F12" s="244"/>
      <c r="G12" s="53">
        <f>'DOE25'!J205+'DOE25'!J223+'DOE25'!J241</f>
        <v>30766.67</v>
      </c>
      <c r="H12" s="53">
        <f>'DOE25'!K205+'DOE25'!K223+'DOE25'!K241</f>
        <v>29644.760000000002</v>
      </c>
      <c r="I12" s="256"/>
    </row>
    <row r="13" spans="1:9" x14ac:dyDescent="0.2">
      <c r="A13" s="32">
        <v>2500</v>
      </c>
      <c r="B13" t="s">
        <v>798</v>
      </c>
      <c r="C13" s="276">
        <f t="shared" si="0"/>
        <v>849299.75</v>
      </c>
      <c r="D13" s="243"/>
      <c r="E13" s="20">
        <f>'DOE25'!L206+'DOE25'!L224+'DOE25'!L242-F13-G13-H13</f>
        <v>789347.94</v>
      </c>
      <c r="F13" s="244"/>
      <c r="G13" s="53">
        <f>'DOE25'!J206+'DOE25'!J224+'DOE25'!J242</f>
        <v>9656.8100000000013</v>
      </c>
      <c r="H13" s="53">
        <f>'DOE25'!K206+'DOE25'!K224+'DOE25'!K242</f>
        <v>50295</v>
      </c>
      <c r="I13" s="256"/>
    </row>
    <row r="14" spans="1:9" x14ac:dyDescent="0.2">
      <c r="A14" s="32">
        <v>2600</v>
      </c>
      <c r="B14" t="s">
        <v>819</v>
      </c>
      <c r="C14" s="276">
        <f t="shared" si="0"/>
        <v>5805298.79</v>
      </c>
      <c r="D14" s="20">
        <f>'DOE25'!L207+'DOE25'!L225+'DOE25'!L243-F14-G14-H14</f>
        <v>5518919.8900000006</v>
      </c>
      <c r="E14" s="243"/>
      <c r="F14" s="244">
        <v>104678.1</v>
      </c>
      <c r="G14" s="53">
        <f>'DOE25'!J207+'DOE25'!J225+'DOE25'!J243</f>
        <v>180920.8</v>
      </c>
      <c r="H14" s="53">
        <f>'DOE25'!K207+'DOE25'!K225+'DOE25'!K243</f>
        <v>780</v>
      </c>
      <c r="I14" s="256"/>
    </row>
    <row r="15" spans="1:9" x14ac:dyDescent="0.2">
      <c r="A15" s="32">
        <v>2700</v>
      </c>
      <c r="B15" t="s">
        <v>799</v>
      </c>
      <c r="C15" s="276">
        <f t="shared" si="0"/>
        <v>3065797</v>
      </c>
      <c r="D15" s="20">
        <f>'DOE25'!L208+'DOE25'!L226+'DOE25'!L244-F15-G15-H15</f>
        <v>3017965.46</v>
      </c>
      <c r="E15" s="243"/>
      <c r="F15" s="244"/>
      <c r="G15" s="53">
        <f>'DOE25'!J208+'DOE25'!J226+'DOE25'!J244</f>
        <v>46333.020000000004</v>
      </c>
      <c r="H15" s="53">
        <f>'DOE25'!K208+'DOE25'!K226+'DOE25'!K244</f>
        <v>1498.52</v>
      </c>
      <c r="I15" s="256"/>
    </row>
    <row r="16" spans="1:9" x14ac:dyDescent="0.2">
      <c r="A16" s="32">
        <v>2800</v>
      </c>
      <c r="B16" t="s">
        <v>800</v>
      </c>
      <c r="C16" s="276">
        <f t="shared" si="0"/>
        <v>583214.31999999995</v>
      </c>
      <c r="D16" s="243"/>
      <c r="E16" s="20">
        <f>'DOE25'!L209+'DOE25'!L227+'DOE25'!L245-F16-G16-H16</f>
        <v>529436.85</v>
      </c>
      <c r="F16" s="244">
        <v>24850</v>
      </c>
      <c r="G16" s="53">
        <f>'DOE25'!J209+'DOE25'!J227+'DOE25'!J245</f>
        <v>28927.47</v>
      </c>
      <c r="H16" s="53">
        <f>'DOE25'!K209+'DOE25'!K227+'DOE25'!K245</f>
        <v>0</v>
      </c>
      <c r="I16" s="256"/>
    </row>
    <row r="17" spans="1:9" x14ac:dyDescent="0.2">
      <c r="A17" s="32">
        <v>1600</v>
      </c>
      <c r="B17" t="s">
        <v>801</v>
      </c>
      <c r="C17" s="276">
        <f t="shared" si="0"/>
        <v>110636.76000000001</v>
      </c>
      <c r="D17" s="20">
        <f>'DOE25'!L251-F17-G17-H17</f>
        <v>110255.67000000001</v>
      </c>
      <c r="E17" s="243"/>
      <c r="F17" s="244"/>
      <c r="G17" s="53">
        <f>'DOE25'!J251</f>
        <v>0</v>
      </c>
      <c r="H17" s="53">
        <f>'DOE25'!K251</f>
        <v>381.09</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1723200.6199999999</v>
      </c>
      <c r="D22" s="243"/>
      <c r="E22" s="243"/>
      <c r="F22" s="243"/>
      <c r="G22" s="53">
        <f>'DOE25'!L255+'DOE25'!L336</f>
        <v>1723200.6199999999</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5875668</v>
      </c>
      <c r="D25" s="243"/>
      <c r="E25" s="243"/>
      <c r="F25" s="255"/>
      <c r="G25" s="253"/>
      <c r="H25" s="253"/>
      <c r="I25" s="254">
        <f>'DOE25'!L260+'DOE25'!L261+'DOE25'!L341+'DOE25'!L342</f>
        <v>5875668</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997441.89999999991</v>
      </c>
      <c r="D29" s="284">
        <f>'DOE25'!L358+'DOE25'!L359+'DOE25'!L360-'DOE25'!I367-F29-G29-H29</f>
        <v>969478.7</v>
      </c>
      <c r="E29" s="243"/>
      <c r="F29" s="244">
        <v>0</v>
      </c>
      <c r="G29" s="53">
        <f>'DOE25'!J358+'DOE25'!J359+'DOE25'!J360</f>
        <v>26680.7</v>
      </c>
      <c r="H29" s="53">
        <f>'DOE25'!K358+'DOE25'!K359+'DOE25'!K360</f>
        <v>1282.5</v>
      </c>
      <c r="I29" s="256"/>
    </row>
    <row r="30" spans="1:9" x14ac:dyDescent="0.2">
      <c r="A30" s="32"/>
      <c r="C30" s="277"/>
      <c r="D30" s="20"/>
      <c r="E30" s="281"/>
      <c r="F30" s="271"/>
      <c r="G30" s="53"/>
      <c r="H30" s="53"/>
      <c r="I30" s="256"/>
    </row>
    <row r="31" spans="1:9" x14ac:dyDescent="0.2">
      <c r="A31" s="32" t="s">
        <v>818</v>
      </c>
      <c r="B31" t="s">
        <v>817</v>
      </c>
      <c r="C31" s="276">
        <f>SUM(D31:I31)</f>
        <v>4128576.1100000003</v>
      </c>
      <c r="D31" s="20">
        <f>'DOE25'!L290+'DOE25'!L309+'DOE25'!L328+'DOE25'!L333+'DOE25'!L334+'DOE25'!L335-F31-G31-H31</f>
        <v>4003185.6900000004</v>
      </c>
      <c r="E31" s="243"/>
      <c r="F31" s="244">
        <v>42949.120000000003</v>
      </c>
      <c r="G31" s="53">
        <f>'DOE25'!J290+'DOE25'!J309+'DOE25'!J328+'DOE25'!J333+'DOE25'!J334+'DOE25'!J335</f>
        <v>60482.77</v>
      </c>
      <c r="H31" s="53">
        <f>'DOE25'!K290+'DOE25'!K309+'DOE25'!K328+'DOE25'!K333+'DOE25'!K334+'DOE25'!K335</f>
        <v>21958.530000000002</v>
      </c>
      <c r="I31" s="256"/>
    </row>
    <row r="32" spans="1:9" ht="12" thickBot="1" x14ac:dyDescent="0.25">
      <c r="C32" s="277"/>
      <c r="G32" s="251"/>
      <c r="H32" s="251"/>
      <c r="I32" s="258"/>
    </row>
    <row r="33" spans="1:9" ht="12" thickTop="1" x14ac:dyDescent="0.2">
      <c r="B33" t="s">
        <v>809</v>
      </c>
      <c r="D33" s="245">
        <f t="shared" ref="D33:I33" si="1">SUM(D5:D31)</f>
        <v>72779943.409999996</v>
      </c>
      <c r="E33" s="245">
        <f t="shared" si="1"/>
        <v>1791493.1</v>
      </c>
      <c r="F33" s="245">
        <f t="shared" si="1"/>
        <v>1224464.6700000002</v>
      </c>
      <c r="G33" s="245">
        <f t="shared" si="1"/>
        <v>2998663.11</v>
      </c>
      <c r="H33" s="245">
        <f t="shared" si="1"/>
        <v>166236.12999999998</v>
      </c>
      <c r="I33" s="245">
        <f t="shared" si="1"/>
        <v>5875668</v>
      </c>
    </row>
    <row r="35" spans="1:9" ht="12" thickBot="1" x14ac:dyDescent="0.25">
      <c r="B35" s="251" t="s">
        <v>831</v>
      </c>
      <c r="D35" s="252">
        <f>E33</f>
        <v>1791493.1</v>
      </c>
      <c r="E35" s="248"/>
    </row>
    <row r="36" spans="1:9" ht="12" thickTop="1" x14ac:dyDescent="0.2">
      <c r="B36" t="s">
        <v>810</v>
      </c>
      <c r="D36" s="20">
        <f>D33</f>
        <v>72779943.409999996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3" zoomScaleNormal="100" workbookViewId="0">
      <selection activeCell="F1" sqref="F1:F104857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Concord School District</v>
      </c>
      <c r="B2" s="126">
        <f>'DOE25'!B2</f>
        <v>111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33441233.899999999</v>
      </c>
      <c r="G4" s="303">
        <f>'DOE25'!L211+'DOE25'!L290</f>
        <v>33441233.899999999</v>
      </c>
      <c r="H4" s="304">
        <f>F4-G4</f>
        <v>0</v>
      </c>
      <c r="I4" s="310" t="str">
        <f>IF(H4=0,"","Does not match DOE25 page 7 and 11 Totals!!")</f>
        <v/>
      </c>
      <c r="N4"/>
    </row>
    <row r="5" spans="1:18" x14ac:dyDescent="0.2">
      <c r="A5" s="21" t="s">
        <v>985</v>
      </c>
      <c r="B5" s="305">
        <f>IFERROR(VLOOKUP(A5,'School Tables'!$C$3:$D$368,2,FALSE),"")</f>
        <v>26490</v>
      </c>
      <c r="C5" s="297" t="str">
        <f>IFERROR(INDEX('School Tables'!$B$3:$B$368,MATCH('School Level Expenditures'!B5,'School Tables'!$D$3:$D$368,0)),"")</f>
        <v>Concord</v>
      </c>
      <c r="D5" s="294">
        <v>4026474.78</v>
      </c>
      <c r="E5" s="294">
        <v>459689.68</v>
      </c>
      <c r="F5" s="313">
        <f>D5+E5</f>
        <v>4486164.46</v>
      </c>
      <c r="G5" s="297"/>
      <c r="H5" s="297"/>
      <c r="I5" s="126"/>
      <c r="N5"/>
    </row>
    <row r="6" spans="1:18" x14ac:dyDescent="0.2">
      <c r="A6" s="21" t="s">
        <v>988</v>
      </c>
      <c r="B6" s="305">
        <f>IFERROR(VLOOKUP(A6,'School Tables'!$C$3:$D$368,2,FALSE),"")</f>
        <v>20260</v>
      </c>
      <c r="C6" s="297" t="str">
        <f>IFERROR(INDEX('School Tables'!$B$3:$B$368,MATCH('School Level Expenditures'!B6,'School Tables'!$D$3:$D$368,0)),"")</f>
        <v>Concord</v>
      </c>
      <c r="D6" s="294">
        <v>4391408.41</v>
      </c>
      <c r="E6" s="294">
        <v>362317.77</v>
      </c>
      <c r="F6" s="308">
        <f t="shared" ref="F6:F20" si="0">D6+E6</f>
        <v>4753726.18</v>
      </c>
      <c r="G6" s="297"/>
      <c r="H6" s="297"/>
      <c r="I6" s="126"/>
      <c r="N6"/>
    </row>
    <row r="7" spans="1:18" x14ac:dyDescent="0.2">
      <c r="A7" s="21" t="s">
        <v>986</v>
      </c>
      <c r="B7" s="305">
        <f>IFERROR(VLOOKUP(A7,'School Tables'!$C$3:$D$368,2,FALSE),"")</f>
        <v>20240</v>
      </c>
      <c r="C7" s="297" t="str">
        <f>IFERROR(INDEX('School Tables'!$B$3:$B$368,MATCH('School Level Expenditures'!B7,'School Tables'!$D$3:$D$368,0)),"")</f>
        <v>Concord</v>
      </c>
      <c r="D7" s="294">
        <v>4139658.64</v>
      </c>
      <c r="E7" s="294">
        <v>383301.68</v>
      </c>
      <c r="F7" s="308">
        <f t="shared" si="0"/>
        <v>4522960.32</v>
      </c>
      <c r="G7" s="297"/>
      <c r="H7" s="297"/>
      <c r="I7" s="126"/>
      <c r="N7"/>
    </row>
    <row r="8" spans="1:18" x14ac:dyDescent="0.2">
      <c r="A8" s="21" t="s">
        <v>987</v>
      </c>
      <c r="B8" s="305">
        <f>IFERROR(VLOOKUP(A8,'School Tables'!$C$3:$D$368,2,FALSE),"")</f>
        <v>20250</v>
      </c>
      <c r="C8" s="297" t="str">
        <f>IFERROR(INDEX('School Tables'!$B$3:$B$368,MATCH('School Level Expenditures'!B8,'School Tables'!$D$3:$D$368,0)),"")</f>
        <v>Concord</v>
      </c>
      <c r="D8" s="294">
        <v>4503656.68</v>
      </c>
      <c r="E8" s="294">
        <v>249715.27</v>
      </c>
      <c r="F8" s="308">
        <f t="shared" si="0"/>
        <v>4753371.9499999993</v>
      </c>
      <c r="G8" s="297"/>
      <c r="H8" s="297"/>
      <c r="I8" s="126"/>
      <c r="N8"/>
    </row>
    <row r="9" spans="1:18" x14ac:dyDescent="0.2">
      <c r="A9" s="21" t="s">
        <v>991</v>
      </c>
      <c r="B9" s="305">
        <f>IFERROR(VLOOKUP(A9,'School Tables'!$C$3:$D$368,2,FALSE),"")</f>
        <v>20305</v>
      </c>
      <c r="C9" s="297" t="str">
        <f>IFERROR(INDEX('School Tables'!$B$3:$B$368,MATCH('School Level Expenditures'!B9,'School Tables'!$D$3:$D$368,0)),"")</f>
        <v>Concord</v>
      </c>
      <c r="D9" s="294">
        <v>4423353.8899999997</v>
      </c>
      <c r="E9" s="294">
        <v>343646.08</v>
      </c>
      <c r="F9" s="308">
        <f t="shared" si="0"/>
        <v>4766999.97</v>
      </c>
      <c r="G9" s="297"/>
      <c r="H9" s="297"/>
      <c r="I9" s="126"/>
      <c r="N9"/>
    </row>
    <row r="10" spans="1:18" x14ac:dyDescent="0.2">
      <c r="A10" s="21" t="s">
        <v>1586</v>
      </c>
      <c r="B10" s="305">
        <f>IFERROR(VLOOKUP(A10,'School Tables'!$C$3:$D$368,2,FALSE),"")</f>
        <v>99999</v>
      </c>
      <c r="C10" s="297" t="str">
        <f>IFERROR(INDEX('School Tables'!$B$3:$B$368,MATCH('School Level Expenditures'!B10,'School Tables'!$D$3:$D$368,0)),"")</f>
        <v>Other District Expenditures</v>
      </c>
      <c r="D10" s="294">
        <f>4692783.88+4762236.48</f>
        <v>9455020.3599999994</v>
      </c>
      <c r="E10" s="294">
        <f>831331.24-128340.58</f>
        <v>702990.66</v>
      </c>
      <c r="F10" s="308">
        <f t="shared" si="0"/>
        <v>10158011.02</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14890892.140000001</v>
      </c>
      <c r="G24" s="303">
        <f>'DOE25'!L229+'DOE25'!L309</f>
        <v>14890892.140000002</v>
      </c>
      <c r="H24" s="304">
        <f>F24-G24</f>
        <v>0</v>
      </c>
      <c r="I24" s="310" t="str">
        <f>IF(H24=0,"","Does not match DOE25 page 8 and 12 Totals!!")</f>
        <v/>
      </c>
      <c r="N24"/>
    </row>
    <row r="25" spans="1:14" x14ac:dyDescent="0.2">
      <c r="A25" s="21" t="s">
        <v>989</v>
      </c>
      <c r="B25" s="305">
        <f>IFERROR(VLOOKUP(A25,'School Tables'!$I$3:$J$80,2,FALSE),"")</f>
        <v>20270</v>
      </c>
      <c r="C25" s="297" t="str">
        <f t="array" ref="C25">IFERROR(INDEX('School Tables'!$H$3:$H$80,MATCH('School Level Expenditures'!B25,'School Tables'!$J$3:$J$80,0)),"")</f>
        <v>Concord</v>
      </c>
      <c r="D25" s="294">
        <v>14207935.630000001</v>
      </c>
      <c r="E25" s="294">
        <v>682956.51</v>
      </c>
      <c r="F25" s="308">
        <f>D25+E25</f>
        <v>14890892.140000001</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27671352.690000001</v>
      </c>
      <c r="G36" s="303">
        <f>'DOE25'!L247+'DOE25'!L328</f>
        <v>27671352.690000001</v>
      </c>
      <c r="H36" s="304">
        <f>F36-G36</f>
        <v>0</v>
      </c>
      <c r="I36" s="310" t="str">
        <f>IF(H36=0,"","Does not match DOE25 page 9 and 13 Totals!!")</f>
        <v/>
      </c>
      <c r="N36"/>
    </row>
    <row r="37" spans="1:14" x14ac:dyDescent="0.2">
      <c r="A37" s="21" t="s">
        <v>990</v>
      </c>
      <c r="B37" s="305">
        <f>IFERROR(VLOOKUP(A37,'School Tables'!$O$3:$P$122,2,FALSE),"")</f>
        <v>20285</v>
      </c>
      <c r="C37" s="297" t="str">
        <f t="array" ref="C37">IFERROR(INDEX('School Tables'!$N$3:$N$122,MATCH('School Level Expenditures'!B37,'School Tables'!$P$3:$P$122,0)),"")</f>
        <v>Concord</v>
      </c>
      <c r="D37" s="294">
        <v>26806586.640000001</v>
      </c>
      <c r="E37" s="294">
        <v>864766.05</v>
      </c>
      <c r="F37" s="308">
        <f>D37+E37</f>
        <v>27671352.690000001</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Concord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4717065.07</v>
      </c>
      <c r="D8" s="95">
        <f>'DOE25'!G9</f>
        <v>297108.74</v>
      </c>
      <c r="E8" s="95">
        <f>'DOE25'!H9</f>
        <v>-200340.99</v>
      </c>
      <c r="F8" s="95">
        <f>'DOE25'!I9</f>
        <v>191166.04</v>
      </c>
      <c r="G8" s="95">
        <f>'DOE25'!J9</f>
        <v>0</v>
      </c>
      <c r="H8" s="124"/>
      <c r="I8" s="124"/>
    </row>
    <row r="9" spans="1:9" x14ac:dyDescent="0.2">
      <c r="A9" s="1" t="s">
        <v>140</v>
      </c>
      <c r="B9" s="6">
        <v>110</v>
      </c>
      <c r="C9" s="95">
        <f>'DOE25'!F10</f>
        <v>0</v>
      </c>
      <c r="D9" s="95">
        <f>'DOE25'!G10</f>
        <v>0</v>
      </c>
      <c r="E9" s="95">
        <f>'DOE25'!H10</f>
        <v>0</v>
      </c>
      <c r="F9" s="95">
        <f>'DOE25'!I10</f>
        <v>2511373.86</v>
      </c>
      <c r="G9" s="95">
        <f>'DOE25'!J10</f>
        <v>8562672.2300000004</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119860298.87</v>
      </c>
      <c r="D11" s="95">
        <f>'DOE25'!G12</f>
        <v>6883298.0300000003</v>
      </c>
      <c r="E11" s="95">
        <f>'DOE25'!H12</f>
        <v>46196099.549999997</v>
      </c>
      <c r="F11" s="95">
        <f>'DOE25'!I12</f>
        <v>67576312.769999996</v>
      </c>
      <c r="G11" s="95">
        <f>'DOE25'!J12</f>
        <v>-1703884.8</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862880.67</v>
      </c>
      <c r="D13" s="95">
        <f>'DOE25'!G14</f>
        <v>187354.78</v>
      </c>
      <c r="E13" s="95">
        <f>'DOE25'!H14</f>
        <v>1178248.1100000001</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425.81</v>
      </c>
      <c r="D15" s="95">
        <f>'DOE25'!G16</f>
        <v>61633.120000000003</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107500</v>
      </c>
      <c r="D17" s="95">
        <f>'DOE25'!G18</f>
        <v>0</v>
      </c>
      <c r="E17" s="95">
        <f>'DOE25'!H18</f>
        <v>0</v>
      </c>
      <c r="F17" s="95">
        <f>'DOE25'!I18</f>
        <v>0</v>
      </c>
      <c r="G17" s="95">
        <f>'DOE25'!J18</f>
        <v>0</v>
      </c>
      <c r="H17" s="124"/>
      <c r="I17" s="124"/>
    </row>
    <row r="18" spans="1:9" ht="12" thickTop="1" x14ac:dyDescent="0.2">
      <c r="A18" s="38" t="s">
        <v>149</v>
      </c>
      <c r="B18" s="39"/>
      <c r="C18" s="41">
        <f>SUM(C8:C17)</f>
        <v>125548170.42</v>
      </c>
      <c r="D18" s="41">
        <f>SUM(D8:D17)</f>
        <v>7429394.6700000009</v>
      </c>
      <c r="E18" s="41">
        <f>SUM(E8:E17)</f>
        <v>47174006.669999994</v>
      </c>
      <c r="F18" s="41">
        <f>SUM(F8:F17)</f>
        <v>70278852.670000002</v>
      </c>
      <c r="G18" s="41">
        <f>SUM(G8:G17)</f>
        <v>6858787.4300000006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119238309.70999999</v>
      </c>
      <c r="D21" s="95">
        <f>'DOE25'!G22</f>
        <v>7182699.8899999997</v>
      </c>
      <c r="E21" s="95">
        <f>'DOE25'!H22</f>
        <v>46727110.530000001</v>
      </c>
      <c r="F21" s="95">
        <f>'DOE25'!I22</f>
        <v>67378937.760000005</v>
      </c>
      <c r="G21" s="95">
        <f>'DOE25'!J22</f>
        <v>-1715153.44</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229.7</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211415.34</v>
      </c>
      <c r="D27" s="95">
        <f>'DOE25'!G28</f>
        <v>1256.67</v>
      </c>
      <c r="E27" s="95">
        <f>'DOE25'!H28</f>
        <v>0</v>
      </c>
      <c r="F27" s="95">
        <f>'DOE25'!I28</f>
        <v>0</v>
      </c>
      <c r="G27" s="24" t="s">
        <v>288</v>
      </c>
      <c r="H27" s="124"/>
      <c r="I27" s="124"/>
    </row>
    <row r="28" spans="1:9" x14ac:dyDescent="0.2">
      <c r="A28" s="1" t="s">
        <v>157</v>
      </c>
      <c r="B28" s="6">
        <v>470</v>
      </c>
      <c r="C28" s="95">
        <f>'DOE25'!F29</f>
        <v>2034162.03</v>
      </c>
      <c r="D28" s="95">
        <f>'DOE25'!G29</f>
        <v>0</v>
      </c>
      <c r="E28" s="95">
        <f>'DOE25'!H29</f>
        <v>0</v>
      </c>
      <c r="F28" s="95">
        <f>'DOE25'!I29</f>
        <v>0</v>
      </c>
      <c r="G28" s="24" t="s">
        <v>288</v>
      </c>
      <c r="H28" s="124"/>
      <c r="I28" s="124"/>
    </row>
    <row r="29" spans="1:9" x14ac:dyDescent="0.2">
      <c r="A29" s="1" t="s">
        <v>158</v>
      </c>
      <c r="B29" s="6">
        <v>480</v>
      </c>
      <c r="C29" s="95">
        <f>'DOE25'!F30</f>
        <v>16805</v>
      </c>
      <c r="D29" s="95">
        <f>'DOE25'!G30</f>
        <v>37036.559999999998</v>
      </c>
      <c r="E29" s="95">
        <f>'DOE25'!H30</f>
        <v>116484.25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121500921.78</v>
      </c>
      <c r="D31" s="41">
        <f>SUM(D21:D30)</f>
        <v>7220993.1199999992</v>
      </c>
      <c r="E31" s="41">
        <f>SUM(E21:E30)</f>
        <v>46843594.780000001</v>
      </c>
      <c r="F31" s="41">
        <f>SUM(F21:F30)</f>
        <v>67378937.760000005</v>
      </c>
      <c r="G31" s="41">
        <f>SUM(G21:G30)</f>
        <v>-1715153.44</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2094458.03</v>
      </c>
      <c r="D44" s="95">
        <f>'DOE25'!G45</f>
        <v>20813.88</v>
      </c>
      <c r="E44" s="95">
        <f>'DOE25'!H45</f>
        <v>186465.05</v>
      </c>
      <c r="F44" s="95">
        <f>'DOE25'!I45</f>
        <v>1248289.79</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425.81</v>
      </c>
      <c r="D47" s="95">
        <f>'DOE25'!G48</f>
        <v>187587.67</v>
      </c>
      <c r="E47" s="95">
        <f>'DOE25'!H48</f>
        <v>143946.83999999659</v>
      </c>
      <c r="F47" s="95">
        <f>'DOE25'!I48</f>
        <v>1651625.1200000155</v>
      </c>
      <c r="G47" s="95">
        <f>'DOE25'!J48</f>
        <v>8573940.8699999992</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1952364.8</v>
      </c>
      <c r="D49" s="24" t="s">
        <v>288</v>
      </c>
      <c r="E49" s="24" t="s">
        <v>288</v>
      </c>
      <c r="F49" s="24" t="s">
        <v>288</v>
      </c>
      <c r="G49" s="24" t="s">
        <v>288</v>
      </c>
      <c r="H49" s="124"/>
      <c r="I49" s="124"/>
    </row>
    <row r="50" spans="1:9" ht="12.75" thickTop="1" thickBot="1" x14ac:dyDescent="0.25">
      <c r="A50" s="38" t="s">
        <v>884</v>
      </c>
      <c r="B50" s="48"/>
      <c r="C50" s="41">
        <f>SUM(C34:C49)</f>
        <v>4047248.64</v>
      </c>
      <c r="D50" s="41">
        <f>SUM(D34:D49)</f>
        <v>208401.55000000002</v>
      </c>
      <c r="E50" s="41">
        <f>SUM(E34:E49)</f>
        <v>330411.88999999658</v>
      </c>
      <c r="F50" s="41">
        <f>SUM(F34:F49)</f>
        <v>2899914.9100000155</v>
      </c>
      <c r="G50" s="41">
        <f>SUM(G34:G49)</f>
        <v>8573940.8699999992</v>
      </c>
      <c r="H50" s="124"/>
      <c r="I50" s="124"/>
    </row>
    <row r="51" spans="1:9" ht="12" thickTop="1" x14ac:dyDescent="0.2">
      <c r="A51" s="38" t="s">
        <v>885</v>
      </c>
      <c r="B51" s="2"/>
      <c r="C51" s="41">
        <f>C50+C31</f>
        <v>125548170.42</v>
      </c>
      <c r="D51" s="41">
        <f>D50+D31</f>
        <v>7429394.669999999</v>
      </c>
      <c r="E51" s="41">
        <f>E50+E31</f>
        <v>47174006.669999994</v>
      </c>
      <c r="F51" s="41">
        <f>F50+F31</f>
        <v>70278852.670000017</v>
      </c>
      <c r="G51" s="41">
        <f>G50+G31</f>
        <v>6858787.4299999997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50970025.979999997</v>
      </c>
      <c r="D56" s="95">
        <f>'DOE25'!G60</f>
        <v>0</v>
      </c>
      <c r="E56" s="95">
        <f>'DOE25'!H60</f>
        <v>0</v>
      </c>
      <c r="F56" s="95">
        <f>'DOE25'!I60</f>
        <v>0</v>
      </c>
      <c r="G56" s="95">
        <f>'DOE25'!J60</f>
        <v>0</v>
      </c>
      <c r="H56"/>
      <c r="I56"/>
    </row>
    <row r="57" spans="1:9" x14ac:dyDescent="0.2">
      <c r="A57" s="1" t="s">
        <v>164</v>
      </c>
      <c r="B57" s="6" t="s">
        <v>165</v>
      </c>
      <c r="C57" s="95">
        <f>'DOE25'!F79</f>
        <v>3529273.1900000004</v>
      </c>
      <c r="D57" s="24" t="s">
        <v>288</v>
      </c>
      <c r="E57" s="95">
        <f>'DOE25'!H79</f>
        <v>0</v>
      </c>
      <c r="F57" s="24" t="s">
        <v>288</v>
      </c>
      <c r="G57" s="24" t="s">
        <v>288</v>
      </c>
      <c r="H57"/>
      <c r="I57"/>
    </row>
    <row r="58" spans="1:9" x14ac:dyDescent="0.2">
      <c r="A58" s="1" t="s">
        <v>166</v>
      </c>
      <c r="B58" s="6" t="s">
        <v>167</v>
      </c>
      <c r="C58" s="95">
        <f>'DOE25'!F94</f>
        <v>228735.05</v>
      </c>
      <c r="D58" s="24" t="s">
        <v>288</v>
      </c>
      <c r="E58" s="95">
        <f>'DOE25'!H94</f>
        <v>0</v>
      </c>
      <c r="F58" s="24" t="s">
        <v>288</v>
      </c>
      <c r="G58" s="24" t="s">
        <v>288</v>
      </c>
      <c r="H58"/>
      <c r="I58"/>
    </row>
    <row r="59" spans="1:9" x14ac:dyDescent="0.2">
      <c r="A59" s="69" t="s">
        <v>168</v>
      </c>
      <c r="B59" s="37" t="s">
        <v>169</v>
      </c>
      <c r="C59" s="95">
        <f>'DOE25'!F96</f>
        <v>43566.69</v>
      </c>
      <c r="D59" s="95">
        <f>'DOE25'!G96</f>
        <v>26.69</v>
      </c>
      <c r="E59" s="95">
        <f>'DOE25'!H96</f>
        <v>0</v>
      </c>
      <c r="F59" s="95">
        <f>'DOE25'!I96</f>
        <v>15150.28</v>
      </c>
      <c r="G59" s="95">
        <f>'DOE25'!J96</f>
        <v>41306.89</v>
      </c>
      <c r="H59"/>
      <c r="I59"/>
    </row>
    <row r="60" spans="1:9" x14ac:dyDescent="0.2">
      <c r="A60" s="1" t="s">
        <v>170</v>
      </c>
      <c r="B60" s="118" t="s">
        <v>171</v>
      </c>
      <c r="C60" s="24" t="s">
        <v>288</v>
      </c>
      <c r="D60" s="95">
        <f>'DOE25'!G97</f>
        <v>850302.82</v>
      </c>
      <c r="E60" s="24" t="s">
        <v>288</v>
      </c>
      <c r="F60" s="24" t="s">
        <v>288</v>
      </c>
      <c r="G60" s="24" t="s">
        <v>288</v>
      </c>
      <c r="H60"/>
      <c r="I60"/>
    </row>
    <row r="61" spans="1:9" ht="12" thickBot="1" x14ac:dyDescent="0.25">
      <c r="A61" s="1" t="s">
        <v>172</v>
      </c>
      <c r="B61" s="118" t="s">
        <v>173</v>
      </c>
      <c r="C61" s="95">
        <f>SUM('DOE25'!F98:F110)</f>
        <v>488171.61</v>
      </c>
      <c r="D61" s="95">
        <f>SUM('DOE25'!G98:G110)</f>
        <v>8149.73</v>
      </c>
      <c r="E61" s="95">
        <f>SUM('DOE25'!H98:H110)</f>
        <v>196373.99</v>
      </c>
      <c r="F61" s="95">
        <f>SUM('DOE25'!I98:I110)</f>
        <v>0</v>
      </c>
      <c r="G61" s="95">
        <f>SUM('DOE25'!J98:J110)</f>
        <v>31125.09</v>
      </c>
      <c r="H61"/>
      <c r="I61"/>
    </row>
    <row r="62" spans="1:9" ht="12.75" thickTop="1" thickBot="1" x14ac:dyDescent="0.25">
      <c r="A62" s="29" t="s">
        <v>174</v>
      </c>
      <c r="B62" s="6"/>
      <c r="C62" s="130">
        <f>SUM(C57:C61)</f>
        <v>4289746.54</v>
      </c>
      <c r="D62" s="130">
        <f>SUM(D57:D61)</f>
        <v>858479.23999999987</v>
      </c>
      <c r="E62" s="130">
        <f>SUM(E57:E61)</f>
        <v>196373.99</v>
      </c>
      <c r="F62" s="130">
        <f>SUM(F57:F61)</f>
        <v>15150.28</v>
      </c>
      <c r="G62" s="130">
        <f>SUM(G57:G61)</f>
        <v>72431.98</v>
      </c>
      <c r="H62"/>
      <c r="I62"/>
    </row>
    <row r="63" spans="1:9" ht="12" thickTop="1" x14ac:dyDescent="0.2">
      <c r="A63" s="29" t="s">
        <v>175</v>
      </c>
      <c r="B63" s="6"/>
      <c r="C63" s="22">
        <f>C56+C62</f>
        <v>55259772.519999996</v>
      </c>
      <c r="D63" s="22">
        <f>D56+D62</f>
        <v>858479.23999999987</v>
      </c>
      <c r="E63" s="22">
        <f>E56+E62</f>
        <v>196373.99</v>
      </c>
      <c r="F63" s="22">
        <f>F56+F62</f>
        <v>15150.28</v>
      </c>
      <c r="G63" s="22">
        <f>G56+G62</f>
        <v>72431.98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13375636.869999999</v>
      </c>
      <c r="D66" s="24" t="s">
        <v>288</v>
      </c>
      <c r="E66" s="24" t="s">
        <v>288</v>
      </c>
      <c r="F66" s="24" t="s">
        <v>288</v>
      </c>
      <c r="G66" s="24" t="s">
        <v>288</v>
      </c>
      <c r="H66"/>
      <c r="I66"/>
    </row>
    <row r="67" spans="1:9" x14ac:dyDescent="0.2">
      <c r="A67" s="1" t="s">
        <v>770</v>
      </c>
      <c r="B67" s="6">
        <v>3112</v>
      </c>
      <c r="C67" s="95">
        <f>'DOE25'!F118</f>
        <v>7786367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22461</v>
      </c>
      <c r="D69" s="95">
        <f>'DOE25'!G120</f>
        <v>0</v>
      </c>
      <c r="E69" s="95">
        <f>'DOE25'!H120</f>
        <v>0</v>
      </c>
      <c r="F69" s="95">
        <f>'DOE25'!I120</f>
        <v>0</v>
      </c>
      <c r="G69" s="95">
        <f>'DOE25'!J120</f>
        <v>0</v>
      </c>
      <c r="H69"/>
      <c r="I69"/>
    </row>
    <row r="70" spans="1:9" ht="12" thickTop="1" x14ac:dyDescent="0.2">
      <c r="A70" s="29" t="s">
        <v>252</v>
      </c>
      <c r="B70" s="2"/>
      <c r="C70" s="139">
        <f>SUM(C66:C69)</f>
        <v>21184464.869999997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1116217.05</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316800</v>
      </c>
      <c r="D74" s="24"/>
      <c r="E74" s="24"/>
      <c r="F74" s="24"/>
      <c r="G74" s="24"/>
      <c r="H74"/>
      <c r="I74"/>
    </row>
    <row r="75" spans="1:9" x14ac:dyDescent="0.2">
      <c r="A75" s="1" t="s">
        <v>256</v>
      </c>
      <c r="B75" s="6">
        <v>3230</v>
      </c>
      <c r="C75" s="95">
        <f>'DOE25'!F126</f>
        <v>165258.20000000001</v>
      </c>
      <c r="D75" s="24" t="s">
        <v>288</v>
      </c>
      <c r="E75" s="24" t="s">
        <v>288</v>
      </c>
      <c r="F75" s="24" t="s">
        <v>288</v>
      </c>
      <c r="G75" s="24" t="s">
        <v>288</v>
      </c>
      <c r="H75"/>
      <c r="I75"/>
    </row>
    <row r="76" spans="1:9" x14ac:dyDescent="0.2">
      <c r="A76" s="1" t="s">
        <v>257</v>
      </c>
      <c r="B76" s="6" t="s">
        <v>179</v>
      </c>
      <c r="C76" s="95">
        <f>SUM('DOE25'!F127:F130)</f>
        <v>1368499.66</v>
      </c>
      <c r="D76" s="24" t="s">
        <v>288</v>
      </c>
      <c r="E76" s="95">
        <f>SUM('DOE25'!H127:H130)</f>
        <v>10732.09</v>
      </c>
      <c r="F76" s="95">
        <f>SUM('DOE25'!I127:I130)</f>
        <v>0</v>
      </c>
      <c r="G76" s="24" t="s">
        <v>288</v>
      </c>
      <c r="H76"/>
      <c r="I76"/>
    </row>
    <row r="77" spans="1:9" ht="12" thickBot="1" x14ac:dyDescent="0.25">
      <c r="A77" s="1" t="s">
        <v>258</v>
      </c>
      <c r="B77" s="6" t="s">
        <v>180</v>
      </c>
      <c r="C77" s="95">
        <f>SUM('DOE25'!F131:F135)</f>
        <v>0</v>
      </c>
      <c r="D77" s="95">
        <f>SUM('DOE25'!G131:G135)</f>
        <v>23872.2</v>
      </c>
      <c r="E77" s="95">
        <f>SUM('DOE25'!H131:H135)</f>
        <v>1240955.24</v>
      </c>
      <c r="F77" s="95">
        <f>SUM('DOE25'!I131:I135)</f>
        <v>0</v>
      </c>
      <c r="G77" s="95">
        <f>SUM('DOE25'!J131:J135)</f>
        <v>0</v>
      </c>
      <c r="H77"/>
      <c r="I77"/>
    </row>
    <row r="78" spans="1:9" ht="12.75" thickTop="1" thickBot="1" x14ac:dyDescent="0.25">
      <c r="A78" s="29" t="s">
        <v>259</v>
      </c>
      <c r="B78" s="6"/>
      <c r="C78" s="130">
        <f>SUM(C72:C77)</f>
        <v>2966774.91</v>
      </c>
      <c r="D78" s="130">
        <f>SUM(D72:D77)</f>
        <v>23872.2</v>
      </c>
      <c r="E78" s="130">
        <f>SUM(E72:E77)</f>
        <v>1251687.33</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24151239.779999997</v>
      </c>
      <c r="D81" s="130">
        <f>SUM(D79:D80)+D78+D70</f>
        <v>23872.2</v>
      </c>
      <c r="E81" s="130">
        <f>SUM(E79:E80)+E78+E70</f>
        <v>1251687.33</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815204.42</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911458.43</v>
      </c>
      <c r="D88" s="95">
        <f>SUM('DOE25'!G153:G161)</f>
        <v>1135007.74</v>
      </c>
      <c r="E88" s="95">
        <f>SUM('DOE25'!H153:H161)</f>
        <v>3839779.43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1726662.85</v>
      </c>
      <c r="D91" s="131">
        <f>SUM(D85:D90)</f>
        <v>1135007.74</v>
      </c>
      <c r="E91" s="131">
        <f>SUM(E85:E90)</f>
        <v>3839779.43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5003721.45</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82000</v>
      </c>
      <c r="E96" s="95">
        <f>'DOE25'!H179</f>
        <v>317152.09000000003</v>
      </c>
      <c r="F96" s="95">
        <f>'DOE25'!I179</f>
        <v>0</v>
      </c>
      <c r="G96" s="95">
        <f>'DOE25'!J179</f>
        <v>2292632.96</v>
      </c>
    </row>
    <row r="97" spans="1:7" x14ac:dyDescent="0.2">
      <c r="A97" t="s">
        <v>754</v>
      </c>
      <c r="B97" s="32" t="s">
        <v>188</v>
      </c>
      <c r="C97" s="95">
        <f>SUM('DOE25'!F180:F181)</f>
        <v>92367.039999999994</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-33116.019999999997</v>
      </c>
      <c r="F100" s="95">
        <f>SUM('DOE25'!I186:I187)</f>
        <v>106295.08</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92367.039999999994</v>
      </c>
      <c r="D103" s="86">
        <f>SUM(D93:D102)</f>
        <v>82000</v>
      </c>
      <c r="E103" s="86">
        <f>SUM(E93:E102)</f>
        <v>284036.07</v>
      </c>
      <c r="F103" s="86">
        <f>SUM(F93:F102)</f>
        <v>5110016.53</v>
      </c>
      <c r="G103" s="86">
        <f>SUM(G93:G102)</f>
        <v>2292632.96</v>
      </c>
    </row>
    <row r="104" spans="1:7" ht="12.75" thickTop="1" thickBot="1" x14ac:dyDescent="0.25">
      <c r="A104" s="33" t="s">
        <v>761</v>
      </c>
      <c r="C104" s="86">
        <f>C63+C81+C91+C103</f>
        <v>81230042.189999998</v>
      </c>
      <c r="D104" s="86">
        <f>D63+D81+D91+D103</f>
        <v>2099359.1799999997</v>
      </c>
      <c r="E104" s="86">
        <f>E63+E81+E91+E103</f>
        <v>5571876.8200000003</v>
      </c>
      <c r="F104" s="86">
        <f>F63+F81+F91+F103</f>
        <v>5125166.8100000005</v>
      </c>
      <c r="G104" s="86">
        <f>G63+G81+G103</f>
        <v>2365064.94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30029094.439999998</v>
      </c>
      <c r="D109" s="24" t="s">
        <v>288</v>
      </c>
      <c r="E109" s="95">
        <f>('DOE25'!L276)+('DOE25'!L295)+('DOE25'!L314)</f>
        <v>818479</v>
      </c>
      <c r="F109" s="24" t="s">
        <v>288</v>
      </c>
      <c r="G109" s="24" t="s">
        <v>288</v>
      </c>
    </row>
    <row r="110" spans="1:7" x14ac:dyDescent="0.2">
      <c r="A110" t="s">
        <v>198</v>
      </c>
      <c r="B110" s="32" t="s">
        <v>199</v>
      </c>
      <c r="C110" s="95">
        <f>('DOE25'!L198)+('DOE25'!L216)+('DOE25'!L234)</f>
        <v>14321060.580000002</v>
      </c>
      <c r="D110" s="24" t="s">
        <v>288</v>
      </c>
      <c r="E110" s="95">
        <f>('DOE25'!L277)+('DOE25'!L296)+('DOE25'!L315)</f>
        <v>1292502.1599999999</v>
      </c>
      <c r="F110" s="24" t="s">
        <v>288</v>
      </c>
      <c r="G110" s="24" t="s">
        <v>288</v>
      </c>
    </row>
    <row r="111" spans="1:7" x14ac:dyDescent="0.2">
      <c r="A111" t="s">
        <v>200</v>
      </c>
      <c r="B111" s="32" t="s">
        <v>165</v>
      </c>
      <c r="C111" s="95">
        <f>('DOE25'!L199)+('DOE25'!L217)+('DOE25'!L235)</f>
        <v>1555212.54</v>
      </c>
      <c r="D111" s="24" t="s">
        <v>288</v>
      </c>
      <c r="E111" s="95">
        <f>('DOE25'!L278)+('DOE25'!L297)+('DOE25'!L316)</f>
        <v>294126.13</v>
      </c>
      <c r="F111" s="24" t="s">
        <v>288</v>
      </c>
      <c r="G111" s="24" t="s">
        <v>288</v>
      </c>
    </row>
    <row r="112" spans="1:7" x14ac:dyDescent="0.2">
      <c r="A112" t="s">
        <v>201</v>
      </c>
      <c r="B112" s="32" t="s">
        <v>167</v>
      </c>
      <c r="C112" s="95">
        <f>('DOE25'!L200)+('DOE25'!L218)+('DOE25'!L236)</f>
        <v>1031721.03</v>
      </c>
      <c r="D112" s="24" t="s">
        <v>288</v>
      </c>
      <c r="E112" s="95">
        <f>+('DOE25'!L279)+('DOE25'!L298)+('DOE25'!L317)</f>
        <v>387769.25</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110636.76000000001</v>
      </c>
      <c r="D114" s="24" t="s">
        <v>288</v>
      </c>
      <c r="E114" s="95">
        <f>+ SUM('DOE25'!L333:L335)</f>
        <v>79192.409999999989</v>
      </c>
      <c r="F114" s="24" t="s">
        <v>288</v>
      </c>
      <c r="G114" s="24" t="s">
        <v>288</v>
      </c>
    </row>
    <row r="115" spans="1:7" ht="12.75" thickTop="1" thickBot="1" x14ac:dyDescent="0.25">
      <c r="A115" s="33" t="s">
        <v>205</v>
      </c>
      <c r="C115" s="86">
        <f>SUM(C109:C114)</f>
        <v>47047725.349999994</v>
      </c>
      <c r="D115" s="86">
        <f>SUM(D109:D114)</f>
        <v>0</v>
      </c>
      <c r="E115" s="86">
        <f>SUM(E109:E114)</f>
        <v>2872068.95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6021353.46</v>
      </c>
      <c r="D118" s="24" t="s">
        <v>288</v>
      </c>
      <c r="E118" s="95">
        <f>+('DOE25'!L281)+('DOE25'!L300)+('DOE25'!L319)</f>
        <v>393560.81</v>
      </c>
      <c r="F118" s="24" t="s">
        <v>288</v>
      </c>
      <c r="G118" s="24" t="s">
        <v>288</v>
      </c>
    </row>
    <row r="119" spans="1:7" x14ac:dyDescent="0.2">
      <c r="A119" t="s">
        <v>208</v>
      </c>
      <c r="B119" s="32" t="s">
        <v>209</v>
      </c>
      <c r="C119" s="95">
        <f>('DOE25'!L203)+('DOE25'!L221)+('DOE25'!L239)</f>
        <v>3849190.0700000003</v>
      </c>
      <c r="D119" s="24" t="s">
        <v>288</v>
      </c>
      <c r="E119" s="95">
        <f>+('DOE25'!L282)+('DOE25'!L301)+('DOE25'!L320)</f>
        <v>450143.32999999996</v>
      </c>
      <c r="F119" s="24" t="s">
        <v>288</v>
      </c>
      <c r="G119" s="24" t="s">
        <v>288</v>
      </c>
    </row>
    <row r="120" spans="1:7" x14ac:dyDescent="0.2">
      <c r="A120" t="s">
        <v>210</v>
      </c>
      <c r="B120" s="32" t="s">
        <v>211</v>
      </c>
      <c r="C120" s="95">
        <f>('DOE25'!L204)+('DOE25'!L222)+('DOE25'!L240)</f>
        <v>1006991.4999999999</v>
      </c>
      <c r="D120" s="24" t="s">
        <v>288</v>
      </c>
      <c r="E120" s="95">
        <f>+('DOE25'!L283)+('DOE25'!L302)+('DOE25'!L321)</f>
        <v>206772.22000000003</v>
      </c>
      <c r="F120" s="24" t="s">
        <v>288</v>
      </c>
      <c r="G120" s="24" t="s">
        <v>288</v>
      </c>
    </row>
    <row r="121" spans="1:7" x14ac:dyDescent="0.2">
      <c r="A121" t="s">
        <v>212</v>
      </c>
      <c r="B121" s="32" t="s">
        <v>213</v>
      </c>
      <c r="C121" s="95">
        <f>('DOE25'!L205)+('DOE25'!L223)+('DOE25'!L241)</f>
        <v>3835861.55</v>
      </c>
      <c r="D121" s="24" t="s">
        <v>288</v>
      </c>
      <c r="E121" s="95">
        <f>+('DOE25'!L284)+('DOE25'!L303)+('DOE25'!L322)</f>
        <v>21419.090000000004</v>
      </c>
      <c r="F121" s="24" t="s">
        <v>288</v>
      </c>
      <c r="G121" s="24" t="s">
        <v>288</v>
      </c>
    </row>
    <row r="122" spans="1:7" x14ac:dyDescent="0.2">
      <c r="A122" t="s">
        <v>214</v>
      </c>
      <c r="B122" s="32" t="s">
        <v>215</v>
      </c>
      <c r="C122" s="95">
        <f>('DOE25'!L206)+('DOE25'!L224)+('DOE25'!L242)</f>
        <v>849299.75</v>
      </c>
      <c r="D122" s="24" t="s">
        <v>288</v>
      </c>
      <c r="E122" s="95">
        <f>+('DOE25'!L285)+('DOE25'!L304)+('DOE25'!L323)</f>
        <v>0</v>
      </c>
      <c r="F122" s="24" t="s">
        <v>288</v>
      </c>
      <c r="G122" s="24" t="s">
        <v>288</v>
      </c>
    </row>
    <row r="123" spans="1:7" x14ac:dyDescent="0.2">
      <c r="A123" t="s">
        <v>216</v>
      </c>
      <c r="B123" s="32" t="s">
        <v>217</v>
      </c>
      <c r="C123" s="95">
        <f>('DOE25'!L207)+('DOE25'!L225)+('DOE25'!L243)</f>
        <v>5805298.79</v>
      </c>
      <c r="D123" s="24" t="s">
        <v>288</v>
      </c>
      <c r="E123" s="95">
        <f>+('DOE25'!L286)+('DOE25'!L305)+('DOE25'!L324)</f>
        <v>0</v>
      </c>
      <c r="F123" s="24" t="s">
        <v>288</v>
      </c>
      <c r="G123" s="24" t="s">
        <v>288</v>
      </c>
    </row>
    <row r="124" spans="1:7" x14ac:dyDescent="0.2">
      <c r="A124" t="s">
        <v>218</v>
      </c>
      <c r="B124" s="32" t="s">
        <v>219</v>
      </c>
      <c r="C124" s="95">
        <f>('DOE25'!L208)+('DOE25'!L226)+('DOE25'!L244+'DOE25'!L254)</f>
        <v>3065797</v>
      </c>
      <c r="D124" s="24" t="s">
        <v>288</v>
      </c>
      <c r="E124" s="95">
        <f>+('DOE25'!L287)+('DOE25'!L306)+('DOE25'!L325)</f>
        <v>184611.71</v>
      </c>
      <c r="F124" s="24" t="s">
        <v>288</v>
      </c>
      <c r="G124" s="24" t="s">
        <v>288</v>
      </c>
    </row>
    <row r="125" spans="1:7" x14ac:dyDescent="0.2">
      <c r="A125" t="s">
        <v>220</v>
      </c>
      <c r="B125" s="32" t="s">
        <v>221</v>
      </c>
      <c r="C125" s="95">
        <f>('DOE25'!L209)+('DOE25'!L227)+('DOE25'!L245)</f>
        <v>583214.31999999995</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1985848.0299999998</v>
      </c>
      <c r="E127" s="24" t="s">
        <v>288</v>
      </c>
      <c r="F127" s="24" t="s">
        <v>288</v>
      </c>
      <c r="G127" s="24" t="s">
        <v>288</v>
      </c>
    </row>
    <row r="128" spans="1:7" ht="12.75" thickTop="1" thickBot="1" x14ac:dyDescent="0.25">
      <c r="A128" s="33" t="s">
        <v>226</v>
      </c>
      <c r="C128" s="86">
        <f>SUM(C118:C127)</f>
        <v>25017006.440000001</v>
      </c>
      <c r="D128" s="86">
        <f>SUM(D118:D127)</f>
        <v>1985848.0299999998</v>
      </c>
      <c r="E128" s="86">
        <f>SUM(E118:E127)</f>
        <v>1256507.1599999999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401023.16</v>
      </c>
      <c r="D130" s="24" t="s">
        <v>288</v>
      </c>
      <c r="E130" s="129">
        <f>'DOE25'!L336</f>
        <v>1322177.46</v>
      </c>
      <c r="F130" s="129">
        <f>SUM('DOE25'!L374:'DOE25'!L380)</f>
        <v>4715531.540000001</v>
      </c>
      <c r="G130" s="24" t="s">
        <v>288</v>
      </c>
    </row>
    <row r="131" spans="1:7" x14ac:dyDescent="0.2">
      <c r="A131" t="s">
        <v>229</v>
      </c>
      <c r="B131" s="32">
        <v>5110</v>
      </c>
      <c r="C131" s="95">
        <f>'DOE25'!L260</f>
        <v>3381825</v>
      </c>
      <c r="D131" s="24" t="s">
        <v>288</v>
      </c>
      <c r="E131" s="129">
        <f>'DOE25'!L341</f>
        <v>0</v>
      </c>
      <c r="F131" s="24" t="s">
        <v>288</v>
      </c>
      <c r="G131" s="24" t="s">
        <v>288</v>
      </c>
    </row>
    <row r="132" spans="1:7" x14ac:dyDescent="0.2">
      <c r="A132" t="s">
        <v>230</v>
      </c>
      <c r="B132" s="32">
        <v>5120</v>
      </c>
      <c r="C132" s="95">
        <f>'DOE25'!L261</f>
        <v>2493843</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92367.039999999994</v>
      </c>
      <c r="F134" s="95">
        <f>'DOE25'!K381</f>
        <v>0</v>
      </c>
      <c r="G134" s="95">
        <f>'DOE25'!K434</f>
        <v>128408.08</v>
      </c>
    </row>
    <row r="135" spans="1:7" x14ac:dyDescent="0.2">
      <c r="A135" t="s">
        <v>233</v>
      </c>
      <c r="B135" s="32" t="s">
        <v>234</v>
      </c>
      <c r="C135" s="95">
        <f>'DOE25'!L263</f>
        <v>82000</v>
      </c>
      <c r="D135" s="24" t="s">
        <v>288</v>
      </c>
      <c r="E135" s="129">
        <f>'DOE25'!L345</f>
        <v>0</v>
      </c>
      <c r="F135" s="24" t="s">
        <v>288</v>
      </c>
      <c r="G135" s="24" t="s">
        <v>288</v>
      </c>
    </row>
    <row r="136" spans="1:7" x14ac:dyDescent="0.2">
      <c r="A136" t="s">
        <v>235</v>
      </c>
      <c r="B136" s="32" t="s">
        <v>236</v>
      </c>
      <c r="C136" s="95">
        <f>'DOE25'!L264</f>
        <v>317152.09000000003</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2365064.94</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-72431.979999999981</v>
      </c>
      <c r="D141" s="24" t="s">
        <v>288</v>
      </c>
      <c r="E141" s="24" t="s">
        <v>288</v>
      </c>
      <c r="F141" s="24" t="s">
        <v>288</v>
      </c>
      <c r="G141" s="24" t="s">
        <v>288</v>
      </c>
    </row>
    <row r="142" spans="1:7" x14ac:dyDescent="0.2">
      <c r="A142" t="s">
        <v>241</v>
      </c>
      <c r="B142" s="32">
        <v>5310</v>
      </c>
      <c r="C142" s="129">
        <f>'DOE25'!L268</f>
        <v>146690.39000000001</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9115166.5999999996</v>
      </c>
      <c r="D144" s="141">
        <f>SUM(D130:D143)</f>
        <v>0</v>
      </c>
      <c r="E144" s="141">
        <f>SUM(E130:E143)</f>
        <v>1414544.5</v>
      </c>
      <c r="F144" s="141">
        <f>SUM(F130:F143)</f>
        <v>4715531.540000001</v>
      </c>
      <c r="G144" s="141">
        <f>SUM(G130:G143)</f>
        <v>128408.08</v>
      </c>
    </row>
    <row r="145" spans="1:9" ht="12.75" thickTop="1" thickBot="1" x14ac:dyDescent="0.25">
      <c r="A145" s="33" t="s">
        <v>244</v>
      </c>
      <c r="C145" s="86">
        <f>(C115+C128+C144)</f>
        <v>81179898.389999986</v>
      </c>
      <c r="D145" s="86">
        <f>(D115+D128+D144)</f>
        <v>1985848.0299999998</v>
      </c>
      <c r="E145" s="86">
        <f>(E115+E128+E144)</f>
        <v>5543120.6100000003</v>
      </c>
      <c r="F145" s="86">
        <f>(F115+F128+F144)</f>
        <v>4715531.540000001</v>
      </c>
      <c r="G145" s="86">
        <f>(G115+G128+G144)</f>
        <v>128408.08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t="str">
        <f>'DOE25'!F490</f>
        <v>various</v>
      </c>
      <c r="C151" s="153">
        <f>'DOE25'!G490</f>
        <v>0</v>
      </c>
      <c r="D151" s="153">
        <f>'DOE25'!H490</f>
        <v>0</v>
      </c>
      <c r="E151" s="153">
        <f>'DOE25'!I490</f>
        <v>0</v>
      </c>
      <c r="F151" s="153">
        <f>'DOE25'!J490</f>
        <v>0</v>
      </c>
      <c r="G151" s="24" t="s">
        <v>288</v>
      </c>
    </row>
    <row r="152" spans="1:9" x14ac:dyDescent="0.2">
      <c r="A152" s="136" t="s">
        <v>28</v>
      </c>
      <c r="B152" s="152" t="str">
        <f>'DOE25'!F491</f>
        <v>2/00 - 6/19</v>
      </c>
      <c r="C152" s="152">
        <f>'DOE25'!G491</f>
        <v>0</v>
      </c>
      <c r="D152" s="152">
        <f>'DOE25'!H491</f>
        <v>0</v>
      </c>
      <c r="E152" s="152">
        <f>'DOE25'!I491</f>
        <v>0</v>
      </c>
      <c r="F152" s="152">
        <f>'DOE25'!J491</f>
        <v>0</v>
      </c>
      <c r="G152" s="24" t="s">
        <v>288</v>
      </c>
    </row>
    <row r="153" spans="1:9" x14ac:dyDescent="0.2">
      <c r="A153" s="136" t="s">
        <v>29</v>
      </c>
      <c r="B153" s="152" t="str">
        <f>'DOE25'!F492</f>
        <v>04/41</v>
      </c>
      <c r="C153" s="152">
        <f>'DOE25'!G492</f>
        <v>0</v>
      </c>
      <c r="D153" s="152">
        <f>'DOE25'!H492</f>
        <v>0</v>
      </c>
      <c r="E153" s="152">
        <f>'DOE25'!I492</f>
        <v>0</v>
      </c>
      <c r="F153" s="152">
        <f>'DOE25'!J492</f>
        <v>0</v>
      </c>
      <c r="G153" s="24" t="s">
        <v>288</v>
      </c>
    </row>
    <row r="154" spans="1:9" x14ac:dyDescent="0.2">
      <c r="A154" s="136" t="s">
        <v>30</v>
      </c>
      <c r="B154" s="137">
        <f>'DOE25'!F493</f>
        <v>99903145.400000006</v>
      </c>
      <c r="C154" s="137">
        <f>'DOE25'!G493</f>
        <v>0</v>
      </c>
      <c r="D154" s="137">
        <f>'DOE25'!H493</f>
        <v>0</v>
      </c>
      <c r="E154" s="137">
        <f>'DOE25'!I493</f>
        <v>0</v>
      </c>
      <c r="F154" s="137">
        <f>'DOE25'!J493</f>
        <v>0</v>
      </c>
      <c r="G154" s="24" t="s">
        <v>288</v>
      </c>
    </row>
    <row r="155" spans="1:9" x14ac:dyDescent="0.2">
      <c r="A155" s="136" t="s">
        <v>31</v>
      </c>
      <c r="B155" s="137" t="str">
        <f>'DOE25'!F494</f>
        <v>various</v>
      </c>
      <c r="C155" s="137">
        <f>'DOE25'!G494</f>
        <v>0</v>
      </c>
      <c r="D155" s="137">
        <f>'DOE25'!H494</f>
        <v>0</v>
      </c>
      <c r="E155" s="137">
        <f>'DOE25'!I494</f>
        <v>0</v>
      </c>
      <c r="F155" s="137">
        <f>'DOE25'!J494</f>
        <v>0</v>
      </c>
      <c r="G155" s="24" t="s">
        <v>288</v>
      </c>
    </row>
    <row r="156" spans="1:9" x14ac:dyDescent="0.2">
      <c r="A156" s="22" t="s">
        <v>32</v>
      </c>
      <c r="B156" s="137">
        <f>'DOE25'!F495</f>
        <v>56050000</v>
      </c>
      <c r="C156" s="137" t="str">
        <f>'DOE25'!G495</f>
        <v xml:space="preserve"> </v>
      </c>
      <c r="D156" s="137">
        <f>'DOE25'!H495</f>
        <v>0</v>
      </c>
      <c r="E156" s="137">
        <f>'DOE25'!I495</f>
        <v>0</v>
      </c>
      <c r="F156" s="137">
        <f>'DOE25'!J495</f>
        <v>0</v>
      </c>
      <c r="G156" s="138">
        <f>SUM(B156:F156)</f>
        <v>56050000</v>
      </c>
    </row>
    <row r="157" spans="1:9" x14ac:dyDescent="0.2">
      <c r="A157" s="22" t="s">
        <v>33</v>
      </c>
      <c r="B157" s="137">
        <f>'DOE25'!F496</f>
        <v>4240000</v>
      </c>
      <c r="C157" s="137">
        <f>'DOE25'!G496</f>
        <v>0</v>
      </c>
      <c r="D157" s="137">
        <f>'DOE25'!H496</f>
        <v>0</v>
      </c>
      <c r="E157" s="137">
        <f>'DOE25'!I496</f>
        <v>0</v>
      </c>
      <c r="F157" s="137">
        <f>'DOE25'!J496</f>
        <v>0</v>
      </c>
      <c r="G157" s="138">
        <f t="shared" ref="G157:G164" si="0">SUM(B157:F157)</f>
        <v>4240000</v>
      </c>
    </row>
    <row r="158" spans="1:9" x14ac:dyDescent="0.2">
      <c r="A158" s="22" t="s">
        <v>34</v>
      </c>
      <c r="B158" s="137">
        <f>'DOE25'!F497</f>
        <v>2965000</v>
      </c>
      <c r="C158" s="137">
        <f>'DOE25'!G497</f>
        <v>0</v>
      </c>
      <c r="D158" s="137">
        <f>'DOE25'!H497</f>
        <v>0</v>
      </c>
      <c r="E158" s="137">
        <f>'DOE25'!I497</f>
        <v>0</v>
      </c>
      <c r="F158" s="137">
        <f>'DOE25'!J497</f>
        <v>0</v>
      </c>
      <c r="G158" s="138">
        <f t="shared" si="0"/>
        <v>2965000</v>
      </c>
    </row>
    <row r="159" spans="1:9" x14ac:dyDescent="0.2">
      <c r="A159" s="22" t="s">
        <v>35</v>
      </c>
      <c r="B159" s="137">
        <f>'DOE25'!F498</f>
        <v>57325000</v>
      </c>
      <c r="C159" s="137">
        <f>'DOE25'!G498</f>
        <v>0</v>
      </c>
      <c r="D159" s="137">
        <f>'DOE25'!H498</f>
        <v>0</v>
      </c>
      <c r="E159" s="137">
        <f>'DOE25'!I498</f>
        <v>0</v>
      </c>
      <c r="F159" s="137">
        <f>'DOE25'!J498</f>
        <v>0</v>
      </c>
      <c r="G159" s="138">
        <f t="shared" si="0"/>
        <v>57325000</v>
      </c>
    </row>
    <row r="160" spans="1:9" x14ac:dyDescent="0.2">
      <c r="A160" s="22" t="s">
        <v>36</v>
      </c>
      <c r="B160" s="137">
        <f>'DOE25'!F499</f>
        <v>2039667.62</v>
      </c>
      <c r="C160" s="137">
        <f>'DOE25'!G499</f>
        <v>0</v>
      </c>
      <c r="D160" s="137">
        <f>'DOE25'!H499</f>
        <v>0</v>
      </c>
      <c r="E160" s="137">
        <f>'DOE25'!I499</f>
        <v>0</v>
      </c>
      <c r="F160" s="137">
        <f>'DOE25'!J499</f>
        <v>0</v>
      </c>
      <c r="G160" s="138">
        <f t="shared" si="0"/>
        <v>2039667.62</v>
      </c>
    </row>
    <row r="161" spans="1:7" x14ac:dyDescent="0.2">
      <c r="A161" s="22" t="s">
        <v>37</v>
      </c>
      <c r="B161" s="137">
        <f>'DOE25'!F500</f>
        <v>59364667.619999997</v>
      </c>
      <c r="C161" s="137">
        <f>'DOE25'!G500</f>
        <v>0</v>
      </c>
      <c r="D161" s="137">
        <f>'DOE25'!H500</f>
        <v>0</v>
      </c>
      <c r="E161" s="137">
        <f>'DOE25'!I500</f>
        <v>0</v>
      </c>
      <c r="F161" s="137">
        <f>'DOE25'!J500</f>
        <v>0</v>
      </c>
      <c r="G161" s="138">
        <f t="shared" si="0"/>
        <v>59364667.619999997</v>
      </c>
    </row>
    <row r="162" spans="1:7" x14ac:dyDescent="0.2">
      <c r="A162" s="22" t="s">
        <v>38</v>
      </c>
      <c r="B162" s="137">
        <f>'DOE25'!F501</f>
        <v>3385000</v>
      </c>
      <c r="C162" s="137">
        <f>'DOE25'!G501</f>
        <v>0</v>
      </c>
      <c r="D162" s="137">
        <f>'DOE25'!H501</f>
        <v>0</v>
      </c>
      <c r="E162" s="137">
        <f>'DOE25'!I501</f>
        <v>0</v>
      </c>
      <c r="F162" s="137">
        <f>'DOE25'!J501</f>
        <v>0</v>
      </c>
      <c r="G162" s="138">
        <f t="shared" si="0"/>
        <v>3385000</v>
      </c>
    </row>
    <row r="163" spans="1:7" x14ac:dyDescent="0.2">
      <c r="A163" s="22" t="s">
        <v>39</v>
      </c>
      <c r="B163" s="137">
        <f>'DOE25'!F502</f>
        <v>2126464.8400000003</v>
      </c>
      <c r="C163" s="137">
        <f>'DOE25'!G502</f>
        <v>0</v>
      </c>
      <c r="D163" s="137">
        <f>'DOE25'!H502</f>
        <v>0</v>
      </c>
      <c r="E163" s="137">
        <f>'DOE25'!I502</f>
        <v>0</v>
      </c>
      <c r="F163" s="137">
        <f>'DOE25'!J502</f>
        <v>0</v>
      </c>
      <c r="G163" s="138">
        <f t="shared" si="0"/>
        <v>2126464.8400000003</v>
      </c>
    </row>
    <row r="164" spans="1:7" x14ac:dyDescent="0.2">
      <c r="A164" s="22" t="s">
        <v>246</v>
      </c>
      <c r="B164" s="137">
        <f>'DOE25'!F503</f>
        <v>5511464.8399999999</v>
      </c>
      <c r="C164" s="137">
        <f>'DOE25'!G503</f>
        <v>0</v>
      </c>
      <c r="D164" s="137">
        <f>'DOE25'!H503</f>
        <v>0</v>
      </c>
      <c r="E164" s="137">
        <f>'DOE25'!I503</f>
        <v>0</v>
      </c>
      <c r="F164" s="137">
        <f>'DOE25'!J503</f>
        <v>0</v>
      </c>
      <c r="G164" s="138">
        <f t="shared" si="0"/>
        <v>5511464.8399999999</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Concord School District</v>
      </c>
    </row>
    <row r="3" spans="1:4" x14ac:dyDescent="0.2">
      <c r="B3" s="188" t="s">
        <v>1602</v>
      </c>
    </row>
    <row r="4" spans="1:4" x14ac:dyDescent="0.2">
      <c r="B4" t="s">
        <v>61</v>
      </c>
      <c r="C4" s="179">
        <f>IF('DOE25'!F665+'DOE25'!F670=0,0,ROUND('DOE25'!F672,0))</f>
        <v>17233</v>
      </c>
    </row>
    <row r="5" spans="1:4" x14ac:dyDescent="0.2">
      <c r="B5" t="s">
        <v>700</v>
      </c>
      <c r="C5" s="179">
        <f>IF('DOE25'!G665+'DOE25'!G670=0,0,ROUND('DOE25'!G672,0))</f>
        <v>14805</v>
      </c>
    </row>
    <row r="6" spans="1:4" x14ac:dyDescent="0.2">
      <c r="B6" t="s">
        <v>62</v>
      </c>
      <c r="C6" s="179">
        <f>IF('DOE25'!H665+'DOE25'!H670=0,0,ROUND('DOE25'!H672,0))</f>
        <v>14431</v>
      </c>
    </row>
    <row r="7" spans="1:4" x14ac:dyDescent="0.2">
      <c r="B7" t="s">
        <v>701</v>
      </c>
      <c r="C7" s="179">
        <f>IF('DOE25'!I665+'DOE25'!I670=0,0,ROUND('DOE25'!I672,0))</f>
        <v>15658</v>
      </c>
    </row>
    <row r="9" spans="1:4" x14ac:dyDescent="0.2">
      <c r="A9" s="187" t="s">
        <v>94</v>
      </c>
      <c r="B9" s="188" t="s">
        <v>1603</v>
      </c>
      <c r="C9" s="181" t="s">
        <v>720</v>
      </c>
      <c r="D9" s="181" t="s">
        <v>721</v>
      </c>
    </row>
    <row r="10" spans="1:4" x14ac:dyDescent="0.2">
      <c r="A10">
        <v>1100</v>
      </c>
      <c r="B10" t="s">
        <v>702</v>
      </c>
      <c r="C10" s="179">
        <f>ROUND('DOE25'!L197+'DOE25'!L215+'DOE25'!L233+'DOE25'!L276+'DOE25'!L295+'DOE25'!L314,0)</f>
        <v>30847573</v>
      </c>
      <c r="D10" s="182">
        <f>ROUND((C10/$C$28)*100,1)</f>
        <v>38.6</v>
      </c>
    </row>
    <row r="11" spans="1:4" x14ac:dyDescent="0.2">
      <c r="A11">
        <v>1200</v>
      </c>
      <c r="B11" t="s">
        <v>703</v>
      </c>
      <c r="C11" s="179">
        <f>ROUND('DOE25'!L198+'DOE25'!L216+'DOE25'!L234+'DOE25'!L277+'DOE25'!L296+'DOE25'!L315,0)</f>
        <v>15613563</v>
      </c>
      <c r="D11" s="182">
        <f>ROUND((C11/$C$28)*100,1)</f>
        <v>19.5</v>
      </c>
    </row>
    <row r="12" spans="1:4" x14ac:dyDescent="0.2">
      <c r="A12">
        <v>1300</v>
      </c>
      <c r="B12" t="s">
        <v>704</v>
      </c>
      <c r="C12" s="179">
        <f>ROUND('DOE25'!L199+'DOE25'!L217+'DOE25'!L235+'DOE25'!L278+'DOE25'!L297+'DOE25'!L316,0)</f>
        <v>1849339</v>
      </c>
      <c r="D12" s="182">
        <f>ROUND((C12/$C$28)*100,1)</f>
        <v>2.2999999999999998</v>
      </c>
    </row>
    <row r="13" spans="1:4" x14ac:dyDescent="0.2">
      <c r="A13">
        <v>1400</v>
      </c>
      <c r="B13" t="s">
        <v>705</v>
      </c>
      <c r="C13" s="179">
        <f>ROUND('DOE25'!L200+'DOE25'!L218+'DOE25'!L236+'DOE25'!L279+'DOE25'!L298+'DOE25'!L317,0)</f>
        <v>1419490</v>
      </c>
      <c r="D13" s="182">
        <f>ROUND((C13/$C$28)*100,1)</f>
        <v>1.8</v>
      </c>
    </row>
    <row r="14" spans="1:4" x14ac:dyDescent="0.2">
      <c r="D14" s="182"/>
    </row>
    <row r="15" spans="1:4" x14ac:dyDescent="0.2">
      <c r="A15">
        <v>2100</v>
      </c>
      <c r="B15" t="s">
        <v>706</v>
      </c>
      <c r="C15" s="179">
        <f>ROUND('DOE25'!L202+'DOE25'!L220+'DOE25'!L238+'DOE25'!L281+'DOE25'!L300+'DOE25'!L319,0)</f>
        <v>6414914</v>
      </c>
      <c r="D15" s="182">
        <f t="shared" ref="D15:D27" si="0">ROUND((C15/$C$28)*100,1)</f>
        <v>8</v>
      </c>
    </row>
    <row r="16" spans="1:4" x14ac:dyDescent="0.2">
      <c r="A16">
        <v>2200</v>
      </c>
      <c r="B16" t="s">
        <v>707</v>
      </c>
      <c r="C16" s="179">
        <f>ROUND('DOE25'!L203+'DOE25'!L221+'DOE25'!L239+'DOE25'!L282+'DOE25'!L301+'DOE25'!L320,0)</f>
        <v>4299333</v>
      </c>
      <c r="D16" s="182">
        <f t="shared" si="0"/>
        <v>5.4</v>
      </c>
    </row>
    <row r="17" spans="1:4" x14ac:dyDescent="0.2">
      <c r="A17" s="183" t="s">
        <v>723</v>
      </c>
      <c r="B17" t="s">
        <v>738</v>
      </c>
      <c r="C17" s="179">
        <f>ROUND('DOE25'!L204+'DOE25'!L209+'DOE25'!L222+'DOE25'!L227+'DOE25'!L240+'DOE25'!L245+'DOE25'!L283+'DOE25'!L288+'DOE25'!L302+'DOE25'!L307+'DOE25'!L321+'DOE25'!L326,0)</f>
        <v>1796978</v>
      </c>
      <c r="D17" s="182">
        <f t="shared" si="0"/>
        <v>2.2000000000000002</v>
      </c>
    </row>
    <row r="18" spans="1:4" x14ac:dyDescent="0.2">
      <c r="A18">
        <v>2400</v>
      </c>
      <c r="B18" t="s">
        <v>711</v>
      </c>
      <c r="C18" s="179">
        <f>ROUND('DOE25'!L205+'DOE25'!L223+'DOE25'!L241+'DOE25'!L284+'DOE25'!L303+'DOE25'!L322,0)</f>
        <v>3857281</v>
      </c>
      <c r="D18" s="182">
        <f t="shared" si="0"/>
        <v>4.8</v>
      </c>
    </row>
    <row r="19" spans="1:4" x14ac:dyDescent="0.2">
      <c r="A19">
        <v>2500</v>
      </c>
      <c r="B19" t="s">
        <v>708</v>
      </c>
      <c r="C19" s="179">
        <f>ROUND('DOE25'!L206+'DOE25'!L224+'DOE25'!L242+'DOE25'!L285+'DOE25'!L304+'DOE25'!L323,0)</f>
        <v>849300</v>
      </c>
      <c r="D19" s="182">
        <f t="shared" si="0"/>
        <v>1.1000000000000001</v>
      </c>
    </row>
    <row r="20" spans="1:4" x14ac:dyDescent="0.2">
      <c r="A20">
        <v>2600</v>
      </c>
      <c r="B20" t="s">
        <v>709</v>
      </c>
      <c r="C20" s="179">
        <f>ROUND('DOE25'!L207+'DOE25'!L225+'DOE25'!L243+'DOE25'!L286+'DOE25'!L305+'DOE25'!L324,0)</f>
        <v>5805299</v>
      </c>
      <c r="D20" s="182">
        <f t="shared" si="0"/>
        <v>7.3</v>
      </c>
    </row>
    <row r="21" spans="1:4" x14ac:dyDescent="0.2">
      <c r="A21">
        <v>2700</v>
      </c>
      <c r="B21" t="s">
        <v>710</v>
      </c>
      <c r="C21" s="179">
        <f>ROUND('DOE25'!L208+'DOE25'!L226+'DOE25'!L244+'DOE25'!L287+'DOE25'!L306+'DOE25'!L325,0)</f>
        <v>3250409</v>
      </c>
      <c r="D21" s="182">
        <f t="shared" si="0"/>
        <v>4.0999999999999996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189829</v>
      </c>
      <c r="D24" s="182">
        <f t="shared" si="0"/>
        <v>0.2</v>
      </c>
    </row>
    <row r="25" spans="1:4" x14ac:dyDescent="0.2">
      <c r="A25">
        <v>5120</v>
      </c>
      <c r="B25" t="s">
        <v>716</v>
      </c>
      <c r="C25" s="179">
        <f>ROUND('DOE25'!L261+'DOE25'!L342,0)</f>
        <v>2493843</v>
      </c>
      <c r="D25" s="182">
        <f t="shared" si="0"/>
        <v>3.1</v>
      </c>
    </row>
    <row r="26" spans="1:4" x14ac:dyDescent="0.2">
      <c r="A26" s="183" t="s">
        <v>717</v>
      </c>
      <c r="B26" t="s">
        <v>718</v>
      </c>
      <c r="C26" s="179">
        <f>'DOE25'!L268+'DOE25'!L269+'DOE25'!L349+'DOE25'!L350</f>
        <v>146690.39000000001</v>
      </c>
      <c r="D26" s="182">
        <f t="shared" si="0"/>
        <v>0.2</v>
      </c>
    </row>
    <row r="27" spans="1:4" x14ac:dyDescent="0.2">
      <c r="A27">
        <v>3100</v>
      </c>
      <c r="B27" t="s">
        <v>11</v>
      </c>
      <c r="C27" s="179">
        <f>ROUND('DOE25'!L362-'DOE25'!L361,0)-SUM('DOE25'!G97:G110)</f>
        <v>1127395.4500000002</v>
      </c>
      <c r="D27" s="182">
        <f t="shared" si="0"/>
        <v>1.4</v>
      </c>
    </row>
    <row r="28" spans="1:4" x14ac:dyDescent="0.2">
      <c r="B28" s="187" t="s">
        <v>719</v>
      </c>
      <c r="C28" s="180">
        <f>SUM(C10:C27)</f>
        <v>79961236.840000004</v>
      </c>
      <c r="D28" s="184">
        <f>ROUND(SUM(D10:D27),0)</f>
        <v>100</v>
      </c>
    </row>
    <row r="29" spans="1:4" x14ac:dyDescent="0.2">
      <c r="A29">
        <v>4000</v>
      </c>
      <c r="B29" t="s">
        <v>724</v>
      </c>
      <c r="C29" s="179">
        <f>ROUND('DOE25'!L255+'DOE25'!L336+'DOE25'!L374+'DOE25'!L375+'DOE25'!L376+'DOE25'!L377+'DOE25'!L378+'DOE25'!L379+'DOE25'!L380,0)</f>
        <v>6438732</v>
      </c>
    </row>
    <row r="30" spans="1:4" x14ac:dyDescent="0.2">
      <c r="B30" s="187" t="s">
        <v>725</v>
      </c>
      <c r="C30" s="180">
        <f>SUM(C28:C29)</f>
        <v>86399968.840000004</v>
      </c>
    </row>
    <row r="31" spans="1:4" x14ac:dyDescent="0.2">
      <c r="B31" s="33"/>
      <c r="C31" s="180"/>
    </row>
    <row r="32" spans="1:4" x14ac:dyDescent="0.2">
      <c r="A32">
        <v>5100</v>
      </c>
      <c r="B32" s="33" t="s">
        <v>726</v>
      </c>
      <c r="C32" s="180">
        <f>ROUND('DOE25'!L260+'DOE25'!L341,0)</f>
        <v>3381825</v>
      </c>
    </row>
    <row r="34" spans="1:4" x14ac:dyDescent="0.2">
      <c r="A34" s="187" t="s">
        <v>94</v>
      </c>
      <c r="B34" s="188" t="s">
        <v>1604</v>
      </c>
      <c r="C34" s="181" t="s">
        <v>720</v>
      </c>
      <c r="D34" s="181" t="s">
        <v>721</v>
      </c>
    </row>
    <row r="35" spans="1:4" x14ac:dyDescent="0.2">
      <c r="A35">
        <v>1100</v>
      </c>
      <c r="B35" s="185" t="s">
        <v>727</v>
      </c>
      <c r="C35" s="179">
        <f>ROUND('DOE25'!F60+'DOE25'!G60+'DOE25'!H60+'DOE25'!I60+'DOE25'!J60,0)</f>
        <v>50970026</v>
      </c>
      <c r="D35" s="182">
        <f t="shared" ref="D35:D40" si="1">ROUND((C35/$C$41)*100,1)</f>
        <v>57.6</v>
      </c>
    </row>
    <row r="36" spans="1:4" x14ac:dyDescent="0.2">
      <c r="B36" s="185" t="s">
        <v>739</v>
      </c>
      <c r="C36" s="179">
        <f>SUM('DOE25'!F112:J112)-SUM('DOE25'!G97:G110)+('DOE25'!F174+'DOE25'!F175+'DOE25'!I174+'DOE25'!I175)-C35</f>
        <v>5337450.9099999964</v>
      </c>
      <c r="D36" s="182">
        <f t="shared" si="1"/>
        <v>6</v>
      </c>
    </row>
    <row r="37" spans="1:4" x14ac:dyDescent="0.2">
      <c r="A37" s="183" t="s">
        <v>835</v>
      </c>
      <c r="B37" s="185" t="s">
        <v>728</v>
      </c>
      <c r="C37" s="179">
        <f>ROUND('DOE25'!F117+'DOE25'!F118,0)</f>
        <v>21162004</v>
      </c>
      <c r="D37" s="182">
        <f t="shared" si="1"/>
        <v>23.9</v>
      </c>
    </row>
    <row r="38" spans="1:4" x14ac:dyDescent="0.2">
      <c r="A38" s="183" t="s">
        <v>734</v>
      </c>
      <c r="B38" s="185" t="s">
        <v>729</v>
      </c>
      <c r="C38" s="179">
        <f>ROUND(SUM('DOE25'!F140:J140)-SUM('DOE25'!F117:F119),0)</f>
        <v>4264795</v>
      </c>
      <c r="D38" s="182">
        <f t="shared" si="1"/>
        <v>4.8</v>
      </c>
    </row>
    <row r="39" spans="1:4" x14ac:dyDescent="0.2">
      <c r="A39">
        <v>4000</v>
      </c>
      <c r="B39" s="185" t="s">
        <v>730</v>
      </c>
      <c r="C39" s="179">
        <f>ROUND('DOE25'!F169+'DOE25'!G169+'DOE25'!H169+'DOE25'!I169,0)</f>
        <v>6701450</v>
      </c>
      <c r="D39" s="182">
        <f t="shared" si="1"/>
        <v>7.6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88435725.909999996</v>
      </c>
      <c r="D41" s="184">
        <f>SUM(D35:D40)</f>
        <v>99.899999999999991</v>
      </c>
    </row>
    <row r="42" spans="1:4" x14ac:dyDescent="0.2">
      <c r="A42" s="183" t="s">
        <v>737</v>
      </c>
      <c r="B42" s="185" t="s">
        <v>733</v>
      </c>
      <c r="C42" s="179">
        <f>ROUND('DOE25'!F173+'DOE25'!I173+'DOE25'!F176+'DOE25'!I176,0)</f>
        <v>4240000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Concord School District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2019-08-15T14:28:50Z</cp:lastPrinted>
  <dcterms:created xsi:type="dcterms:W3CDTF">1997-12-04T19:04:30Z</dcterms:created>
  <dcterms:modified xsi:type="dcterms:W3CDTF">2019-11-22T15:47:06Z</dcterms:modified>
</cp:coreProperties>
</file>