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D9" i="13" l="1"/>
  <c r="F14" i="13" l="1"/>
  <c r="F6" i="13"/>
  <c r="F15" i="13"/>
  <c r="F12" i="13"/>
  <c r="F7" i="13"/>
  <c r="E37" i="14" l="1"/>
  <c r="F50" i="1" l="1"/>
  <c r="J604" i="1" l="1"/>
  <c r="I604" i="1"/>
  <c r="H604" i="1"/>
  <c r="J594" i="1"/>
  <c r="I591" i="1"/>
  <c r="I592" i="1"/>
  <c r="I595" i="1"/>
  <c r="I594" i="1"/>
  <c r="H591" i="1"/>
  <c r="H592" i="1"/>
  <c r="H595" i="1"/>
  <c r="G439" i="1"/>
  <c r="F439" i="1"/>
  <c r="K422" i="1"/>
  <c r="H396" i="1"/>
  <c r="H320" i="1"/>
  <c r="G320" i="1"/>
  <c r="H301" i="1"/>
  <c r="H282" i="1"/>
  <c r="G282" i="1"/>
  <c r="F282" i="1"/>
  <c r="G281" i="1"/>
  <c r="F281" i="1"/>
  <c r="H277" i="1"/>
  <c r="G233" i="1"/>
  <c r="F233" i="1"/>
  <c r="G215" i="1"/>
  <c r="F215" i="1"/>
  <c r="I197" i="1"/>
  <c r="H197" i="1"/>
  <c r="G197" i="1"/>
  <c r="F197" i="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C19" i="10" s="1"/>
  <c r="L224" i="1"/>
  <c r="L242" i="1"/>
  <c r="G16" i="13"/>
  <c r="H16" i="13"/>
  <c r="L209" i="1"/>
  <c r="L227" i="1"/>
  <c r="L245" i="1"/>
  <c r="G5" i="13"/>
  <c r="H5" i="13"/>
  <c r="L197" i="1"/>
  <c r="L198" i="1"/>
  <c r="L199" i="1"/>
  <c r="L200" i="1"/>
  <c r="L215" i="1"/>
  <c r="L216" i="1"/>
  <c r="L217" i="1"/>
  <c r="L218" i="1"/>
  <c r="L233" i="1"/>
  <c r="L234" i="1"/>
  <c r="L235" i="1"/>
  <c r="C111" i="2" s="1"/>
  <c r="L236" i="1"/>
  <c r="G6" i="13"/>
  <c r="H6" i="13"/>
  <c r="L202" i="1"/>
  <c r="L220" i="1"/>
  <c r="L238" i="1"/>
  <c r="G7" i="13"/>
  <c r="H7" i="13"/>
  <c r="L203" i="1"/>
  <c r="L221" i="1"/>
  <c r="L239" i="1"/>
  <c r="G12" i="13"/>
  <c r="H12" i="13"/>
  <c r="L205" i="1"/>
  <c r="L223" i="1"/>
  <c r="L241" i="1"/>
  <c r="G14" i="13"/>
  <c r="H14" i="13"/>
  <c r="L207" i="1"/>
  <c r="L225" i="1"/>
  <c r="L243" i="1"/>
  <c r="G15" i="13"/>
  <c r="H15" i="13"/>
  <c r="L208" i="1"/>
  <c r="F662" i="1" s="1"/>
  <c r="L226" i="1"/>
  <c r="L244" i="1"/>
  <c r="G17" i="13"/>
  <c r="H17" i="13"/>
  <c r="L251" i="1"/>
  <c r="G18" i="13"/>
  <c r="H18" i="13"/>
  <c r="L252" i="1"/>
  <c r="G19" i="13"/>
  <c r="H19" i="13"/>
  <c r="L253" i="1"/>
  <c r="D19" i="13" s="1"/>
  <c r="C19" i="13" s="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G147" i="1"/>
  <c r="G162" i="1"/>
  <c r="H147" i="1"/>
  <c r="E85" i="2" s="1"/>
  <c r="H162" i="1"/>
  <c r="H169" i="1" s="1"/>
  <c r="I147" i="1"/>
  <c r="I162" i="1"/>
  <c r="L250" i="1"/>
  <c r="C113" i="2" s="1"/>
  <c r="L332" i="1"/>
  <c r="L254" i="1"/>
  <c r="L268" i="1"/>
  <c r="L269" i="1"/>
  <c r="C143" i="2" s="1"/>
  <c r="L349" i="1"/>
  <c r="L350" i="1"/>
  <c r="E143" i="2" s="1"/>
  <c r="I665" i="1"/>
  <c r="I670" i="1"/>
  <c r="G662" i="1"/>
  <c r="I669" i="1"/>
  <c r="C42" i="10"/>
  <c r="L374" i="1"/>
  <c r="L375" i="1"/>
  <c r="L376" i="1"/>
  <c r="L377" i="1"/>
  <c r="L378" i="1"/>
  <c r="L379" i="1"/>
  <c r="L380" i="1"/>
  <c r="B2" i="10"/>
  <c r="L344" i="1"/>
  <c r="L351" i="1" s="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F78" i="2" s="1"/>
  <c r="F81" i="2" s="1"/>
  <c r="C74" i="2"/>
  <c r="C75" i="2"/>
  <c r="C76" i="2"/>
  <c r="E76" i="2"/>
  <c r="E78" i="2" s="1"/>
  <c r="F76" i="2"/>
  <c r="C77" i="2"/>
  <c r="D77" i="2"/>
  <c r="D78" i="2" s="1"/>
  <c r="E77" i="2"/>
  <c r="F77" i="2"/>
  <c r="G77" i="2"/>
  <c r="G78" i="2" s="1"/>
  <c r="C79" i="2"/>
  <c r="D79" i="2"/>
  <c r="E79" i="2"/>
  <c r="C80" i="2"/>
  <c r="E80"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3" i="2"/>
  <c r="D115" i="2"/>
  <c r="F115" i="2"/>
  <c r="G115" i="2"/>
  <c r="E120" i="2"/>
  <c r="E122" i="2"/>
  <c r="E123" i="2"/>
  <c r="E124" i="2"/>
  <c r="C125" i="2"/>
  <c r="F128" i="2"/>
  <c r="G128" i="2"/>
  <c r="D134" i="2"/>
  <c r="D144" i="2" s="1"/>
  <c r="E134" i="2"/>
  <c r="F134" i="2"/>
  <c r="K419" i="1"/>
  <c r="K427" i="1"/>
  <c r="K433" i="1"/>
  <c r="L263" i="1"/>
  <c r="C135" i="2" s="1"/>
  <c r="E135" i="2"/>
  <c r="L264" i="1"/>
  <c r="C136" i="2" s="1"/>
  <c r="L265" i="1"/>
  <c r="C137" i="2" s="1"/>
  <c r="C142" i="2"/>
  <c r="E142"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G164" i="2" s="1"/>
  <c r="J503" i="1"/>
  <c r="F164" i="2" s="1"/>
  <c r="F19" i="1"/>
  <c r="G617" i="1" s="1"/>
  <c r="G19" i="1"/>
  <c r="G618" i="1" s="1"/>
  <c r="H19" i="1"/>
  <c r="G619" i="1" s="1"/>
  <c r="I19" i="1"/>
  <c r="G620" i="1" s="1"/>
  <c r="F32" i="1"/>
  <c r="F52" i="1" s="1"/>
  <c r="G32" i="1"/>
  <c r="G52" i="1" s="1"/>
  <c r="H618" i="1" s="1"/>
  <c r="H32" i="1"/>
  <c r="I32" i="1"/>
  <c r="H617" i="1"/>
  <c r="H51" i="1"/>
  <c r="I51" i="1"/>
  <c r="I52" i="1" s="1"/>
  <c r="H620" i="1" s="1"/>
  <c r="F177" i="1"/>
  <c r="I177" i="1"/>
  <c r="F183" i="1"/>
  <c r="G183" i="1"/>
  <c r="G192" i="1" s="1"/>
  <c r="H183" i="1"/>
  <c r="I183" i="1"/>
  <c r="J183" i="1"/>
  <c r="J192" i="1" s="1"/>
  <c r="F188" i="1"/>
  <c r="F192" i="1" s="1"/>
  <c r="G188" i="1"/>
  <c r="H188" i="1"/>
  <c r="I188" i="1"/>
  <c r="F211" i="1"/>
  <c r="G211" i="1"/>
  <c r="H211" i="1"/>
  <c r="I211" i="1"/>
  <c r="J211" i="1"/>
  <c r="K211" i="1"/>
  <c r="F229" i="1"/>
  <c r="G229" i="1"/>
  <c r="H229" i="1"/>
  <c r="I229" i="1"/>
  <c r="J229" i="1"/>
  <c r="K229" i="1"/>
  <c r="F247" i="1"/>
  <c r="G247" i="1"/>
  <c r="H247" i="1"/>
  <c r="I247" i="1"/>
  <c r="J247" i="1"/>
  <c r="K247" i="1"/>
  <c r="F256" i="1"/>
  <c r="G256" i="1"/>
  <c r="H256" i="1"/>
  <c r="L256" i="1" s="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F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3" i="1" s="1"/>
  <c r="L432" i="1"/>
  <c r="F433" i="1"/>
  <c r="G433" i="1"/>
  <c r="H433" i="1"/>
  <c r="I433" i="1"/>
  <c r="J433" i="1"/>
  <c r="F446" i="1"/>
  <c r="G446" i="1"/>
  <c r="G640" i="1" s="1"/>
  <c r="H446" i="1"/>
  <c r="G641" i="1" s="1"/>
  <c r="I446" i="1"/>
  <c r="G642" i="1" s="1"/>
  <c r="F452" i="1"/>
  <c r="G452" i="1"/>
  <c r="H452" i="1"/>
  <c r="H461" i="1" s="1"/>
  <c r="H641" i="1" s="1"/>
  <c r="F460" i="1"/>
  <c r="F461" i="1" s="1"/>
  <c r="H639" i="1" s="1"/>
  <c r="G460" i="1"/>
  <c r="G461" i="1" s="1"/>
  <c r="H640" i="1" s="1"/>
  <c r="H460" i="1"/>
  <c r="F470" i="1"/>
  <c r="G470" i="1"/>
  <c r="H470" i="1"/>
  <c r="I470" i="1"/>
  <c r="J470" i="1"/>
  <c r="F474" i="1"/>
  <c r="G474" i="1"/>
  <c r="H474" i="1"/>
  <c r="I474" i="1"/>
  <c r="J474" i="1"/>
  <c r="J476" i="1" s="1"/>
  <c r="H626" i="1" s="1"/>
  <c r="K495" i="1"/>
  <c r="K496" i="1"/>
  <c r="K497" i="1"/>
  <c r="K498" i="1"/>
  <c r="K499" i="1"/>
  <c r="K501" i="1"/>
  <c r="K502" i="1"/>
  <c r="F517" i="1"/>
  <c r="G517" i="1"/>
  <c r="H517" i="1"/>
  <c r="I517" i="1"/>
  <c r="F524" i="1"/>
  <c r="G524" i="1"/>
  <c r="H524" i="1"/>
  <c r="I524" i="1"/>
  <c r="J524" i="1"/>
  <c r="J545" i="1" s="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H571" i="1" s="1"/>
  <c r="I560" i="1"/>
  <c r="J560" i="1"/>
  <c r="K560" i="1"/>
  <c r="L562" i="1"/>
  <c r="L563" i="1"/>
  <c r="L564" i="1"/>
  <c r="F565" i="1"/>
  <c r="G565" i="1"/>
  <c r="H565" i="1"/>
  <c r="I565" i="1"/>
  <c r="J565" i="1"/>
  <c r="K565" i="1"/>
  <c r="K571" i="1" s="1"/>
  <c r="L567" i="1"/>
  <c r="L568" i="1"/>
  <c r="L569" i="1"/>
  <c r="F570" i="1"/>
  <c r="F571" i="1" s="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22" i="1"/>
  <c r="G623" i="1"/>
  <c r="G624" i="1"/>
  <c r="H627" i="1"/>
  <c r="H628" i="1"/>
  <c r="H629" i="1"/>
  <c r="H630" i="1"/>
  <c r="H631" i="1"/>
  <c r="H632" i="1"/>
  <c r="H633" i="1"/>
  <c r="H635" i="1"/>
  <c r="H636" i="1"/>
  <c r="H637" i="1"/>
  <c r="H638" i="1"/>
  <c r="G639" i="1"/>
  <c r="G643" i="1"/>
  <c r="H643" i="1"/>
  <c r="J643" i="1" s="1"/>
  <c r="G644" i="1"/>
  <c r="G650" i="1"/>
  <c r="G651" i="1"/>
  <c r="G652" i="1"/>
  <c r="H652" i="1"/>
  <c r="G653" i="1"/>
  <c r="H653" i="1"/>
  <c r="G654" i="1"/>
  <c r="H654" i="1"/>
  <c r="H655" i="1"/>
  <c r="G62" i="2"/>
  <c r="I169" i="1"/>
  <c r="J140" i="1"/>
  <c r="J552" i="1"/>
  <c r="H140" i="1"/>
  <c r="H192" i="1"/>
  <c r="L570" i="1"/>
  <c r="I571" i="1"/>
  <c r="G36" i="2"/>
  <c r="L565" i="1"/>
  <c r="J571" i="1" l="1"/>
  <c r="K545" i="1"/>
  <c r="F476" i="1"/>
  <c r="H622" i="1" s="1"/>
  <c r="H52" i="1"/>
  <c r="H619" i="1" s="1"/>
  <c r="C122" i="2"/>
  <c r="E103" i="2"/>
  <c r="E125" i="2"/>
  <c r="E121" i="2"/>
  <c r="J655" i="1"/>
  <c r="G408" i="1"/>
  <c r="H645" i="1" s="1"/>
  <c r="L534" i="1"/>
  <c r="I452" i="1"/>
  <c r="I408" i="1"/>
  <c r="G81" i="2"/>
  <c r="I552" i="1"/>
  <c r="H112" i="1"/>
  <c r="H193" i="1" s="1"/>
  <c r="G629" i="1" s="1"/>
  <c r="J629" i="1" s="1"/>
  <c r="F18" i="2"/>
  <c r="L614" i="1"/>
  <c r="D81" i="2"/>
  <c r="D62" i="2"/>
  <c r="D63" i="2" s="1"/>
  <c r="H552" i="1"/>
  <c r="K500" i="1"/>
  <c r="G161" i="2"/>
  <c r="G157" i="2"/>
  <c r="G156" i="2"/>
  <c r="K551" i="1"/>
  <c r="K550" i="1"/>
  <c r="G552" i="1"/>
  <c r="G545" i="1"/>
  <c r="I545" i="1"/>
  <c r="H545" i="1"/>
  <c r="F552" i="1"/>
  <c r="G661" i="1"/>
  <c r="J622" i="1"/>
  <c r="J651" i="1"/>
  <c r="K598" i="1"/>
  <c r="G647" i="1" s="1"/>
  <c r="I476" i="1"/>
  <c r="H625" i="1" s="1"/>
  <c r="G476" i="1"/>
  <c r="H623" i="1" s="1"/>
  <c r="J623" i="1" s="1"/>
  <c r="H476" i="1"/>
  <c r="H624" i="1" s="1"/>
  <c r="J624" i="1" s="1"/>
  <c r="I460" i="1"/>
  <c r="I461" i="1" s="1"/>
  <c r="H642" i="1" s="1"/>
  <c r="J642" i="1" s="1"/>
  <c r="J640" i="1"/>
  <c r="J639" i="1"/>
  <c r="J641" i="1"/>
  <c r="L427" i="1"/>
  <c r="L434" i="1" s="1"/>
  <c r="G638" i="1" s="1"/>
  <c r="J638" i="1" s="1"/>
  <c r="L419" i="1"/>
  <c r="L401" i="1"/>
  <c r="C139" i="2" s="1"/>
  <c r="L393" i="1"/>
  <c r="C138" i="2" s="1"/>
  <c r="H408" i="1"/>
  <c r="H644" i="1" s="1"/>
  <c r="J644" i="1" s="1"/>
  <c r="F130" i="2"/>
  <c r="F144" i="2" s="1"/>
  <c r="F145" i="2" s="1"/>
  <c r="C29" i="10"/>
  <c r="J634" i="1"/>
  <c r="H662" i="1"/>
  <c r="I662" i="1" s="1"/>
  <c r="L309" i="1"/>
  <c r="E119" i="2"/>
  <c r="E118" i="2"/>
  <c r="G338" i="1"/>
  <c r="G352" i="1" s="1"/>
  <c r="A31" i="12"/>
  <c r="F338" i="1"/>
  <c r="F352" i="1" s="1"/>
  <c r="E110" i="2"/>
  <c r="L328" i="1"/>
  <c r="E109" i="2"/>
  <c r="C25" i="10"/>
  <c r="I25" i="13"/>
  <c r="C25" i="13" s="1"/>
  <c r="L270" i="1"/>
  <c r="C123" i="2"/>
  <c r="C17" i="10"/>
  <c r="C119" i="2"/>
  <c r="K257" i="1"/>
  <c r="C12" i="10"/>
  <c r="L247" i="1"/>
  <c r="D14" i="13"/>
  <c r="C14" i="13" s="1"/>
  <c r="C121" i="2"/>
  <c r="C15" i="10"/>
  <c r="I257" i="1"/>
  <c r="I271" i="1" s="1"/>
  <c r="A40" i="12"/>
  <c r="J257" i="1"/>
  <c r="J271" i="1" s="1"/>
  <c r="F257" i="1"/>
  <c r="F271" i="1" s="1"/>
  <c r="G649" i="1"/>
  <c r="J649" i="1" s="1"/>
  <c r="C124" i="2"/>
  <c r="C21" i="10"/>
  <c r="H647" i="1"/>
  <c r="C18" i="10"/>
  <c r="C120" i="2"/>
  <c r="C118" i="2"/>
  <c r="L211" i="1"/>
  <c r="C13" i="10"/>
  <c r="C11" i="10"/>
  <c r="H257" i="1"/>
  <c r="H271" i="1" s="1"/>
  <c r="G645" i="1"/>
  <c r="J645" i="1" s="1"/>
  <c r="F169" i="1"/>
  <c r="D91" i="2"/>
  <c r="C78" i="2"/>
  <c r="C81" i="2" s="1"/>
  <c r="C70" i="2"/>
  <c r="F112" i="1"/>
  <c r="C35" i="10"/>
  <c r="C56" i="2"/>
  <c r="D31" i="2"/>
  <c r="E31" i="2"/>
  <c r="J617" i="1"/>
  <c r="D18" i="2"/>
  <c r="C18" i="2"/>
  <c r="G625" i="1"/>
  <c r="J625" i="1" s="1"/>
  <c r="L529" i="1"/>
  <c r="C130" i="2"/>
  <c r="C114" i="2"/>
  <c r="C110" i="2"/>
  <c r="C62" i="2"/>
  <c r="C32" i="10"/>
  <c r="F661" i="1"/>
  <c r="L362" i="1"/>
  <c r="G635" i="1" s="1"/>
  <c r="J635" i="1" s="1"/>
  <c r="D18" i="13"/>
  <c r="C18" i="13" s="1"/>
  <c r="D15" i="13"/>
  <c r="C15" i="13" s="1"/>
  <c r="D6" i="13"/>
  <c r="C6" i="13" s="1"/>
  <c r="E13" i="13"/>
  <c r="C13" i="13" s="1"/>
  <c r="L539" i="1"/>
  <c r="K503" i="1"/>
  <c r="L382" i="1"/>
  <c r="G636" i="1" s="1"/>
  <c r="J636" i="1" s="1"/>
  <c r="K338" i="1"/>
  <c r="K352" i="1" s="1"/>
  <c r="G257" i="1"/>
  <c r="G271" i="1" s="1"/>
  <c r="C85" i="2"/>
  <c r="C91" i="2" s="1"/>
  <c r="F56" i="2"/>
  <c r="H661" i="1"/>
  <c r="C20" i="10"/>
  <c r="A13" i="12"/>
  <c r="D29" i="13"/>
  <c r="C29" i="13" s="1"/>
  <c r="D12" i="13"/>
  <c r="C12" i="13" s="1"/>
  <c r="D5" i="13"/>
  <c r="C5" i="13" s="1"/>
  <c r="E8" i="13"/>
  <c r="C8" i="13" s="1"/>
  <c r="H338" i="1"/>
  <c r="H352" i="1" s="1"/>
  <c r="G22" i="13"/>
  <c r="C22" i="13" s="1"/>
  <c r="K549" i="1"/>
  <c r="K552" i="1" s="1"/>
  <c r="I33" i="13"/>
  <c r="E81" i="2"/>
  <c r="L290" i="1"/>
  <c r="C26" i="10"/>
  <c r="K271" i="1"/>
  <c r="L544" i="1"/>
  <c r="L524" i="1"/>
  <c r="J338" i="1"/>
  <c r="J352" i="1" s="1"/>
  <c r="D127" i="2"/>
  <c r="D128" i="2" s="1"/>
  <c r="D145" i="2" s="1"/>
  <c r="E112" i="2"/>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C141" i="2" s="1"/>
  <c r="C144" i="2" s="1"/>
  <c r="L571" i="1"/>
  <c r="I192" i="1"/>
  <c r="E91" i="2"/>
  <c r="E104" i="2" s="1"/>
  <c r="D51" i="2"/>
  <c r="J654" i="1"/>
  <c r="J653" i="1"/>
  <c r="G21" i="2"/>
  <c r="G31" i="2" s="1"/>
  <c r="J32" i="1"/>
  <c r="J434" i="1"/>
  <c r="F434" i="1"/>
  <c r="K434" i="1"/>
  <c r="G134" i="2" s="1"/>
  <c r="G144" i="2" s="1"/>
  <c r="G145" i="2" s="1"/>
  <c r="G31" i="13"/>
  <c r="G33" i="13" s="1"/>
  <c r="J193" i="1"/>
  <c r="G646" i="1" s="1"/>
  <c r="G169" i="1"/>
  <c r="C39" i="10" s="1"/>
  <c r="G140" i="1"/>
  <c r="F140" i="1"/>
  <c r="G63" i="2"/>
  <c r="G104" i="2" s="1"/>
  <c r="J618" i="1"/>
  <c r="G42" i="2"/>
  <c r="J51" i="1"/>
  <c r="G16" i="2"/>
  <c r="G18" i="2" s="1"/>
  <c r="J19" i="1"/>
  <c r="G621" i="1" s="1"/>
  <c r="F545" i="1"/>
  <c r="H434" i="1"/>
  <c r="J620" i="1"/>
  <c r="J619" i="1"/>
  <c r="D103" i="2"/>
  <c r="I140" i="1"/>
  <c r="I193" i="1" s="1"/>
  <c r="G630" i="1" s="1"/>
  <c r="J630" i="1" s="1"/>
  <c r="A22" i="12"/>
  <c r="G50" i="2"/>
  <c r="G51" i="2" s="1"/>
  <c r="J652" i="1"/>
  <c r="G571" i="1"/>
  <c r="I434" i="1"/>
  <c r="G434" i="1"/>
  <c r="I663" i="1"/>
  <c r="F104" i="2" l="1"/>
  <c r="C27" i="10"/>
  <c r="C28" i="10" s="1"/>
  <c r="D23" i="10" s="1"/>
  <c r="J647" i="1"/>
  <c r="L408" i="1"/>
  <c r="G637" i="1" s="1"/>
  <c r="J637" i="1" s="1"/>
  <c r="E128" i="2"/>
  <c r="L338" i="1"/>
  <c r="L352" i="1" s="1"/>
  <c r="G633" i="1" s="1"/>
  <c r="J633" i="1" s="1"/>
  <c r="G36" i="14"/>
  <c r="H36" i="14" s="1"/>
  <c r="I36" i="14" s="1"/>
  <c r="D31" i="13"/>
  <c r="C31" i="13" s="1"/>
  <c r="E115" i="2"/>
  <c r="H660" i="1"/>
  <c r="H664" i="1" s="1"/>
  <c r="H667" i="1" s="1"/>
  <c r="H648" i="1"/>
  <c r="J648" i="1" s="1"/>
  <c r="L257" i="1"/>
  <c r="L271" i="1" s="1"/>
  <c r="G632" i="1" s="1"/>
  <c r="J632" i="1" s="1"/>
  <c r="E33" i="13"/>
  <c r="D35" i="13" s="1"/>
  <c r="C128" i="2"/>
  <c r="F660" i="1"/>
  <c r="F664" i="1" s="1"/>
  <c r="F667" i="1" s="1"/>
  <c r="G4" i="14"/>
  <c r="H4" i="14" s="1"/>
  <c r="I4" i="14" s="1"/>
  <c r="F193" i="1"/>
  <c r="G627" i="1" s="1"/>
  <c r="J627" i="1" s="1"/>
  <c r="D104" i="2"/>
  <c r="I661" i="1"/>
  <c r="C36" i="10"/>
  <c r="C63" i="2"/>
  <c r="C104" i="2" s="1"/>
  <c r="E51" i="2"/>
  <c r="G660" i="1"/>
  <c r="G664" i="1" s="1"/>
  <c r="G672" i="1" s="1"/>
  <c r="C5" i="10" s="1"/>
  <c r="C115" i="2"/>
  <c r="L545" i="1"/>
  <c r="H24" i="14"/>
  <c r="I24" i="14" s="1"/>
  <c r="C51" i="2"/>
  <c r="G631" i="1"/>
  <c r="J631" i="1" s="1"/>
  <c r="G193" i="1"/>
  <c r="G628" i="1" s="1"/>
  <c r="J628" i="1" s="1"/>
  <c r="G626" i="1"/>
  <c r="J626" i="1" s="1"/>
  <c r="J52" i="1"/>
  <c r="H621" i="1" s="1"/>
  <c r="J621" i="1" s="1"/>
  <c r="C38" i="10"/>
  <c r="H646" i="1" l="1"/>
  <c r="J646" i="1" s="1"/>
  <c r="E145" i="2"/>
  <c r="H672" i="1"/>
  <c r="C6" i="10" s="1"/>
  <c r="C145" i="2"/>
  <c r="I660" i="1"/>
  <c r="I664" i="1" s="1"/>
  <c r="I672" i="1" s="1"/>
  <c r="C7" i="10" s="1"/>
  <c r="F672" i="1"/>
  <c r="C4" i="10" s="1"/>
  <c r="G667" i="1"/>
  <c r="D25" i="10"/>
  <c r="D22" i="10"/>
  <c r="D18" i="10"/>
  <c r="D27" i="10"/>
  <c r="D15" i="10"/>
  <c r="D21" i="10"/>
  <c r="D24" i="10"/>
  <c r="D20" i="10"/>
  <c r="D11" i="10"/>
  <c r="D12" i="10"/>
  <c r="D13" i="10"/>
  <c r="D17" i="10"/>
  <c r="D19" i="10"/>
  <c r="D10" i="10"/>
  <c r="D26" i="10"/>
  <c r="C30" i="10"/>
  <c r="D16" i="10"/>
  <c r="D33" i="13"/>
  <c r="D36" i="13" s="1"/>
  <c r="C41" i="10"/>
  <c r="D38" i="10" s="1"/>
  <c r="H656"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<sst xmlns="http://schemas.openxmlformats.org/spreadsheetml/2006/main" count="5528" uniqueCount="1628">
  <si>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</si>
  <si>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</si>
  <si>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</si>
  <si>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</si>
  <si>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</si>
  <si>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</si>
  <si>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</si>
  <si>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</si>
  <si>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</si>
  <si>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</si>
  <si>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</si>
  <si>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</si>
  <si>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</si>
  <si>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</si>
  <si>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</si>
  <si>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</si>
  <si>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</si>
  <si>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</si>
  <si>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</si>
  <si>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</si>
  <si>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</si>
  <si>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</si>
  <si>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</si>
  <si>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</si>
  <si>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</si>
  <si>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</si>
  <si>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</si>
  <si>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</si>
  <si>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</si>
  <si>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</si>
  <si>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</si>
  <si>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</si>
  <si>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</si>
  <si>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</si>
  <si>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</si>
  <si>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</si>
  <si>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</si>
  <si>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</si>
  <si>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</si>
  <si>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</si>
  <si>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</si>
  <si>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</si>
  <si>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</si>
  <si>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</si>
  <si>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</si>
  <si>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</si>
  <si>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</si>
  <si>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</si>
  <si>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</si>
  <si>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</si>
  <si>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</si>
  <si>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</si>
  <si>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</si>
  <si>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</si>
  <si>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</si>
  <si>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</si>
  <si>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</si>
  <si>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</si>
  <si>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</si>
  <si>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</si>
  <si>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</si>
  <si>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</si>
  <si>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</si>
  <si>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</si>
  <si>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</si>
  <si>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</si>
  <si>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</si>
  <si>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</si>
  <si>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</si>
  <si>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</si>
  <si>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</si>
  <si>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</si>
  <si>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</si>
  <si>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</si>
  <si>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</si>
  <si>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</si>
  <si>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</si>
  <si>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</si>
  <si>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</si>
  <si>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</si>
  <si>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</si>
  <si>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</si>
  <si>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</si>
  <si>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</si>
  <si>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</si>
  <si>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</si>
  <si>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</si>
  <si>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</si>
  <si>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</si>
  <si>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</si>
  <si>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</si>
  <si>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</si>
  <si>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</si>
  <si>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</si>
  <si>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</si>
  <si>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</si>
  <si>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</si>
  <si>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</si>
  <si>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</si>
  <si>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</si>
  <si>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</si>
  <si>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</si>
  <si>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</si>
  <si>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</si>
  <si>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</si>
  <si>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</si>
  <si>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</si>
  <si>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</si>
  <si>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</si>
  <si>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</si>
  <si>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</si>
  <si>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</si>
  <si>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</si>
  <si>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</si>
  <si>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</si>
  <si>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</si>
  <si>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</si>
  <si>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</si>
  <si>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</si>
  <si>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</si>
  <si>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</si>
  <si>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</si>
  <si>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</si>
  <si>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</si>
  <si>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</si>
  <si>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</si>
  <si>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</si>
  <si>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</si>
  <si>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</si>
  <si>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</si>
  <si>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</si>
  <si>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</si>
  <si>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</si>
  <si>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</si>
  <si>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</si>
  <si>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</si>
  <si>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</si>
  <si>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</si>
  <si>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</si>
  <si>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</si>
  <si>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</si>
  <si>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</si>
  <si>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</si>
  <si>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</si>
  <si>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</si>
  <si>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</si>
  <si>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</si>
  <si>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</si>
  <si>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</si>
  <si>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</si>
  <si>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</si>
  <si>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</si>
  <si>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</si>
  <si>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</si>
  <si>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</si>
  <si>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</si>
  <si>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</si>
  <si>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</si>
  <si>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</si>
  <si>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</si>
  <si>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</si>
  <si>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</si>
  <si>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</si>
  <si>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</si>
  <si>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</si>
  <si>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</si>
  <si>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</si>
  <si>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</si>
  <si>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</si>
  <si>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</si>
  <si>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</si>
  <si>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</si>
  <si>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</si>
  <si>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</si>
  <si>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</si>
  <si>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</si>
  <si>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</si>
  <si>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</si>
  <si>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</si>
  <si>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</si>
  <si>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</si>
  <si>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</si>
  <si>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</si>
  <si>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</si>
  <si>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</si>
  <si>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</si>
  <si>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</si>
  <si>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</si>
  <si>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</si>
  <si>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</si>
  <si>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</si>
  <si>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</si>
  <si>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</si>
  <si>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</si>
  <si>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</si>
  <si>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</si>
  <si>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</si>
  <si>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</si>
  <si>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</si>
  <si>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</si>
  <si>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</si>
  <si>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</si>
  <si>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</si>
  <si>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</si>
  <si>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</si>
  <si>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</si>
  <si>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</si>
  <si>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</si>
  <si>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</si>
  <si>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</si>
  <si>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</si>
  <si>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</si>
  <si>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</si>
  <si>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</si>
  <si>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</si>
  <si>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</si>
  <si>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</si>
  <si>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</si>
  <si>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</si>
  <si>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</si>
  <si>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</si>
  <si>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</si>
  <si>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</si>
  <si>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</si>
  <si>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</si>
  <si>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</si>
  <si>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</si>
  <si>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</si>
  <si>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</si>
  <si>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</si>
  <si>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</si>
  <si>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</si>
  <si>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</si>
  <si>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</si>
  <si>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</si>
  <si>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</si>
  <si>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</si>
  <si>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</si>
  <si>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</si>
  <si>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</si>
  <si>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</si>
  <si>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</si>
  <si>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</si>
  <si>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</si>
  <si>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</si>
  <si>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</si>
  <si>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</si>
  <si>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</si>
  <si>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</si>
  <si>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</si>
  <si>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</si>
  <si>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</si>
  <si>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</si>
  <si>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</si>
  <si>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</si>
  <si>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</si>
  <si>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</si>
  <si>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</si>
  <si>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</si>
  <si>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</si>
  <si>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</si>
  <si>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</si>
  <si>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</si>
  <si>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</si>
  <si>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</si>
  <si>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</si>
  <si>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</si>
  <si>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</si>
  <si>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</si>
  <si>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</si>
  <si>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</si>
  <si>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</si>
  <si>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</si>
  <si>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</si>
  <si>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</si>
  <si>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</si>
  <si>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</si>
  <si>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</si>
  <si>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</si>
  <si>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</si>
  <si>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</si>
  <si>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</si>
  <si>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</si>
  <si>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</si>
  <si>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</si>
  <si>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</si>
  <si>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</si>
  <si>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</si>
  <si>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</si>
  <si>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</si>
  <si>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</si>
  <si>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</si>
  <si>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</si>
  <si>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</si>
  <si>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</si>
  <si>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</si>
  <si>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</si>
  <si>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</si>
  <si>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</si>
  <si>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</si>
  <si>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</si>
  <si>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</si>
  <si>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</si>
  <si>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</si>
  <si>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</si>
  <si>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</si>
  <si>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</si>
  <si>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</si>
  <si>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</si>
  <si>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</si>
  <si>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</si>
  <si>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</si>
  <si>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</si>
  <si>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</si>
  <si>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</si>
  <si>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</si>
  <si>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</si>
  <si>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</si>
  <si>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</si>
  <si>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</si>
  <si>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</si>
  <si>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</si>
  <si>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</si>
  <si>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</si>
  <si>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</si>
  <si>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</si>
  <si>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</si>
  <si>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</si>
  <si>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</si>
  <si>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</si>
  <si>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</si>
  <si>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</si>
  <si>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</si>
  <si>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</si>
  <si>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</si>
  <si>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</si>
  <si>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</si>
  <si>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</si>
  <si>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</si>
  <si>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</si>
  <si>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</si>
  <si>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</si>
  <si>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</si>
  <si>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</si>
  <si>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</si>
  <si>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</si>
  <si>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</si>
  <si>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</si>
  <si>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</si>
  <si>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</si>
  <si>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</si>
  <si>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</si>
  <si>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</si>
  <si>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</si>
  <si>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</si>
  <si>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</si>
  <si>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</si>
  <si>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</si>
  <si>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</si>
  <si>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</si>
  <si>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</si>
  <si>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</si>
  <si>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</si>
  <si>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</si>
  <si>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</si>
  <si>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</si>
  <si>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</si>
  <si>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</si>
  <si>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</si>
  <si>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</si>
  <si>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</si>
  <si>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</si>
  <si>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</si>
  <si>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</si>
  <si>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</si>
  <si>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</si>
  <si>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</si>
  <si>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</si>
  <si>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</si>
  <si>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</si>
  <si>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</si>
  <si>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</si>
  <si>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</si>
  <si>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</si>
  <si>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</si>
  <si>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</si>
  <si>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</si>
  <si>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</si>
  <si>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</si>
  <si>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</si>
  <si>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</si>
  <si>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</si>
  <si>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</si>
  <si>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</si>
  <si>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</si>
  <si>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</si>
  <si>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</si>
  <si>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</si>
  <si>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</si>
  <si>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</si>
  <si>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</si>
  <si>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</si>
  <si>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</si>
  <si>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</si>
  <si>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</si>
  <si>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</si>
  <si>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</si>
  <si>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</si>
  <si>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</si>
  <si>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</si>
  <si>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</si>
  <si>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</si>
  <si>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</si>
  <si>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</si>
  <si>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</si>
  <si>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</si>
  <si>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</si>
  <si>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</si>
  <si>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</si>
  <si>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</si>
  <si>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</si>
  <si>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</si>
  <si>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</si>
  <si>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</si>
  <si>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</si>
  <si>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</si>
  <si>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</si>
  <si>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</si>
  <si>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</si>
  <si>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</si>
  <si>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</si>
  <si>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</si>
  <si>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</si>
  <si>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</si>
  <si>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</si>
  <si>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</si>
  <si>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</si>
  <si>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</si>
  <si>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</si>
  <si>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</si>
  <si>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</si>
  <si>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</si>
  <si>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</si>
  <si>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</si>
  <si>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</si>
  <si>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</si>
  <si>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</si>
  <si>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</si>
  <si>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</si>
  <si>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</si>
  <si>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</si>
  <si>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</si>
  <si>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</si>
  <si>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</si>
  <si>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</si>
  <si>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</si>
  <si>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</si>
  <si>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</si>
  <si>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</si>
  <si>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</si>
  <si>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</si>
  <si>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</si>
  <si>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</si>
  <si>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</si>
  <si>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</si>
  <si>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</si>
  <si>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</si>
  <si>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</si>
  <si>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</si>
  <si>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</si>
  <si>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</si>
  <si>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</si>
  <si>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</si>
  <si>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</si>
  <si>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</si>
  <si>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</si>
  <si>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</si>
  <si>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</si>
  <si>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</si>
  <si>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</si>
  <si>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</si>
  <si>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</si>
  <si>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</si>
  <si>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</si>
  <si>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</si>
  <si>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</si>
  <si>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</si>
  <si>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</si>
  <si>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</si>
  <si>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</si>
  <si>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</si>
  <si>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</si>
  <si>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</si>
  <si>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</si>
  <si>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</si>
  <si>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</si>
  <si>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</si>
  <si>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</si>
  <si>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</si>
  <si>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</si>
  <si>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</si>
  <si>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</si>
  <si>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</si>
  <si>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</si>
  <si>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</si>
  <si>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</si>
  <si>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</si>
  <si>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</si>
  <si>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</si>
  <si>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</si>
  <si>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</si>
  <si>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</si>
  <si>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</si>
  <si>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</si>
  <si>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</si>
  <si>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</si>
  <si>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</si>
  <si>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</si>
  <si>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</si>
  <si>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</si>
  <si>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</si>
  <si>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</si>
  <si>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</si>
  <si>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</si>
  <si>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</si>
  <si>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</si>
  <si>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</si>
  <si>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</si>
  <si>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</si>
  <si>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</si>
  <si>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</si>
  <si>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</si>
  <si>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</si>
  <si>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</si>
  <si>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</si>
  <si>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</si>
  <si>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</si>
  <si>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</si>
  <si>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</si>
  <si>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</si>
  <si>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</si>
  <si>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</si>
  <si>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</si>
  <si>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</si>
  <si>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</si>
  <si>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</si>
  <si>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</si>
  <si>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</si>
  <si>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</si>
  <si>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</si>
  <si>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</si>
  <si>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</si>
  <si>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</si>
  <si>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</si>
  <si>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</si>
  <si>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</si>
  <si>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</si>
  <si>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</si>
  <si>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</si>
  <si>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</si>
  <si>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</si>
  <si>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</si>
  <si>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</si>
  <si>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</si>
  <si>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</si>
  <si>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</si>
  <si>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</si>
  <si>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</si>
  <si>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</si>
  <si>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</si>
  <si>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</si>
  <si>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</si>
  <si>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</si>
  <si>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</si>
  <si>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</si>
  <si>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</si>
  <si>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</si>
  <si>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</si>
  <si>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</si>
  <si>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</si>
  <si>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</si>
  <si>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</si>
  <si>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</si>
  <si>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</si>
  <si>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</si>
  <si>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</si>
  <si>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</si>
  <si>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</si>
  <si>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</si>
  <si>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</si>
  <si>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</si>
  <si>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</si>
  <si>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</si>
  <si>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</si>
  <si>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</si>
  <si>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</si>
  <si>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</si>
  <si>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</si>
  <si>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</si>
  <si>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</si>
  <si>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</si>
  <si>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</si>
  <si>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</si>
  <si>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</si>
  <si>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</si>
  <si>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</si>
  <si>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</si>
  <si>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</si>
  <si>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</si>
  <si>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</si>
  <si>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</si>
  <si>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</si>
  <si>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</si>
  <si>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</si>
  <si>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</si>
  <si>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</si>
  <si>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</si>
  <si>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</si>
  <si>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</si>
  <si>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</si>
  <si>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</si>
  <si>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</si>
  <si>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</si>
  <si>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</si>
  <si>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</si>
  <si>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</si>
  <si>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</si>
  <si>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</si>
  <si>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</si>
  <si>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</si>
  <si>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</si>
  <si>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</si>
  <si>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</si>
  <si>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</si>
  <si>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</si>
  <si>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</si>
  <si>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</si>
  <si>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</si>
  <si>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</si>
  <si>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</si>
  <si>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</si>
  <si>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</si>
  <si>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</si>
  <si>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</si>
  <si>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</si>
  <si>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</si>
  <si>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</si>
  <si>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</si>
  <si>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</si>
  <si>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</si>
  <si>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</si>
  <si>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</si>
  <si>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</si>
  <si>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</si>
  <si>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</si>
  <si>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</si>
  <si>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</si>
  <si>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</si>
  <si>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</si>
  <si>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</si>
  <si>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</si>
  <si>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</si>
  <si>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</si>
  <si>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</si>
  <si>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</si>
  <si>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</si>
  <si>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</si>
  <si>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</si>
  <si>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</si>
  <si>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</si>
  <si>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</si>
  <si>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</si>
  <si>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</si>
  <si>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</si>
  <si>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</si>
  <si>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</si>
  <si>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</si>
  <si>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</si>
  <si>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</si>
  <si>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</si>
  <si>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</si>
  <si>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</si>
  <si>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</si>
  <si>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</si>
  <si>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</si>
  <si>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</si>
  <si>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</si>
  <si>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</si>
  <si>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</si>
  <si>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</si>
  <si>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</si>
  <si>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</si>
  <si>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</si>
  <si>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</si>
  <si>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</si>
  <si>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</si>
  <si>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</si>
  <si>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</si>
  <si>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</si>
  <si>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</si>
  <si>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</si>
  <si>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</si>
  <si>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</si>
  <si>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</si>
  <si>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</si>
  <si>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</si>
  <si>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</si>
  <si>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</si>
  <si>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</si>
  <si>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</si>
  <si>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</si>
  <si>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</si>
  <si>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</si>
  <si>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</si>
  <si>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</si>
  <si>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</si>
  <si>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</si>
  <si>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</si>
  <si>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</si>
  <si>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</si>
  <si>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</si>
  <si>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</si>
  <si>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</si>
  <si>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</si>
  <si>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</si>
  <si>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</si>
  <si>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</si>
  <si>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</si>
  <si>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</si>
  <si>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</si>
  <si>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</si>
  <si>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</si>
  <si>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</si>
  <si>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</si>
  <si>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</si>
  <si>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</si>
  <si>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</si>
  <si>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</si>
  <si>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</si>
  <si>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</si>
  <si>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</si>
  <si>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</si>
  <si>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</si>
  <si>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</si>
  <si>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</si>
  <si>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</si>
  <si>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</si>
  <si>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</si>
  <si>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</si>
  <si>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</si>
  <si>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</si>
  <si>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</si>
  <si>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</si>
  <si>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</si>
  <si>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</si>
  <si>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</si>
  <si>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</si>
  <si>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</si>
  <si>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</si>
  <si>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</si>
  <si>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</si>
  <si>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</si>
  <si>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</si>
  <si>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</si>
  <si>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</si>
  <si>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</si>
  <si>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</si>
  <si>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</si>
  <si>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</si>
  <si>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</si>
  <si>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</si>
  <si>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</si>
  <si>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</si>
  <si>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</si>
  <si>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</si>
  <si>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</si>
  <si>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</si>
  <si>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</si>
  <si>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</si>
  <si>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</si>
  <si>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</si>
  <si>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</si>
  <si>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</si>
  <si>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</si>
  <si>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</si>
  <si>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</si>
  <si>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</si>
  <si>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</si>
  <si>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</si>
  <si>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</si>
  <si>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</si>
  <si>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</si>
  <si>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</si>
  <si>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</si>
  <si>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</si>
  <si>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</si>
  <si>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</si>
  <si>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</si>
  <si>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</si>
  <si>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</si>
  <si>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</si>
  <si>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</si>
  <si>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</si>
  <si>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</si>
  <si>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</si>
  <si>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</si>
  <si>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</si>
  <si>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</si>
  <si>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</si>
  <si>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</si>
  <si>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</si>
  <si>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</si>
  <si>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</si>
  <si>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</si>
  <si>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</si>
  <si>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</si>
  <si>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</si>
  <si>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</si>
  <si>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</si>
  <si>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</si>
  <si>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</si>
  <si>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</si>
  <si>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</si>
  <si>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</si>
  <si>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</si>
  <si>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</si>
  <si>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</si>
  <si>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</si>
  <si>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</si>
  <si>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</si>
  <si>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</si>
  <si>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</si>
  <si>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</si>
  <si>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</si>
  <si>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</si>
  <si>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</si>
  <si>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</si>
  <si>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</si>
  <si>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</si>
  <si>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</si>
  <si>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</si>
  <si>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</si>
  <si>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</si>
  <si>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</si>
  <si>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</si>
  <si>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</si>
  <si>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</si>
  <si>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</si>
  <si>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</si>
  <si>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</si>
  <si>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</si>
  <si>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</si>
  <si>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</si>
  <si>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</si>
  <si>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</si>
  <si>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</si>
  <si>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</si>
  <si>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</si>
  <si>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</si>
  <si>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</si>
  <si>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</si>
  <si>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</si>
  <si>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</si>
  <si>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</si>
  <si>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</si>
  <si>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</si>
  <si>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</si>
  <si>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</si>
  <si>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</si>
  <si>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</si>
  <si>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</si>
  <si>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</si>
  <si>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</si>
  <si>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</si>
  <si>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</si>
  <si>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</si>
  <si>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</si>
  <si>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</si>
  <si>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</si>
  <si>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</si>
  <si>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</si>
  <si>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</si>
  <si>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</si>
  <si>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</si>
  <si>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</si>
  <si>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</si>
  <si>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</si>
  <si>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</si>
  <si>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</si>
  <si>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</si>
  <si>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</si>
  <si>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</si>
  <si>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</si>
  <si>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</si>
  <si>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</si>
  <si>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</si>
  <si>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</si>
  <si>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</si>
  <si>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</si>
  <si>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</si>
  <si>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</si>
  <si>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</si>
  <si>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</si>
  <si>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</si>
  <si>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</si>
  <si>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</si>
  <si>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</si>
  <si>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</si>
  <si>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</si>
  <si>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</si>
  <si>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</si>
  <si>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</si>
  <si>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</si>
  <si>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</si>
  <si>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</si>
  <si>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</si>
  <si>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</si>
  <si>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</si>
  <si>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</si>
  <si>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</si>
  <si>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</si>
  <si>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</si>
  <si>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</si>
  <si>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</si>
  <si>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</si>
  <si>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</si>
  <si>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</si>
  <si>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</si>
  <si>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</si>
  <si>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</si>
  <si>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</si>
  <si>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</si>
  <si>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</si>
  <si>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</si>
  <si>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</si>
  <si>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</si>
  <si>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</si>
  <si>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</si>
  <si>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</si>
  <si>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</si>
  <si>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</si>
  <si>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</si>
  <si>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</si>
  <si>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</si>
  <si>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</si>
  <si>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</si>
  <si>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</si>
  <si>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</si>
  <si>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</si>
  <si>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</si>
  <si>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</si>
  <si>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</si>
  <si>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</si>
  <si>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</si>
  <si>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</si>
  <si>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</si>
  <si>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</si>
  <si>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</si>
  <si>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</si>
  <si>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</si>
  <si>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</si>
  <si>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</si>
  <si>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</si>
  <si>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</si>
  <si>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</si>
  <si>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</si>
  <si>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</si>
  <si>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</si>
  <si>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</si>
  <si>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</si>
  <si>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</si>
  <si>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</si>
  <si>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</si>
  <si>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</si>
  <si>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</si>
  <si>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</si>
  <si>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</si>
  <si>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</si>
  <si>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</si>
  <si>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</si>
  <si>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</si>
  <si>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</si>
  <si>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</si>
  <si>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</si>
  <si>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</si>
  <si>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</si>
  <si>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</si>
  <si>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</si>
  <si>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</si>
  <si>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</si>
  <si>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</si>
  <si>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</si>
  <si>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</si>
  <si>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</si>
  <si>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</si>
  <si>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</si>
  <si>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</si>
  <si>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</si>
  <si>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</si>
  <si>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</si>
  <si>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</si>
  <si>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</si>
  <si>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</si>
  <si>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</si>
  <si>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</si>
  <si>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</si>
  <si>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</si>
  <si>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</si>
  <si>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</si>
  <si>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</si>
  <si>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</si>
  <si>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</si>
  <si>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</si>
  <si>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</si>
  <si>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</si>
  <si>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</si>
  <si>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</si>
  <si>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</si>
  <si>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</si>
  <si>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</si>
  <si>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</si>
  <si>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</si>
  <si>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</si>
  <si>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</si>
  <si>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</si>
  <si>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</si>
  <si>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</si>
  <si>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</si>
  <si>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</si>
  <si>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</si>
  <si>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</si>
  <si>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</si>
  <si>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</si>
  <si>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</si>
  <si>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</si>
  <si>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</si>
  <si>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</si>
  <si>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</si>
  <si>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</si>
  <si>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</si>
  <si>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</si>
  <si>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</si>
  <si>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</si>
  <si>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</si>
  <si>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</si>
  <si>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</si>
  <si>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</si>
  <si>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</si>
  <si>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</si>
  <si>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</si>
  <si>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</si>
  <si>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</si>
  <si>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</si>
  <si>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</si>
  <si>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</si>
  <si>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</si>
  <si>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</si>
  <si>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</si>
  <si>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</si>
  <si>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</si>
  <si>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</si>
  <si>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</si>
  <si>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</si>
  <si>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</si>
  <si>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</si>
  <si>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</si>
  <si>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</si>
  <si>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</si>
  <si>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</si>
  <si>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</si>
  <si>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</si>
  <si>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</si>
  <si>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</si>
  <si>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</si>
  <si>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</si>
  <si>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</si>
  <si>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</si>
  <si>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</si>
  <si>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</si>
  <si>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</si>
  <si>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</si>
  <si>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</si>
  <si>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</si>
  <si>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</si>
  <si>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</si>
  <si>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</si>
  <si>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</si>
  <si>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</si>
  <si>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</si>
  <si>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</si>
  <si>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</si>
  <si>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</si>
  <si>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</si>
  <si>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</si>
  <si>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</si>
  <si>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</si>
  <si>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</si>
  <si>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</si>
  <si>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</si>
  <si>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</si>
  <si>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</si>
  <si>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</si>
  <si>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</si>
  <si>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</si>
  <si>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</si>
  <si>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</si>
  <si>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</si>
  <si>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</si>
  <si>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</si>
  <si>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</si>
  <si>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</si>
  <si>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</si>
  <si>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</si>
  <si>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</si>
  <si>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</si>
  <si>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</si>
  <si>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</si>
  <si>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</si>
  <si>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</si>
  <si>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</si>
  <si>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</si>
  <si>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</si>
  <si>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</si>
  <si>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</si>
  <si>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</si>
  <si>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</si>
  <si>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</si>
  <si>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</si>
  <si>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</si>
  <si>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</si>
  <si>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</si>
  <si>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</si>
  <si>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</si>
  <si>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</si>
  <si>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</si>
  <si>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</si>
  <si>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</si>
  <si>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</si>
  <si>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</si>
  <si>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</si>
  <si>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</si>
  <si>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</si>
  <si>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</si>
  <si>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</si>
  <si>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</si>
  <si>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</si>
  <si>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</si>
  <si>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</si>
  <si>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</si>
  <si>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</si>
  <si>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</si>
  <si>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</si>
  <si>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</si>
  <si>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</si>
  <si>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</si>
  <si>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</si>
  <si>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</si>
  <si>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</si>
  <si>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</si>
  <si>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</si>
  <si>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</si>
  <si>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</si>
  <si>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</si>
  <si>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</si>
  <si>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</si>
  <si>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</si>
  <si>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</si>
  <si>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</si>
  <si>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</si>
  <si>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</si>
  <si>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</si>
  <si>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</si>
  <si>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</si>
  <si>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</si>
  <si>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</si>
  <si>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</si>
  <si>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</si>
  <si>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</si>
  <si>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</si>
  <si>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</si>
  <si>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</si>
  <si>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</si>
  <si>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</si>
  <si>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</si>
  <si>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</si>
  <si>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</si>
  <si>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</si>
  <si>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</si>
  <si>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</si>
  <si>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</si>
  <si>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</si>
  <si>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</si>
  <si>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</si>
  <si>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</si>
  <si>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</si>
  <si>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</si>
  <si>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</si>
  <si>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</si>
  <si>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</si>
  <si>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</si>
  <si>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</si>
  <si>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</si>
  <si>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</si>
  <si>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</si>
  <si>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</si>
  <si>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</si>
  <si>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</si>
  <si>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</si>
  <si>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</si>
  <si>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</si>
  <si>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</si>
  <si>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</si>
  <si>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</si>
  <si>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</si>
  <si>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</si>
  <si>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</si>
  <si>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</si>
  <si>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</si>
  <si>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</si>
  <si>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</si>
  <si>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</si>
  <si>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</si>
  <si>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</si>
  <si>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</si>
  <si>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</si>
  <si>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</si>
  <si>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</si>
  <si>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</si>
  <si>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</si>
  <si>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</si>
  <si>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</si>
  <si>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</si>
  <si>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</si>
  <si>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</si>
  <si>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</si>
  <si>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</si>
  <si>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</si>
  <si>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</si>
  <si>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</si>
  <si>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</si>
  <si>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</si>
  <si>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</si>
  <si>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</si>
  <si>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</si>
  <si>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</si>
  <si>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</si>
  <si>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</si>
  <si>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</si>
  <si>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</si>
  <si>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</si>
  <si>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</si>
  <si>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</si>
  <si>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</si>
  <si>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</si>
  <si>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</si>
  <si>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</si>
  <si>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</si>
  <si>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</si>
  <si>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</si>
  <si>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</si>
  <si>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</si>
  <si>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</si>
  <si>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</si>
  <si>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</si>
  <si>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</si>
  <si>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</si>
  <si>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</si>
  <si>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</si>
  <si>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</si>
  <si>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</si>
  <si>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</si>
  <si>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</si>
  <si>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</si>
  <si>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</si>
  <si>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</si>
  <si>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</si>
  <si>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</si>
  <si>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</si>
  <si>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</si>
  <si>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</si>
  <si>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</si>
  <si>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</si>
  <si>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</si>
  <si>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</si>
  <si>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</si>
  <si>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</si>
  <si>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</si>
  <si>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</si>
  <si>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</si>
  <si>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</si>
  <si>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</si>
  <si>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</si>
  <si>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</si>
  <si>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</si>
  <si>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</si>
  <si>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</si>
  <si>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</si>
  <si>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</si>
  <si>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</si>
  <si>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</si>
  <si>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</si>
  <si>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</si>
  <si>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</si>
  <si>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</si>
  <si>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</si>
  <si>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</si>
  <si>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</si>
  <si>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</si>
  <si>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</si>
  <si>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</si>
  <si>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</si>
  <si>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</si>
  <si>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</si>
  <si>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</si>
  <si>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</si>
  <si>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</si>
  <si>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</si>
  <si>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</si>
  <si>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</si>
  <si>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</si>
  <si>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</si>
  <si>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</si>
  <si>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</si>
  <si>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</si>
  <si>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</si>
  <si>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</si>
  <si>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</si>
  <si>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</si>
  <si>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</si>
  <si>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</si>
  <si>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</si>
  <si>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</si>
  <si>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</si>
  <si>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</si>
  <si>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</si>
  <si>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</si>
  <si>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</si>
  <si>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</si>
  <si>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</si>
  <si>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</si>
  <si>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</si>
  <si>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</si>
  <si>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</si>
  <si>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</si>
  <si>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</si>
  <si>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</si>
  <si>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</si>
  <si>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</si>
  <si>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</si>
  <si>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</si>
  <si>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</si>
  <si>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</si>
  <si>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</si>
  <si>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</si>
  <si>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</si>
  <si>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</si>
  <si>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</si>
  <si>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</si>
  <si>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</si>
  <si>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</si>
  <si>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</si>
  <si>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</si>
  <si>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</si>
  <si>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</si>
  <si>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</si>
  <si>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</si>
  <si>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</si>
  <si>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</si>
  <si>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</si>
  <si>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</si>
  <si>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</si>
  <si>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</si>
  <si>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</si>
  <si>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</si>
  <si>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</si>
  <si>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</si>
  <si>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</si>
  <si>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</si>
  <si>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</si>
  <si>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</si>
  <si>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</si>
  <si>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</si>
  <si>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</si>
  <si>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</si>
  <si>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</si>
  <si>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</si>
  <si>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</si>
  <si>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</si>
  <si>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</si>
  <si>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</si>
  <si>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</si>
  <si>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</si>
  <si>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</si>
  <si>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</si>
  <si>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</si>
  <si>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</si>
  <si>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</si>
  <si>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</si>
  <si>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</si>
  <si>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</si>
  <si>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</si>
  <si>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</si>
  <si>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</si>
  <si>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</si>
  <si>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</si>
  <si>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</si>
  <si>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</si>
  <si>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</si>
  <si>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</si>
  <si>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</si>
  <si>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</si>
  <si>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</si>
  <si>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</si>
  <si>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</si>
  <si>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</si>
  <si>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</si>
  <si>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</si>
  <si>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</si>
  <si>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</si>
  <si>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</si>
  <si>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</si>
  <si>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</si>
  <si>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</si>
  <si>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</si>
  <si>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</si>
  <si>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</si>
  <si>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</si>
  <si>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</si>
  <si>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</si>
  <si>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</si>
  <si>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</si>
  <si>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</si>
  <si>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</si>
  <si>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</si>
  <si>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</si>
  <si>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</si>
  <si>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</si>
  <si>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</si>
  <si>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</si>
  <si>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</si>
  <si>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</si>
  <si>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</si>
  <si>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</si>
  <si>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</si>
  <si>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</si>
  <si>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</si>
  <si>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</si>
  <si>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</si>
  <si>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</si>
  <si>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</si>
  <si>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</si>
  <si>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</si>
  <si>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</si>
  <si>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</si>
  <si>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</si>
  <si>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</si>
  <si>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</si>
  <si>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</si>
  <si>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</si>
  <si>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</si>
  <si>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</si>
  <si>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</si>
  <si>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</si>
  <si>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</si>
  <si>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</si>
  <si>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</si>
  <si>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</si>
  <si>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</si>
  <si>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</si>
  <si>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</si>
  <si>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</si>
  <si>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</si>
  <si>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</si>
  <si>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</si>
  <si>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</si>
  <si>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</si>
  <si>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</si>
  <si>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</si>
  <si>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</si>
  <si>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</si>
  <si>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</si>
  <si>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</si>
  <si>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</si>
  <si>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</si>
  <si>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</si>
  <si>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</si>
  <si>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</si>
  <si>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</si>
  <si>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</si>
  <si>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</si>
  <si>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</si>
  <si>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</si>
  <si>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</si>
  <si>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</si>
  <si>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</si>
  <si>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</si>
  <si>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</si>
  <si>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</si>
  <si>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</si>
  <si>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</si>
  <si>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</si>
  <si>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</si>
  <si>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</si>
  <si>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</si>
  <si>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</si>
  <si>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</si>
  <si>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</si>
  <si>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</si>
  <si>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</si>
  <si>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</si>
  <si>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</si>
  <si>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</si>
  <si>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</si>
  <si>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</si>
  <si>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</si>
  <si>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</si>
  <si>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</si>
  <si>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</si>
  <si>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</si>
  <si>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</si>
  <si>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</si>
  <si>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</si>
  <si>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</si>
  <si>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</si>
  <si>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</si>
  <si>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</si>
  <si>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</si>
  <si>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</si>
  <si>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</si>
  <si>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</si>
  <si>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</si>
  <si>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</si>
  <si>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</si>
  <si>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</si>
  <si>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</si>
  <si>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</si>
  <si>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</si>
  <si>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</si>
  <si>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</si>
  <si>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</si>
  <si>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</si>
  <si>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</si>
  <si>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</si>
  <si>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</si>
  <si>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</si>
  <si>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</si>
  <si>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</si>
  <si>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</si>
  <si>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</si>
  <si>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</si>
  <si>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</si>
  <si>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</si>
  <si>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</si>
  <si>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</si>
  <si>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</si>
  <si>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</si>
  <si>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</si>
  <si>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</si>
  <si>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</si>
  <si>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</si>
  <si>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</si>
  <si>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</si>
  <si>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</si>
  <si>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</si>
  <si>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</si>
  <si>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</si>
  <si>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</si>
  <si>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</si>
  <si>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</si>
  <si>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</si>
  <si>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</si>
  <si>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</si>
  <si>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</si>
  <si>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</si>
  <si>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</si>
  <si>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</si>
  <si>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</si>
  <si>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</si>
  <si>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</si>
  <si>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</si>
  <si>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</si>
  <si>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</si>
  <si>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</si>
  <si>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</si>
  <si>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</si>
  <si>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</si>
  <si>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</si>
  <si>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</si>
  <si>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</si>
  <si>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</si>
  <si>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</si>
  <si>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</si>
  <si>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</si>
  <si>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</si>
  <si>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</si>
  <si>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</si>
  <si>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</si>
  <si>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</si>
  <si>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</si>
  <si>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</si>
  <si>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</si>
  <si>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</si>
  <si>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</si>
  <si>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</si>
  <si>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</si>
  <si>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</si>
  <si>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</si>
  <si>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</si>
  <si>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</si>
  <si>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 xml:space="preserve">                CONWAY SCHOOL DISTRICT</t>
  </si>
  <si>
    <t>Seidenturecker Non Exp Trust</t>
  </si>
  <si>
    <t>12/03</t>
  </si>
  <si>
    <t>1/2024</t>
  </si>
  <si>
    <t>7/16</t>
  </si>
  <si>
    <t>8/2037</t>
  </si>
  <si>
    <t>7/17</t>
  </si>
  <si>
    <t>8/2038</t>
  </si>
  <si>
    <t>8/2036</t>
  </si>
  <si>
    <t>6/18</t>
  </si>
  <si>
    <t>School Level Expenses - Other School expenses represent special education out of district tuition and associated preschool costs</t>
  </si>
  <si>
    <t>Indirect Contracts Over $25000 -</t>
  </si>
  <si>
    <t xml:space="preserve">   Function 2100  Schooll Resource Officer (Contract with Conway Police Dept)</t>
  </si>
  <si>
    <t xml:space="preserve">   Function 2200 Adapt Service Contract-provided to KMS&amp;KHS/Powerschool Service Contract</t>
  </si>
  <si>
    <t xml:space="preserve">   Function 2400 Copier Maintenance Contract</t>
  </si>
  <si>
    <t xml:space="preserve">   Function 2600 Siemens Maintenance Contracts and Plowing Contracts</t>
  </si>
  <si>
    <t xml:space="preserve">   Function 2700 Special Education Transporation Contracts for Individual Students</t>
  </si>
  <si>
    <t xml:space="preserve">   Function 3100 Cafeteria Service Contract</t>
  </si>
  <si>
    <t xml:space="preserve">   NOTE:  Did not include Speech and OT Service Contracts that are by hour/and or per diem provided in-house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</si>
</sst>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4" fontId="11" fillId="0" borderId="0" xfId="0" applyNumberFormat="1"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Normal="100" workbookViewId="0">
      <pane xSplit="5" ySplit="3" topLeftCell="F651"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113</v>
      </c>
      <c r="C2" s="21">
        <v>113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1607737.57+450</f>
        <v>1608187.57</v>
      </c>
      <c r="G9" s="18">
        <v>635836.56999999995</v>
      </c>
      <c r="H9" s="18">
        <v>0</v>
      </c>
      <c r="I9" s="18"/>
      <c r="J9" s="67">
        <f>SUM(I439)</f>
        <v>1598821.0499999998</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828615.34</v>
      </c>
      <c r="G12" s="18">
        <v>116474.45</v>
      </c>
      <c r="H12" s="18"/>
      <c r="I12" s="18">
        <v>40040</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98171.34</v>
      </c>
      <c r="G13" s="18">
        <v>26692.26</v>
      </c>
      <c r="H13" s="18">
        <v>244473.24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45537.21</v>
      </c>
      <c r="G14" s="18">
        <v>1600.75</v>
      </c>
      <c r="H14" s="18">
        <v>7946.4</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23705.25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2580511.46</v>
      </c>
      <c r="G19" s="41">
        <f>SUM(G9:G18)</f>
        <v>804309.27999999991</v>
      </c>
      <c r="H19" s="41">
        <f>SUM(H9:H18)</f>
        <v>252419.63999999998</v>
      </c>
      <c r="I19" s="41">
        <f>SUM(I9:I18)</f>
        <v>40040</v>
      </c>
      <c r="J19" s="41">
        <f>SUM(J9:J18)</f>
        <v>1598821.0499999998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156514.75</v>
      </c>
      <c r="G22" s="18">
        <v>780601.53</v>
      </c>
      <c r="H22" s="18">
        <v>48013.81</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225000.6</v>
      </c>
      <c r="G24" s="18">
        <v>2.5</v>
      </c>
      <c r="H24" s="18">
        <v>1111.8900000000001</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37570.06</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804.77</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419890.18</v>
      </c>
      <c r="G32" s="41">
        <f>SUM(G22:G31)</f>
        <v>780604.03</v>
      </c>
      <c r="H32" s="41">
        <f>SUM(H22:H31)</f>
        <v>49125.7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23705.25</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229050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0</v>
      </c>
      <c r="H48" s="18">
        <v>203293.94</v>
      </c>
      <c r="I48" s="18">
        <v>40040</v>
      </c>
      <c r="J48" s="13">
        <f>SUM(I459)</f>
        <v>1598821.0499999998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2160621.28-229050</f>
        <v>1931571.2799999998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2160621.2799999998</v>
      </c>
      <c r="G51" s="41">
        <f>SUM(G35:G50)</f>
        <v>23705.25</v>
      </c>
      <c r="H51" s="41">
        <f>SUM(H35:H50)</f>
        <v>203293.94</v>
      </c>
      <c r="I51" s="41">
        <f>SUM(I35:I50)</f>
        <v>40040</v>
      </c>
      <c r="J51" s="41">
        <f>SUM(J35:J50)</f>
        <v>1598821.0499999998</v>
      </c>
      <c r="K51" s="45" t="s">
        <v>288</v>
      </c>
      <c r="L51" s="45" t="s">
        <v>288</v>
      </c>
      <c r="N51" s="264"/>
    </row>
    <row r="52" spans="1:14" s="3" customFormat="1" ht="12.2" customHeight="1" thickTop="1" x14ac:dyDescent="0.15">
      <c r="A52" s="38" t="s">
        <v>455</v>
      </c>
      <c r="B52" s="39" t="s">
        <v>289</v>
      </c>
      <c r="C52" s="6">
        <v>37</v>
      </c>
      <c r="D52" s="39" t="s">
        <v>653</v>
      </c>
      <c r="E52" s="39"/>
      <c r="F52" s="41">
        <f>F51+F32</f>
        <v>2580511.46</v>
      </c>
      <c r="G52" s="41">
        <f>G51+G32</f>
        <v>804309.28</v>
      </c>
      <c r="H52" s="41">
        <f>H51+H32</f>
        <v>252419.64</v>
      </c>
      <c r="I52" s="41">
        <f>I51+I32</f>
        <v>40040</v>
      </c>
      <c r="J52" s="41">
        <f>J51+J32</f>
        <v>1598821.0499999998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14996401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14996401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10207518</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10207518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39851.72</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39851.72</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18878.080000000002</v>
      </c>
      <c r="G96" s="18"/>
      <c r="H96" s="18"/>
      <c r="I96" s="18"/>
      <c r="J96" s="18">
        <v>27134.04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303286.48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39473.25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340825.44</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183271.59</v>
      </c>
      <c r="G110" s="18">
        <v>117.62</v>
      </c>
      <c r="H110" s="18">
        <v>183270.32</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582448.36</v>
      </c>
      <c r="G111" s="41">
        <f>SUM(G96:G110)</f>
        <v>303404.09999999998</v>
      </c>
      <c r="H111" s="41">
        <f>SUM(H96:H110)</f>
        <v>183270.32</v>
      </c>
      <c r="I111" s="41">
        <f>SUM(I96:I110)</f>
        <v>0</v>
      </c>
      <c r="J111" s="41">
        <f>SUM(J96:J110)</f>
        <v>27134.04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25826219.079999998</v>
      </c>
      <c r="G112" s="41">
        <f>G60+G111</f>
        <v>303404.09999999998</v>
      </c>
      <c r="H112" s="41">
        <f>H60+H79+H94+H111</f>
        <v>183270.32</v>
      </c>
      <c r="I112" s="41">
        <f>I60+I111</f>
        <v>0</v>
      </c>
      <c r="J112" s="41">
        <f>J60+J111</f>
        <v>27134.04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2971435.81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3327640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6301031.9000000004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1060664.08</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85844.77</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187429.3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4750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v>42644.38</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7585.39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1333938.1500000001</v>
      </c>
      <c r="G136" s="41">
        <f>SUM(G123:G135)</f>
        <v>7585.39</v>
      </c>
      <c r="H136" s="41">
        <f>SUM(H123:H135)</f>
        <v>47394.38</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7634970.0500000007</v>
      </c>
      <c r="G140" s="41">
        <f>G121+SUM(G136:G137)</f>
        <v>7585.39</v>
      </c>
      <c r="H140" s="41">
        <f>H121+SUM(H136:H139)</f>
        <v>47394.38</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562025.68000000005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448715.58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94092.12</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387234.15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419191.8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180851.53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v>3112.54</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180851.53</v>
      </c>
      <c r="G162" s="41">
        <f>SUM(G150:G161)</f>
        <v>390346.69</v>
      </c>
      <c r="H162" s="41">
        <f>SUM(H150:H161)</f>
        <v>1524025.18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759.39</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181610.92</v>
      </c>
      <c r="G169" s="41">
        <f>G147+G162+SUM(G163:G168)</f>
        <v>390346.69</v>
      </c>
      <c r="H169" s="41">
        <f>H147+H162+SUM(H163:H168)</f>
        <v>1524025.18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100915.6</v>
      </c>
      <c r="H179" s="18"/>
      <c r="I179" s="18"/>
      <c r="J179" s="18">
        <v>81429</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100915.6</v>
      </c>
      <c r="H183" s="41">
        <f>SUM(H179:H182)</f>
        <v>0</v>
      </c>
      <c r="I183" s="41">
        <f>SUM(I179:I182)</f>
        <v>0</v>
      </c>
      <c r="J183" s="41">
        <f>SUM(J179:J182)</f>
        <v>81429</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45000</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75451.149999999994</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120451.15</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120451.15</v>
      </c>
      <c r="G192" s="41">
        <f>G183+SUM(G188:G191)</f>
        <v>100915.6</v>
      </c>
      <c r="H192" s="41">
        <f>+H183+SUM(H188:H191)</f>
        <v>0</v>
      </c>
      <c r="I192" s="41">
        <f>I177+I183+SUM(I188:I191)</f>
        <v>0</v>
      </c>
      <c r="J192" s="41">
        <f>J183</f>
        <v>81429</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33763251.199999996</v>
      </c>
      <c r="G193" s="47">
        <f>G112+G140+G169+G192</f>
        <v>802251.77999999991</v>
      </c>
      <c r="H193" s="47">
        <f>H112+H140+H169+H192</f>
        <v>1754689.88</v>
      </c>
      <c r="I193" s="47">
        <f>I112+I140+I169+I192</f>
        <v>0</v>
      </c>
      <c r="J193" s="47">
        <f>J112+J140+J192</f>
        <v>108563.04000000001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2754505.25+127442.33</f>
        <v>2881947.58</v>
      </c>
      <c r="G197" s="18">
        <f>1745043.93+758931.36</f>
        <v>2503975.29</v>
      </c>
      <c r="H197" s="18">
        <f>20488.42</f>
        <v>20488.419999999998</v>
      </c>
      <c r="I197" s="18">
        <f>146992.75</f>
        <v>146992.75</v>
      </c>
      <c r="J197" s="18">
        <v>140773.12</v>
      </c>
      <c r="K197" s="18"/>
      <c r="L197" s="19">
        <f>SUM(F197:K197)</f>
        <v>5694177.1600000001</v>
      </c>
      <c r="M197" s="8"/>
      <c r="N197" s="266"/>
    </row>
    <row r="198" spans="1:14" s="3" customFormat="1" ht="12.2" customHeight="1" x14ac:dyDescent="0.15">
      <c r="A198" s="1" t="s">
        <v>439</v>
      </c>
      <c r="B198" s="2" t="s">
        <v>341</v>
      </c>
      <c r="C198" s="2" t="s">
        <v>291</v>
      </c>
      <c r="D198" s="2" t="s">
        <v>431</v>
      </c>
      <c r="E198" s="6">
        <v>1200</v>
      </c>
      <c r="F198" s="18">
        <v>1200193.79</v>
      </c>
      <c r="G198" s="18">
        <v>963258</v>
      </c>
      <c r="H198" s="18">
        <v>339411.83</v>
      </c>
      <c r="I198" s="18">
        <v>1761.26</v>
      </c>
      <c r="J198" s="18">
        <v>0</v>
      </c>
      <c r="K198" s="18"/>
      <c r="L198" s="19">
        <f>SUM(F198:K198)</f>
        <v>2504624.88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20054.86</v>
      </c>
      <c r="G200" s="18">
        <v>2401.63</v>
      </c>
      <c r="H200" s="18">
        <v>4473</v>
      </c>
      <c r="I200" s="18">
        <v>3156</v>
      </c>
      <c r="J200" s="18">
        <v>0</v>
      </c>
      <c r="K200" s="18"/>
      <c r="L200" s="19">
        <f>SUM(F200:K200)</f>
        <v>30085.49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598765.59</v>
      </c>
      <c r="G202" s="18">
        <v>403868.11</v>
      </c>
      <c r="H202" s="18">
        <v>74302.97</v>
      </c>
      <c r="I202" s="18">
        <v>6705.47</v>
      </c>
      <c r="J202" s="18">
        <v>0</v>
      </c>
      <c r="K202" s="18">
        <v>90</v>
      </c>
      <c r="L202" s="19">
        <f t="shared" ref="L202:L208" si="0">SUM(F202:K202)</f>
        <v>1083732.1399999999</v>
      </c>
      <c r="M202" s="8"/>
      <c r="N202" s="266"/>
    </row>
    <row r="203" spans="1:14" s="3" customFormat="1" ht="12.2" customHeight="1" x14ac:dyDescent="0.15">
      <c r="A203" s="1" t="s">
        <v>443</v>
      </c>
      <c r="B203" s="2" t="s">
        <v>341</v>
      </c>
      <c r="C203" s="2" t="s">
        <v>295</v>
      </c>
      <c r="D203" s="2" t="s">
        <v>431</v>
      </c>
      <c r="E203" s="6">
        <v>2200</v>
      </c>
      <c r="F203" s="18">
        <v>131579.5</v>
      </c>
      <c r="G203" s="18">
        <v>117302.2</v>
      </c>
      <c r="H203" s="18">
        <v>38968.959999999999</v>
      </c>
      <c r="I203" s="18">
        <v>28170.13</v>
      </c>
      <c r="J203" s="18">
        <v>1898.8</v>
      </c>
      <c r="K203" s="18"/>
      <c r="L203" s="19">
        <f t="shared" si="0"/>
        <v>317919.59000000003</v>
      </c>
      <c r="M203" s="8"/>
      <c r="N203" s="266"/>
    </row>
    <row r="204" spans="1:14" s="3" customFormat="1" ht="12.2" customHeight="1" x14ac:dyDescent="0.15">
      <c r="A204" s="1" t="s">
        <v>444</v>
      </c>
      <c r="B204" s="2" t="s">
        <v>341</v>
      </c>
      <c r="C204" s="2" t="s">
        <v>296</v>
      </c>
      <c r="D204" s="2" t="s">
        <v>431</v>
      </c>
      <c r="E204" s="6">
        <v>2300</v>
      </c>
      <c r="F204" s="18">
        <v>8993</v>
      </c>
      <c r="G204" s="18">
        <v>687.94</v>
      </c>
      <c r="H204" s="18">
        <v>483553.12</v>
      </c>
      <c r="I204" s="18">
        <v>1875.86</v>
      </c>
      <c r="J204" s="18">
        <v>0</v>
      </c>
      <c r="K204" s="18">
        <v>2152.9499999999998</v>
      </c>
      <c r="L204" s="19">
        <f t="shared" si="0"/>
        <v>497262.87</v>
      </c>
      <c r="M204" s="8"/>
      <c r="N204" s="266"/>
    </row>
    <row r="205" spans="1:14" s="3" customFormat="1" ht="12.2" customHeight="1" x14ac:dyDescent="0.15">
      <c r="A205" s="1" t="s">
        <v>445</v>
      </c>
      <c r="B205" s="2" t="s">
        <v>341</v>
      </c>
      <c r="C205" s="2" t="s">
        <v>297</v>
      </c>
      <c r="D205" s="2" t="s">
        <v>431</v>
      </c>
      <c r="E205" s="6">
        <v>2400</v>
      </c>
      <c r="F205" s="18">
        <v>372252.87</v>
      </c>
      <c r="G205" s="18">
        <v>187163.31</v>
      </c>
      <c r="H205" s="18">
        <v>64446.9</v>
      </c>
      <c r="I205" s="18">
        <v>2483.4499999999998</v>
      </c>
      <c r="J205" s="18">
        <v>7212.3</v>
      </c>
      <c r="K205" s="18">
        <v>2602</v>
      </c>
      <c r="L205" s="19">
        <f t="shared" si="0"/>
        <v>636160.82999999996</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304898.94</v>
      </c>
      <c r="G207" s="18">
        <v>176623.61</v>
      </c>
      <c r="H207" s="18">
        <v>427461.09</v>
      </c>
      <c r="I207" s="18">
        <v>231930.71</v>
      </c>
      <c r="J207" s="18">
        <v>50040.93</v>
      </c>
      <c r="K207" s="18"/>
      <c r="L207" s="19">
        <f t="shared" si="0"/>
        <v>1190955.28</v>
      </c>
      <c r="M207" s="8"/>
      <c r="N207" s="266"/>
    </row>
    <row r="208" spans="1:14" s="3" customFormat="1" ht="12.2" customHeight="1" x14ac:dyDescent="0.15">
      <c r="A208" s="1" t="s">
        <v>448</v>
      </c>
      <c r="B208" s="2" t="s">
        <v>341</v>
      </c>
      <c r="C208" s="2" t="s">
        <v>300</v>
      </c>
      <c r="D208" s="2" t="s">
        <v>431</v>
      </c>
      <c r="E208" s="6">
        <v>2700</v>
      </c>
      <c r="F208" s="18">
        <v>157868.07999999999</v>
      </c>
      <c r="G208" s="18">
        <v>75554.600000000006</v>
      </c>
      <c r="H208" s="18">
        <v>60996.76</v>
      </c>
      <c r="I208" s="18">
        <v>39431.599999999999</v>
      </c>
      <c r="J208" s="18">
        <v>69102</v>
      </c>
      <c r="K208" s="18"/>
      <c r="L208" s="19">
        <f t="shared" si="0"/>
        <v>402953.04</v>
      </c>
      <c r="M208" s="8"/>
      <c r="N208" s="266"/>
    </row>
    <row r="209" spans="1:14" s="3" customFormat="1" ht="12.2" customHeight="1" x14ac:dyDescent="0.15">
      <c r="A209" s="1" t="s">
        <v>449</v>
      </c>
      <c r="B209" s="2" t="s">
        <v>341</v>
      </c>
      <c r="C209" s="2" t="s">
        <v>343</v>
      </c>
      <c r="D209" s="2" t="s">
        <v>431</v>
      </c>
      <c r="E209" s="6">
        <v>2800</v>
      </c>
      <c r="F209" s="18"/>
      <c r="G209" s="18"/>
      <c r="H209" s="18">
        <v>949.84</v>
      </c>
      <c r="I209" s="18"/>
      <c r="J209" s="18"/>
      <c r="K209" s="18"/>
      <c r="L209" s="19">
        <f>SUM(F209:K209)</f>
        <v>949.84</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5676554.2100000009</v>
      </c>
      <c r="G211" s="41">
        <f t="shared" si="1"/>
        <v>4430834.6899999995</v>
      </c>
      <c r="H211" s="41">
        <f t="shared" si="1"/>
        <v>1515052.8900000001</v>
      </c>
      <c r="I211" s="41">
        <f t="shared" si="1"/>
        <v>462507.23</v>
      </c>
      <c r="J211" s="41">
        <f t="shared" si="1"/>
        <v>269027.14999999997</v>
      </c>
      <c r="K211" s="41">
        <f t="shared" si="1"/>
        <v>4844.95</v>
      </c>
      <c r="L211" s="41">
        <f t="shared" si="1"/>
        <v>12358821.119999997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1079550.96+37313.01</f>
        <v>1116863.97</v>
      </c>
      <c r="G215" s="18">
        <f>640004.17+334333.91</f>
        <v>974338.08000000007</v>
      </c>
      <c r="H215" s="18">
        <v>9690.07</v>
      </c>
      <c r="I215" s="18">
        <v>57555.82</v>
      </c>
      <c r="J215" s="18">
        <v>60758.02</v>
      </c>
      <c r="K215" s="18"/>
      <c r="L215" s="19">
        <f>SUM(F215:K215)</f>
        <v>2219205.96</v>
      </c>
      <c r="M215" s="8"/>
      <c r="N215" s="266"/>
    </row>
    <row r="216" spans="1:14" s="3" customFormat="1" ht="12.2" customHeight="1" x14ac:dyDescent="0.15">
      <c r="A216" s="1" t="s">
        <v>439</v>
      </c>
      <c r="B216" s="2" t="s">
        <v>346</v>
      </c>
      <c r="C216" s="2" t="s">
        <v>291</v>
      </c>
      <c r="D216" s="2" t="s">
        <v>431</v>
      </c>
      <c r="E216" s="6">
        <v>1200</v>
      </c>
      <c r="F216" s="18">
        <v>483241.14</v>
      </c>
      <c r="G216" s="18">
        <v>339664.07</v>
      </c>
      <c r="H216" s="18">
        <v>228228.22</v>
      </c>
      <c r="I216" s="18">
        <v>5328.07</v>
      </c>
      <c r="J216" s="18">
        <v>0</v>
      </c>
      <c r="K216" s="18"/>
      <c r="L216" s="19">
        <f>SUM(F216:K216)</f>
        <v>1056461.5</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66546</v>
      </c>
      <c r="G218" s="18">
        <v>10772.37</v>
      </c>
      <c r="H218" s="18">
        <v>16414.3</v>
      </c>
      <c r="I218" s="18">
        <v>7135.51</v>
      </c>
      <c r="J218" s="18">
        <v>2411.6999999999998</v>
      </c>
      <c r="K218" s="18">
        <v>1609.82</v>
      </c>
      <c r="L218" s="19">
        <f>SUM(F218:K218)</f>
        <v>104889.7</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171311.88</v>
      </c>
      <c r="G220" s="18">
        <v>116809.99</v>
      </c>
      <c r="H220" s="18">
        <v>13600.14</v>
      </c>
      <c r="I220" s="18">
        <v>4060.92</v>
      </c>
      <c r="J220" s="18">
        <v>0</v>
      </c>
      <c r="K220" s="18">
        <v>129</v>
      </c>
      <c r="L220" s="19">
        <f t="shared" ref="L220:L226" si="2">SUM(F220:K220)</f>
        <v>305911.93</v>
      </c>
      <c r="M220" s="8"/>
      <c r="N220" s="266"/>
    </row>
    <row r="221" spans="1:14" s="3" customFormat="1" ht="12.2" customHeight="1" x14ac:dyDescent="0.15">
      <c r="A221" s="1" t="s">
        <v>443</v>
      </c>
      <c r="B221" s="2" t="s">
        <v>346</v>
      </c>
      <c r="C221" s="2" t="s">
        <v>295</v>
      </c>
      <c r="D221" s="2" t="s">
        <v>431</v>
      </c>
      <c r="E221" s="6">
        <v>2200</v>
      </c>
      <c r="F221" s="18">
        <v>58663.5</v>
      </c>
      <c r="G221" s="18">
        <v>53857.29</v>
      </c>
      <c r="H221" s="18">
        <v>16314.22</v>
      </c>
      <c r="I221" s="18">
        <v>8608.48</v>
      </c>
      <c r="J221" s="18">
        <v>999.97</v>
      </c>
      <c r="K221" s="18">
        <v>95</v>
      </c>
      <c r="L221" s="19">
        <f t="shared" si="2"/>
        <v>138538.46000000002</v>
      </c>
      <c r="M221" s="8"/>
      <c r="N221" s="266"/>
    </row>
    <row r="222" spans="1:14" s="3" customFormat="1" ht="12.2" customHeight="1" x14ac:dyDescent="0.15">
      <c r="A222" s="1" t="s">
        <v>444</v>
      </c>
      <c r="B222" s="2" t="s">
        <v>346</v>
      </c>
      <c r="C222" s="2" t="s">
        <v>296</v>
      </c>
      <c r="D222" s="2" t="s">
        <v>431</v>
      </c>
      <c r="E222" s="6">
        <v>2300</v>
      </c>
      <c r="F222" s="18">
        <v>3979</v>
      </c>
      <c r="G222" s="18">
        <v>304.33999999999997</v>
      </c>
      <c r="H222" s="18">
        <v>213951.39</v>
      </c>
      <c r="I222" s="18">
        <v>829.98</v>
      </c>
      <c r="J222" s="18">
        <v>0</v>
      </c>
      <c r="K222" s="18">
        <v>952.58</v>
      </c>
      <c r="L222" s="19">
        <f t="shared" si="2"/>
        <v>220017.29</v>
      </c>
      <c r="M222" s="8"/>
      <c r="N222" s="266"/>
    </row>
    <row r="223" spans="1:14" s="3" customFormat="1" ht="12.2" customHeight="1" x14ac:dyDescent="0.15">
      <c r="A223" s="1" t="s">
        <v>445</v>
      </c>
      <c r="B223" s="2" t="s">
        <v>346</v>
      </c>
      <c r="C223" s="2" t="s">
        <v>297</v>
      </c>
      <c r="D223" s="2" t="s">
        <v>431</v>
      </c>
      <c r="E223" s="6">
        <v>2400</v>
      </c>
      <c r="F223" s="18">
        <v>164966.76999999999</v>
      </c>
      <c r="G223" s="18">
        <v>78564.88</v>
      </c>
      <c r="H223" s="18">
        <v>26908.2</v>
      </c>
      <c r="I223" s="18">
        <v>615.41999999999996</v>
      </c>
      <c r="J223" s="18">
        <v>416.81</v>
      </c>
      <c r="K223" s="18">
        <v>2847.43</v>
      </c>
      <c r="L223" s="19">
        <f t="shared" si="2"/>
        <v>274319.50999999995</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v>283190.43</v>
      </c>
      <c r="G225" s="18">
        <v>189614.64</v>
      </c>
      <c r="H225" s="18">
        <v>361159.72</v>
      </c>
      <c r="I225" s="18">
        <v>204977.42</v>
      </c>
      <c r="J225" s="18">
        <v>39855.86</v>
      </c>
      <c r="K225" s="18"/>
      <c r="L225" s="19">
        <f t="shared" si="2"/>
        <v>1078798.07</v>
      </c>
      <c r="M225" s="8"/>
      <c r="N225" s="266"/>
    </row>
    <row r="226" spans="1:14" s="3" customFormat="1" ht="12.2" customHeight="1" x14ac:dyDescent="0.15">
      <c r="A226" s="1" t="s">
        <v>448</v>
      </c>
      <c r="B226" s="2" t="s">
        <v>346</v>
      </c>
      <c r="C226" s="2" t="s">
        <v>300</v>
      </c>
      <c r="D226" s="2" t="s">
        <v>431</v>
      </c>
      <c r="E226" s="6">
        <v>2700</v>
      </c>
      <c r="F226" s="18">
        <v>44031.91</v>
      </c>
      <c r="G226" s="18">
        <v>24214.06</v>
      </c>
      <c r="H226" s="18">
        <v>8344.57</v>
      </c>
      <c r="I226" s="18">
        <v>17446.72</v>
      </c>
      <c r="J226" s="18">
        <v>30574</v>
      </c>
      <c r="K226" s="18"/>
      <c r="L226" s="19">
        <f t="shared" si="2"/>
        <v>124611.26000000001</v>
      </c>
      <c r="M226" s="8"/>
      <c r="N226" s="266"/>
    </row>
    <row r="227" spans="1:14" s="3" customFormat="1" ht="12.2" customHeight="1" x14ac:dyDescent="0.15">
      <c r="A227" s="1" t="s">
        <v>449</v>
      </c>
      <c r="B227" s="2" t="s">
        <v>346</v>
      </c>
      <c r="C227" s="2" t="s">
        <v>343</v>
      </c>
      <c r="D227" s="2" t="s">
        <v>431</v>
      </c>
      <c r="E227" s="6">
        <v>2800</v>
      </c>
      <c r="F227" s="18"/>
      <c r="G227" s="18"/>
      <c r="H227" s="18">
        <v>420.26</v>
      </c>
      <c r="I227" s="18"/>
      <c r="J227" s="18"/>
      <c r="K227" s="18"/>
      <c r="L227" s="19">
        <f>SUM(F227:K227)</f>
        <v>420.26</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2392794.6</v>
      </c>
      <c r="G229" s="41">
        <f>SUM(G215:G228)</f>
        <v>1788139.7200000007</v>
      </c>
      <c r="H229" s="41">
        <f>SUM(H215:H228)</f>
        <v>895031.08999999985</v>
      </c>
      <c r="I229" s="41">
        <f>SUM(I215:I228)</f>
        <v>306558.33999999997</v>
      </c>
      <c r="J229" s="41">
        <f>SUM(J215:J228)</f>
        <v>135016.35999999999</v>
      </c>
      <c r="K229" s="41">
        <f t="shared" si="3"/>
        <v>5633.83</v>
      </c>
      <c r="L229" s="41">
        <f t="shared" si="3"/>
        <v>5523173.9400000004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2511835.73+90870.6</f>
        <v>2602706.33</v>
      </c>
      <c r="G233" s="18">
        <f>1679656.84+842356.48</f>
        <v>2522013.3200000003</v>
      </c>
      <c r="H233" s="18">
        <v>12592.55</v>
      </c>
      <c r="I233" s="18">
        <v>119108.13</v>
      </c>
      <c r="J233" s="18">
        <v>149064.44</v>
      </c>
      <c r="K233" s="18"/>
      <c r="L233" s="19">
        <f>SUM(F233:K233)</f>
        <v>5405484.7700000005</v>
      </c>
      <c r="M233" s="8"/>
      <c r="N233" s="266"/>
    </row>
    <row r="234" spans="1:14" s="3" customFormat="1" ht="12.2" customHeight="1" x14ac:dyDescent="0.15">
      <c r="A234" s="1" t="s">
        <v>439</v>
      </c>
      <c r="B234" s="2" t="s">
        <v>350</v>
      </c>
      <c r="C234" s="2" t="s">
        <v>291</v>
      </c>
      <c r="D234" s="2" t="s">
        <v>431</v>
      </c>
      <c r="E234" s="6">
        <v>1200</v>
      </c>
      <c r="F234" s="18">
        <v>669989.19999999995</v>
      </c>
      <c r="G234" s="18">
        <v>461137.58</v>
      </c>
      <c r="H234" s="18">
        <v>86487.23</v>
      </c>
      <c r="I234" s="18">
        <v>5084.25</v>
      </c>
      <c r="J234" s="18">
        <v>2642.75</v>
      </c>
      <c r="K234" s="18"/>
      <c r="L234" s="19">
        <f>SUM(F234:K234)</f>
        <v>1225341.01</v>
      </c>
      <c r="M234" s="8"/>
      <c r="N234" s="266"/>
    </row>
    <row r="235" spans="1:14" s="3" customFormat="1" ht="12.2" customHeight="1" x14ac:dyDescent="0.15">
      <c r="A235" s="1" t="s">
        <v>440</v>
      </c>
      <c r="B235" s="2" t="s">
        <v>350</v>
      </c>
      <c r="C235" s="2" t="s">
        <v>292</v>
      </c>
      <c r="D235" s="2" t="s">
        <v>431</v>
      </c>
      <c r="E235" s="6">
        <v>1300</v>
      </c>
      <c r="F235" s="18">
        <v>478159.76</v>
      </c>
      <c r="G235" s="18">
        <v>326606.40999999997</v>
      </c>
      <c r="H235" s="18">
        <v>28373.78</v>
      </c>
      <c r="I235" s="18">
        <v>67344.61</v>
      </c>
      <c r="J235" s="18">
        <v>8088.99</v>
      </c>
      <c r="K235" s="18"/>
      <c r="L235" s="19">
        <f>SUM(F235:K235)</f>
        <v>908573.54999999993</v>
      </c>
      <c r="M235" s="8"/>
      <c r="N235" s="266"/>
    </row>
    <row r="236" spans="1:14" s="3" customFormat="1" ht="12.2" customHeight="1" x14ac:dyDescent="0.15">
      <c r="A236" s="1" t="s">
        <v>441</v>
      </c>
      <c r="B236" s="2" t="s">
        <v>350</v>
      </c>
      <c r="C236" s="2" t="s">
        <v>293</v>
      </c>
      <c r="D236" s="2" t="s">
        <v>431</v>
      </c>
      <c r="E236" s="6">
        <v>1400</v>
      </c>
      <c r="F236" s="18">
        <v>211948</v>
      </c>
      <c r="G236" s="18">
        <v>43495.28</v>
      </c>
      <c r="H236" s="18">
        <v>101215.13</v>
      </c>
      <c r="I236" s="18">
        <v>23063.4</v>
      </c>
      <c r="J236" s="18">
        <v>6780</v>
      </c>
      <c r="K236" s="18">
        <v>11814.99</v>
      </c>
      <c r="L236" s="19">
        <f>SUM(F236:K236)</f>
        <v>398316.80000000005</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605291.06999999995</v>
      </c>
      <c r="G238" s="18">
        <v>387908.09</v>
      </c>
      <c r="H238" s="18">
        <v>89875.63</v>
      </c>
      <c r="I238" s="18">
        <v>12913.4</v>
      </c>
      <c r="J238" s="18">
        <v>1187.6099999999999</v>
      </c>
      <c r="K238" s="18">
        <v>90</v>
      </c>
      <c r="L238" s="19">
        <f t="shared" ref="L238:L244" si="4">SUM(F238:K238)</f>
        <v>1097265.8</v>
      </c>
      <c r="M238" s="8"/>
      <c r="N238" s="266"/>
    </row>
    <row r="239" spans="1:14" s="3" customFormat="1" ht="12.2" customHeight="1" x14ac:dyDescent="0.15">
      <c r="A239" s="1" t="s">
        <v>443</v>
      </c>
      <c r="B239" s="2" t="s">
        <v>350</v>
      </c>
      <c r="C239" s="2" t="s">
        <v>295</v>
      </c>
      <c r="D239" s="2" t="s">
        <v>431</v>
      </c>
      <c r="E239" s="6">
        <v>2200</v>
      </c>
      <c r="F239" s="18">
        <v>65408.14</v>
      </c>
      <c r="G239" s="18">
        <v>57995.25</v>
      </c>
      <c r="H239" s="18">
        <v>43555.44</v>
      </c>
      <c r="I239" s="18">
        <v>12500.14</v>
      </c>
      <c r="J239" s="18">
        <v>0</v>
      </c>
      <c r="K239" s="18">
        <v>1056.8499999999999</v>
      </c>
      <c r="L239" s="19">
        <f t="shared" si="4"/>
        <v>180515.82000000004</v>
      </c>
      <c r="M239" s="8"/>
      <c r="N239" s="266"/>
    </row>
    <row r="240" spans="1:14" s="3" customFormat="1" ht="12.2" customHeight="1" x14ac:dyDescent="0.15">
      <c r="A240" s="1" t="s">
        <v>444</v>
      </c>
      <c r="B240" s="2" t="s">
        <v>350</v>
      </c>
      <c r="C240" s="2" t="s">
        <v>296</v>
      </c>
      <c r="D240" s="2" t="s">
        <v>431</v>
      </c>
      <c r="E240" s="6">
        <v>2300</v>
      </c>
      <c r="F240" s="18">
        <v>10028</v>
      </c>
      <c r="G240" s="18">
        <v>767.08</v>
      </c>
      <c r="H240" s="18">
        <v>539206.46</v>
      </c>
      <c r="I240" s="18">
        <v>2091.75</v>
      </c>
      <c r="J240" s="18">
        <v>0</v>
      </c>
      <c r="K240" s="18">
        <v>2400.73</v>
      </c>
      <c r="L240" s="19">
        <f t="shared" si="4"/>
        <v>554494.0199999999</v>
      </c>
      <c r="M240" s="8"/>
      <c r="N240" s="266"/>
    </row>
    <row r="241" spans="1:14" s="3" customFormat="1" ht="12.2" customHeight="1" x14ac:dyDescent="0.15">
      <c r="A241" s="1" t="s">
        <v>445</v>
      </c>
      <c r="B241" s="2" t="s">
        <v>350</v>
      </c>
      <c r="C241" s="2" t="s">
        <v>297</v>
      </c>
      <c r="D241" s="2" t="s">
        <v>431</v>
      </c>
      <c r="E241" s="6">
        <v>2400</v>
      </c>
      <c r="F241" s="18">
        <v>496240.93</v>
      </c>
      <c r="G241" s="18">
        <v>273073.69</v>
      </c>
      <c r="H241" s="18">
        <v>82058.42</v>
      </c>
      <c r="I241" s="18">
        <v>13478.94</v>
      </c>
      <c r="J241" s="18">
        <v>6910.62</v>
      </c>
      <c r="K241" s="18">
        <v>14644.48</v>
      </c>
      <c r="L241" s="19">
        <f t="shared" si="4"/>
        <v>886407.08</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490542.21</v>
      </c>
      <c r="G243" s="18">
        <v>263189.77</v>
      </c>
      <c r="H243" s="18">
        <v>525275.32999999996</v>
      </c>
      <c r="I243" s="18">
        <v>446976.58</v>
      </c>
      <c r="J243" s="18">
        <v>11511.96</v>
      </c>
      <c r="K243" s="18"/>
      <c r="L243" s="19">
        <f t="shared" si="4"/>
        <v>1737495.85</v>
      </c>
      <c r="M243" s="8"/>
      <c r="N243" s="266"/>
    </row>
    <row r="244" spans="1:14" s="3" customFormat="1" ht="12.2" customHeight="1" x14ac:dyDescent="0.15">
      <c r="A244" s="1" t="s">
        <v>448</v>
      </c>
      <c r="B244" s="2" t="s">
        <v>350</v>
      </c>
      <c r="C244" s="2" t="s">
        <v>300</v>
      </c>
      <c r="D244" s="2" t="s">
        <v>431</v>
      </c>
      <c r="E244" s="6">
        <v>2700</v>
      </c>
      <c r="F244" s="18">
        <v>133634.75</v>
      </c>
      <c r="G244" s="18">
        <v>64671.44</v>
      </c>
      <c r="H244" s="18">
        <v>70355.23</v>
      </c>
      <c r="I244" s="18">
        <v>43969.760000000002</v>
      </c>
      <c r="J244" s="18">
        <v>77054</v>
      </c>
      <c r="K244" s="18"/>
      <c r="L244" s="19">
        <f t="shared" si="4"/>
        <v>389685.18</v>
      </c>
      <c r="M244" s="8"/>
      <c r="N244" s="266"/>
    </row>
    <row r="245" spans="1:14" s="3" customFormat="1" ht="12.2" customHeight="1" x14ac:dyDescent="0.15">
      <c r="A245" s="1" t="s">
        <v>449</v>
      </c>
      <c r="B245" s="2" t="s">
        <v>350</v>
      </c>
      <c r="C245" s="2" t="s">
        <v>343</v>
      </c>
      <c r="D245" s="2" t="s">
        <v>431</v>
      </c>
      <c r="E245" s="6">
        <v>2800</v>
      </c>
      <c r="F245" s="18"/>
      <c r="G245" s="18"/>
      <c r="H245" s="18">
        <v>1059.1500000000001</v>
      </c>
      <c r="I245" s="18"/>
      <c r="J245" s="18"/>
      <c r="K245" s="18"/>
      <c r="L245" s="19">
        <f>SUM(F245:K245)</f>
        <v>1059.1500000000001</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5763948.3899999997</v>
      </c>
      <c r="G247" s="41">
        <f t="shared" si="5"/>
        <v>4400857.9100000011</v>
      </c>
      <c r="H247" s="41">
        <f t="shared" si="5"/>
        <v>1580054.3499999999</v>
      </c>
      <c r="I247" s="41">
        <f t="shared" si="5"/>
        <v>746530.96</v>
      </c>
      <c r="J247" s="41">
        <f t="shared" si="5"/>
        <v>263240.37</v>
      </c>
      <c r="K247" s="41">
        <f t="shared" si="5"/>
        <v>30007.05</v>
      </c>
      <c r="L247" s="41">
        <f t="shared" si="5"/>
        <v>12784639.029999999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13833297.199999999</v>
      </c>
      <c r="G257" s="41">
        <f t="shared" si="8"/>
        <v>10619832.32</v>
      </c>
      <c r="H257" s="41">
        <f t="shared" si="8"/>
        <v>3990138.33</v>
      </c>
      <c r="I257" s="41">
        <f t="shared" si="8"/>
        <v>1515596.5299999998</v>
      </c>
      <c r="J257" s="41">
        <f t="shared" si="8"/>
        <v>667283.87999999989</v>
      </c>
      <c r="K257" s="41">
        <f t="shared" si="8"/>
        <v>40485.83</v>
      </c>
      <c r="L257" s="41">
        <f t="shared" si="8"/>
        <v>30666634.089999996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2036000</v>
      </c>
      <c r="L260" s="19">
        <f>SUM(F260:K260)</f>
        <v>2036000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659925.14</v>
      </c>
      <c r="L261" s="19">
        <f>SUM(F261:K261)</f>
        <v>659925.14</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100915.6</v>
      </c>
      <c r="L263" s="19">
        <f>SUM(F263:K263)</f>
        <v>100915.6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81429</v>
      </c>
      <c r="L266" s="19">
        <f t="shared" si="9"/>
        <v>81429</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2878269.74</v>
      </c>
      <c r="L270" s="41">
        <f t="shared" si="9"/>
        <v>2878269.74</v>
      </c>
      <c r="N270" s="264"/>
    </row>
    <row r="271" spans="1:14" s="3" customFormat="1" ht="12.2" customHeight="1" thickTop="1" x14ac:dyDescent="0.2">
      <c r="A271" s="43" t="s">
        <v>464</v>
      </c>
      <c r="B271" s="40">
        <v>10</v>
      </c>
      <c r="C271" s="40">
        <v>18</v>
      </c>
      <c r="D271" s="39" t="s">
        <v>431</v>
      </c>
      <c r="E271" s="40"/>
      <c r="F271" s="42">
        <f t="shared" ref="F271:L271" si="11">F257+F270</f>
        <v>13833297.199999999</v>
      </c>
      <c r="G271" s="42">
        <f t="shared" si="11"/>
        <v>10619832.32</v>
      </c>
      <c r="H271" s="42">
        <f t="shared" si="11"/>
        <v>3990138.33</v>
      </c>
      <c r="I271" s="42">
        <f t="shared" si="11"/>
        <v>1515596.5299999998</v>
      </c>
      <c r="J271" s="42">
        <f t="shared" si="11"/>
        <v>667283.87999999989</v>
      </c>
      <c r="K271" s="42">
        <f t="shared" si="11"/>
        <v>2918755.5700000003</v>
      </c>
      <c r="L271" s="42">
        <f t="shared" si="11"/>
        <v>33544903.829999998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319478.02</v>
      </c>
      <c r="G276" s="18">
        <v>143418.43</v>
      </c>
      <c r="H276" s="18">
        <v>480</v>
      </c>
      <c r="I276" s="18">
        <v>41682.620000000003</v>
      </c>
      <c r="J276" s="18">
        <v>10631.79</v>
      </c>
      <c r="K276" s="18"/>
      <c r="L276" s="19">
        <f>SUM(F276:K276)</f>
        <v>515690.86</v>
      </c>
      <c r="M276" s="8"/>
      <c r="N276" s="266"/>
    </row>
    <row r="277" spans="1:14" s="3" customFormat="1" ht="12.2" customHeight="1" x14ac:dyDescent="0.15">
      <c r="A277" s="1" t="s">
        <v>439</v>
      </c>
      <c r="B277" s="2" t="s">
        <v>357</v>
      </c>
      <c r="C277" s="2" t="s">
        <v>291</v>
      </c>
      <c r="D277" s="2" t="s">
        <v>431</v>
      </c>
      <c r="E277" s="6">
        <v>1200</v>
      </c>
      <c r="F277" s="18">
        <v>35092</v>
      </c>
      <c r="G277" s="18">
        <v>22401.15</v>
      </c>
      <c r="H277" s="18">
        <f>1759+58138.42</f>
        <v>59897.42</v>
      </c>
      <c r="I277" s="18">
        <v>3757.2</v>
      </c>
      <c r="J277" s="18">
        <v>3962</v>
      </c>
      <c r="K277" s="18"/>
      <c r="L277" s="19">
        <f>SUM(F277:K277)</f>
        <v>125109.77</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165592.41</v>
      </c>
      <c r="G279" s="18">
        <v>27083.97</v>
      </c>
      <c r="H279" s="18">
        <v>7666</v>
      </c>
      <c r="I279" s="18">
        <v>32174.720000000001</v>
      </c>
      <c r="J279" s="18">
        <v>1100</v>
      </c>
      <c r="K279" s="18"/>
      <c r="L279" s="19">
        <f>SUM(F279:K279)</f>
        <v>233617.1</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10176+22061.08</f>
        <v>32237.08</v>
      </c>
      <c r="G281" s="18">
        <f>1632.16+5469.21</f>
        <v>7101.37</v>
      </c>
      <c r="H281" s="18">
        <v>184071.3</v>
      </c>
      <c r="I281" s="18"/>
      <c r="J281" s="18"/>
      <c r="K281" s="18"/>
      <c r="L281" s="19">
        <f t="shared" ref="L281:L287" si="12">SUM(F281:K281)</f>
        <v>223409.75</v>
      </c>
      <c r="M281" s="8"/>
      <c r="N281" s="266"/>
    </row>
    <row r="282" spans="1:14" s="3" customFormat="1" ht="12.2" customHeight="1" x14ac:dyDescent="0.15">
      <c r="A282" s="1" t="s">
        <v>443</v>
      </c>
      <c r="B282" s="2" t="s">
        <v>357</v>
      </c>
      <c r="C282" s="2" t="s">
        <v>295</v>
      </c>
      <c r="D282" s="2" t="s">
        <v>431</v>
      </c>
      <c r="E282" s="6">
        <v>2200</v>
      </c>
      <c r="F282" s="18">
        <f>17480.68+3624</f>
        <v>21104.68</v>
      </c>
      <c r="G282" s="18">
        <f>4870.04+902.29</f>
        <v>5772.33</v>
      </c>
      <c r="H282" s="18">
        <f>44728.53+675+41706.01+1404.88+5984.96+14088.1+10076.24</f>
        <v>118663.72000000003</v>
      </c>
      <c r="I282" s="18">
        <v>834.6</v>
      </c>
      <c r="J282" s="18">
        <v>1423.8</v>
      </c>
      <c r="K282" s="18"/>
      <c r="L282" s="19">
        <f t="shared" si="12"/>
        <v>147799.13000000003</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12206.43</v>
      </c>
      <c r="I287" s="18"/>
      <c r="J287" s="18"/>
      <c r="K287" s="18"/>
      <c r="L287" s="19">
        <f t="shared" si="12"/>
        <v>12206.43</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573504.19000000006</v>
      </c>
      <c r="G290" s="42">
        <f t="shared" si="13"/>
        <v>205777.24999999997</v>
      </c>
      <c r="H290" s="42">
        <f t="shared" si="13"/>
        <v>382984.87</v>
      </c>
      <c r="I290" s="42">
        <f t="shared" si="13"/>
        <v>78449.140000000014</v>
      </c>
      <c r="J290" s="42">
        <f t="shared" si="13"/>
        <v>17117.59</v>
      </c>
      <c r="K290" s="42">
        <f t="shared" si="13"/>
        <v>0</v>
      </c>
      <c r="L290" s="41">
        <f t="shared" si="13"/>
        <v>1257833.04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v>1673.25</v>
      </c>
      <c r="J295" s="18">
        <v>3624.96</v>
      </c>
      <c r="K295" s="18"/>
      <c r="L295" s="19">
        <f>SUM(F295:K295)</f>
        <v>5298.21</v>
      </c>
      <c r="M295" s="8"/>
      <c r="N295" s="266"/>
    </row>
    <row r="296" spans="1:14" s="3" customFormat="1" ht="12.2" customHeight="1" x14ac:dyDescent="0.15">
      <c r="A296" s="1" t="s">
        <v>439</v>
      </c>
      <c r="B296" s="2" t="s">
        <v>358</v>
      </c>
      <c r="C296" s="2" t="s">
        <v>291</v>
      </c>
      <c r="D296" s="2" t="s">
        <v>431</v>
      </c>
      <c r="E296" s="6">
        <v>1200</v>
      </c>
      <c r="F296" s="18"/>
      <c r="G296" s="18"/>
      <c r="H296" s="18">
        <v>779</v>
      </c>
      <c r="I296" s="18">
        <v>1440.34</v>
      </c>
      <c r="J296" s="18">
        <v>1753.01</v>
      </c>
      <c r="K296" s="18"/>
      <c r="L296" s="19">
        <f>SUM(F296:K296)</f>
        <v>3972.3500000000004</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v>24851.24</v>
      </c>
      <c r="I300" s="18"/>
      <c r="J300" s="18"/>
      <c r="K300" s="18"/>
      <c r="L300" s="19">
        <f t="shared" ref="L300:L306" si="14">SUM(F300:K300)</f>
        <v>24851.24</v>
      </c>
      <c r="M300" s="8"/>
      <c r="N300" s="266"/>
    </row>
    <row r="301" spans="1:14" s="3" customFormat="1" ht="12.2" customHeight="1" x14ac:dyDescent="0.15">
      <c r="A301" s="1" t="s">
        <v>443</v>
      </c>
      <c r="B301" s="2" t="s">
        <v>358</v>
      </c>
      <c r="C301" s="2" t="s">
        <v>295</v>
      </c>
      <c r="D301" s="2" t="s">
        <v>431</v>
      </c>
      <c r="E301" s="6">
        <v>2200</v>
      </c>
      <c r="F301" s="18">
        <v>7734.42</v>
      </c>
      <c r="G301" s="18">
        <v>2154.77</v>
      </c>
      <c r="H301" s="18">
        <f>1350+39862.52+6233.36+4458.28</f>
        <v>51904.159999999996</v>
      </c>
      <c r="I301" s="18">
        <v>369.27</v>
      </c>
      <c r="J301" s="18">
        <v>629.97</v>
      </c>
      <c r="K301" s="18"/>
      <c r="L301" s="19">
        <f t="shared" si="14"/>
        <v>62792.59</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7734.42</v>
      </c>
      <c r="G309" s="42">
        <f t="shared" si="15"/>
        <v>2154.77</v>
      </c>
      <c r="H309" s="42">
        <f t="shared" si="15"/>
        <v>77534.399999999994</v>
      </c>
      <c r="I309" s="42">
        <f t="shared" si="15"/>
        <v>3482.86</v>
      </c>
      <c r="J309" s="42">
        <f t="shared" si="15"/>
        <v>6007.9400000000005</v>
      </c>
      <c r="K309" s="42">
        <f t="shared" si="15"/>
        <v>0</v>
      </c>
      <c r="L309" s="41">
        <f t="shared" si="15"/>
        <v>96914.39</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33018.720000000001</v>
      </c>
      <c r="G314" s="18">
        <v>32427.71</v>
      </c>
      <c r="H314" s="18"/>
      <c r="I314" s="18">
        <v>4501.05</v>
      </c>
      <c r="J314" s="18">
        <v>9135.74</v>
      </c>
      <c r="K314" s="18"/>
      <c r="L314" s="19">
        <f>SUM(F314:K314)</f>
        <v>79083.22</v>
      </c>
      <c r="M314" s="8"/>
      <c r="N314" s="266"/>
    </row>
    <row r="315" spans="1:14" s="3" customFormat="1" ht="12.2" customHeight="1" x14ac:dyDescent="0.15">
      <c r="A315" s="1" t="s">
        <v>439</v>
      </c>
      <c r="B315" s="2" t="s">
        <v>359</v>
      </c>
      <c r="C315" s="2" t="s">
        <v>291</v>
      </c>
      <c r="D315" s="2" t="s">
        <v>431</v>
      </c>
      <c r="E315" s="6">
        <v>1200</v>
      </c>
      <c r="F315" s="18"/>
      <c r="G315" s="18"/>
      <c r="H315" s="18">
        <v>1962</v>
      </c>
      <c r="I315" s="18">
        <v>3629.98</v>
      </c>
      <c r="J315" s="18">
        <v>4417.9799999999996</v>
      </c>
      <c r="K315" s="18"/>
      <c r="L315" s="19">
        <f>SUM(F315:K315)</f>
        <v>10009.959999999999</v>
      </c>
      <c r="M315" s="8"/>
      <c r="N315" s="266"/>
    </row>
    <row r="316" spans="1:14" s="3" customFormat="1" ht="12.2" customHeight="1" x14ac:dyDescent="0.15">
      <c r="A316" s="1" t="s">
        <v>440</v>
      </c>
      <c r="B316" s="2" t="s">
        <v>359</v>
      </c>
      <c r="C316" s="2" t="s">
        <v>292</v>
      </c>
      <c r="D316" s="2" t="s">
        <v>431</v>
      </c>
      <c r="E316" s="6">
        <v>1300</v>
      </c>
      <c r="F316" s="18">
        <v>7800</v>
      </c>
      <c r="G316" s="18">
        <v>6449.47</v>
      </c>
      <c r="H316" s="18">
        <v>11526.11</v>
      </c>
      <c r="I316" s="18">
        <v>11309.4</v>
      </c>
      <c r="J316" s="18">
        <v>62286.15</v>
      </c>
      <c r="K316" s="18">
        <v>2630</v>
      </c>
      <c r="L316" s="19">
        <f>SUM(F316:K316)</f>
        <v>102001.13</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3000</v>
      </c>
      <c r="G319" s="18">
        <v>229.52</v>
      </c>
      <c r="H319" s="18">
        <v>13203.77</v>
      </c>
      <c r="I319" s="18"/>
      <c r="J319" s="18"/>
      <c r="K319" s="18"/>
      <c r="L319" s="19">
        <f t="shared" ref="L319:L325" si="16">SUM(F319:K319)</f>
        <v>16433.29</v>
      </c>
      <c r="M319" s="8"/>
      <c r="N319" s="266"/>
    </row>
    <row r="320" spans="1:14" s="3" customFormat="1" ht="12.2" customHeight="1" x14ac:dyDescent="0.15">
      <c r="A320" s="1" t="s">
        <v>443</v>
      </c>
      <c r="B320" s="2" t="s">
        <v>359</v>
      </c>
      <c r="C320" s="2" t="s">
        <v>295</v>
      </c>
      <c r="D320" s="2" t="s">
        <v>431</v>
      </c>
      <c r="E320" s="6">
        <v>2200</v>
      </c>
      <c r="F320" s="18">
        <v>19492.52</v>
      </c>
      <c r="G320" s="18">
        <f>5430.53</f>
        <v>5430.53</v>
      </c>
      <c r="H320" s="18">
        <f>8775+89307.12+15709.5+11235.91</f>
        <v>125027.53</v>
      </c>
      <c r="I320" s="18">
        <v>930.66</v>
      </c>
      <c r="J320" s="18">
        <v>1587.67</v>
      </c>
      <c r="K320" s="18">
        <v>2986.18</v>
      </c>
      <c r="L320" s="19">
        <f t="shared" si="16"/>
        <v>155455.09</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v>2139.25</v>
      </c>
      <c r="G325" s="18">
        <v>322.70999999999998</v>
      </c>
      <c r="H325" s="18"/>
      <c r="I325" s="18"/>
      <c r="J325" s="18"/>
      <c r="K325" s="18"/>
      <c r="L325" s="19">
        <f t="shared" si="16"/>
        <v>2461.96</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65450.490000000005</v>
      </c>
      <c r="G328" s="42">
        <f t="shared" si="17"/>
        <v>44859.939999999995</v>
      </c>
      <c r="H328" s="42">
        <f t="shared" si="17"/>
        <v>151719.41</v>
      </c>
      <c r="I328" s="42">
        <f t="shared" si="17"/>
        <v>20371.09</v>
      </c>
      <c r="J328" s="42">
        <f t="shared" si="17"/>
        <v>77427.539999999994</v>
      </c>
      <c r="K328" s="42">
        <f t="shared" si="17"/>
        <v>5616.18</v>
      </c>
      <c r="L328" s="41">
        <f t="shared" si="17"/>
        <v>365444.65</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v>18000</v>
      </c>
      <c r="G333" s="18">
        <v>3201.27</v>
      </c>
      <c r="H333" s="18">
        <v>2000</v>
      </c>
      <c r="I333" s="18">
        <v>10624.72</v>
      </c>
      <c r="J333" s="18">
        <v>4588.87</v>
      </c>
      <c r="K333" s="18"/>
      <c r="L333" s="19">
        <f t="shared" si="18"/>
        <v>38414.86</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18000</v>
      </c>
      <c r="G337" s="41">
        <f t="shared" si="19"/>
        <v>3201.27</v>
      </c>
      <c r="H337" s="41">
        <f t="shared" si="19"/>
        <v>2000</v>
      </c>
      <c r="I337" s="41">
        <f t="shared" si="19"/>
        <v>10624.72</v>
      </c>
      <c r="J337" s="41">
        <f t="shared" si="19"/>
        <v>4588.87</v>
      </c>
      <c r="K337" s="41">
        <f t="shared" si="19"/>
        <v>0</v>
      </c>
      <c r="L337" s="41">
        <f t="shared" si="18"/>
        <v>38414.86</v>
      </c>
      <c r="M337" s="8"/>
      <c r="N337" s="266"/>
    </row>
    <row r="338" spans="1:43" s="3" customFormat="1" ht="12.2" customHeight="1" thickTop="1" x14ac:dyDescent="0.15">
      <c r="A338" s="38" t="s">
        <v>468</v>
      </c>
      <c r="B338" s="40">
        <v>14</v>
      </c>
      <c r="C338" s="40">
        <v>7</v>
      </c>
      <c r="D338" s="39" t="s">
        <v>431</v>
      </c>
      <c r="E338" s="40"/>
      <c r="F338" s="41">
        <f t="shared" ref="F338:L338" si="20">F290+F309+F328+F337</f>
        <v>664689.10000000009</v>
      </c>
      <c r="G338" s="41">
        <f t="shared" si="20"/>
        <v>255993.22999999995</v>
      </c>
      <c r="H338" s="41">
        <f t="shared" si="20"/>
        <v>614238.68000000005</v>
      </c>
      <c r="I338" s="41">
        <f t="shared" si="20"/>
        <v>112927.81000000001</v>
      </c>
      <c r="J338" s="41">
        <f t="shared" si="20"/>
        <v>105141.93999999999</v>
      </c>
      <c r="K338" s="41">
        <f t="shared" si="20"/>
        <v>5616.18</v>
      </c>
      <c r="L338" s="41">
        <f t="shared" si="20"/>
        <v>1758606.9400000002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664689.10000000009</v>
      </c>
      <c r="G352" s="41">
        <f>G338</f>
        <v>255993.22999999995</v>
      </c>
      <c r="H352" s="41">
        <f>H338</f>
        <v>614238.68000000005</v>
      </c>
      <c r="I352" s="41">
        <f>I338</f>
        <v>112927.81000000001</v>
      </c>
      <c r="J352" s="41">
        <f>J338</f>
        <v>105141.93999999999</v>
      </c>
      <c r="K352" s="47">
        <f>K338+K351</f>
        <v>5616.18</v>
      </c>
      <c r="L352" s="41">
        <f>L338+L351</f>
        <v>1758606.9400000002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118576.23</v>
      </c>
      <c r="G358" s="18">
        <v>46516</v>
      </c>
      <c r="H358" s="18">
        <v>23786.74</v>
      </c>
      <c r="I358" s="18">
        <v>123584.57</v>
      </c>
      <c r="J358" s="18">
        <v>0</v>
      </c>
      <c r="K358" s="18"/>
      <c r="L358" s="13">
        <f>SUM(F358:K358)</f>
        <v>312463.53999999998</v>
      </c>
      <c r="N358" s="264"/>
      <c r="R358" s="3"/>
      <c r="S358" s="3"/>
      <c r="T358" s="3"/>
      <c r="U358" s="3"/>
      <c r="V358" s="3"/>
    </row>
    <row r="359" spans="1:22" s="3" customFormat="1" ht="12.2" customHeight="1" x14ac:dyDescent="0.15">
      <c r="A359" s="1" t="s">
        <v>542</v>
      </c>
      <c r="B359" s="2" t="s">
        <v>366</v>
      </c>
      <c r="C359" s="6">
        <v>2</v>
      </c>
      <c r="D359" s="2" t="s">
        <v>431</v>
      </c>
      <c r="E359" s="6"/>
      <c r="F359" s="18">
        <v>52464.67</v>
      </c>
      <c r="G359" s="18">
        <v>20581.12</v>
      </c>
      <c r="H359" s="18">
        <v>10524.57</v>
      </c>
      <c r="I359" s="18">
        <v>54680.63</v>
      </c>
      <c r="J359" s="18">
        <v>3112.54</v>
      </c>
      <c r="K359" s="18"/>
      <c r="L359" s="19">
        <f>SUM(F359:K359)</f>
        <v>141363.53</v>
      </c>
      <c r="M359" s="8"/>
      <c r="N359" s="266"/>
    </row>
    <row r="360" spans="1:22" s="3" customFormat="1" ht="12.2" customHeight="1" x14ac:dyDescent="0.15">
      <c r="A360" s="3" t="s">
        <v>543</v>
      </c>
      <c r="B360" s="2" t="s">
        <v>366</v>
      </c>
      <c r="C360" s="6">
        <v>3</v>
      </c>
      <c r="D360" s="2" t="s">
        <v>431</v>
      </c>
      <c r="E360" s="6"/>
      <c r="F360" s="18">
        <v>132223.1</v>
      </c>
      <c r="G360" s="18">
        <v>51869.41</v>
      </c>
      <c r="H360" s="18">
        <v>26524.35</v>
      </c>
      <c r="I360" s="18">
        <v>137807.85</v>
      </c>
      <c r="J360" s="18">
        <v>0</v>
      </c>
      <c r="K360" s="18"/>
      <c r="L360" s="19">
        <f>SUM(F360:K360)</f>
        <v>348424.71</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303264</v>
      </c>
      <c r="G362" s="47">
        <f t="shared" si="22"/>
        <v>118966.53</v>
      </c>
      <c r="H362" s="47">
        <f t="shared" si="22"/>
        <v>60835.659999999996</v>
      </c>
      <c r="I362" s="47">
        <f t="shared" si="22"/>
        <v>316073.05000000005</v>
      </c>
      <c r="J362" s="47">
        <f t="shared" si="22"/>
        <v>3112.54</v>
      </c>
      <c r="K362" s="47">
        <f t="shared" si="22"/>
        <v>0</v>
      </c>
      <c r="L362" s="47">
        <f t="shared" si="22"/>
        <v>802251.78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102049.52</v>
      </c>
      <c r="G367" s="18">
        <v>45152.34</v>
      </c>
      <c r="H367" s="18">
        <v>113794.35</v>
      </c>
      <c r="I367" s="56">
        <f>SUM(F367:H367)</f>
        <v>260996.21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21535.05</v>
      </c>
      <c r="G368" s="63">
        <v>9528.2900000000009</v>
      </c>
      <c r="H368" s="63">
        <v>24013.5</v>
      </c>
      <c r="I368" s="56">
        <f>SUM(F368:H368)</f>
        <v>55076.84</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123584.57</v>
      </c>
      <c r="G369" s="47">
        <f>SUM(G367:G368)</f>
        <v>54680.63</v>
      </c>
      <c r="H369" s="47">
        <f>SUM(H367:H368)</f>
        <v>137807.85</v>
      </c>
      <c r="I369" s="47">
        <f>SUM(I367:I368)</f>
        <v>316073.05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v>1264960.05</v>
      </c>
      <c r="I378" s="18"/>
      <c r="J378" s="18"/>
      <c r="K378" s="18"/>
      <c r="L378" s="13">
        <f t="shared" si="23"/>
        <v>1264960.05</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v>49165</v>
      </c>
      <c r="I380" s="18"/>
      <c r="J380" s="18"/>
      <c r="K380" s="18"/>
      <c r="L380" s="13">
        <f t="shared" si="23"/>
        <v>49165</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1314125.05</v>
      </c>
      <c r="I382" s="41">
        <f t="shared" si="24"/>
        <v>0</v>
      </c>
      <c r="J382" s="47">
        <f t="shared" si="24"/>
        <v>0</v>
      </c>
      <c r="K382" s="47">
        <f t="shared" si="24"/>
        <v>0</v>
      </c>
      <c r="L382" s="47">
        <f t="shared" si="24"/>
        <v>1314125.05</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v>777.59</v>
      </c>
      <c r="I390" s="18"/>
      <c r="J390" s="24" t="s">
        <v>288</v>
      </c>
      <c r="K390" s="24" t="s">
        <v>288</v>
      </c>
      <c r="L390" s="56">
        <f t="shared" si="25"/>
        <v>777.59</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v>515.04999999999995</v>
      </c>
      <c r="I392" s="18"/>
      <c r="J392" s="24" t="s">
        <v>288</v>
      </c>
      <c r="K392" s="24" t="s">
        <v>288</v>
      </c>
      <c r="L392" s="56">
        <f t="shared" si="25"/>
        <v>515.04999999999995</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1292.6399999999999</v>
      </c>
      <c r="I393" s="65">
        <f>SUM(I387:I392)</f>
        <v>0</v>
      </c>
      <c r="J393" s="45" t="s">
        <v>288</v>
      </c>
      <c r="K393" s="45" t="s">
        <v>288</v>
      </c>
      <c r="L393" s="47">
        <f>SUM(L387:L392)</f>
        <v>1292.6399999999999</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81429</v>
      </c>
      <c r="H396" s="18">
        <f>4773.94+8952.91+3179.86+1674.77</f>
        <v>18581.48</v>
      </c>
      <c r="I396" s="18"/>
      <c r="J396" s="24" t="s">
        <v>288</v>
      </c>
      <c r="K396" s="24" t="s">
        <v>288</v>
      </c>
      <c r="L396" s="56">
        <f t="shared" si="26"/>
        <v>100010.48</v>
      </c>
      <c r="M396" s="8"/>
      <c r="N396" s="266"/>
    </row>
    <row r="397" spans="1:14" s="3" customFormat="1" ht="12.2" customHeight="1" x14ac:dyDescent="0.15">
      <c r="A397" s="79" t="s">
        <v>515</v>
      </c>
      <c r="B397" s="2" t="s">
        <v>381</v>
      </c>
      <c r="C397" s="6">
        <v>10</v>
      </c>
      <c r="D397" s="2" t="s">
        <v>432</v>
      </c>
      <c r="E397" s="6"/>
      <c r="F397" s="18"/>
      <c r="G397" s="18"/>
      <c r="H397" s="18">
        <v>6717.21</v>
      </c>
      <c r="I397" s="18"/>
      <c r="J397" s="24" t="s">
        <v>288</v>
      </c>
      <c r="K397" s="24" t="s">
        <v>288</v>
      </c>
      <c r="L397" s="56">
        <f t="shared" si="26"/>
        <v>6717.21</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81429</v>
      </c>
      <c r="H401" s="47">
        <f>SUM(H395:H400)</f>
        <v>25298.69</v>
      </c>
      <c r="I401" s="47">
        <f>SUM(I395:I400)</f>
        <v>0</v>
      </c>
      <c r="J401" s="45" t="s">
        <v>288</v>
      </c>
      <c r="K401" s="45" t="s">
        <v>288</v>
      </c>
      <c r="L401" s="47">
        <f>SUM(L395:L400)</f>
        <v>106727.69</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t="s">
        <v>1610</v>
      </c>
      <c r="B403" s="2" t="s">
        <v>381</v>
      </c>
      <c r="C403" s="6">
        <v>15</v>
      </c>
      <c r="D403" s="2" t="s">
        <v>432</v>
      </c>
      <c r="E403" s="6"/>
      <c r="F403" s="18"/>
      <c r="G403" s="18"/>
      <c r="H403" s="18">
        <v>542.71</v>
      </c>
      <c r="I403" s="18"/>
      <c r="J403" s="24" t="s">
        <v>288</v>
      </c>
      <c r="K403" s="24" t="s">
        <v>288</v>
      </c>
      <c r="L403" s="56">
        <f>SUM(F403:K403)</f>
        <v>542.71</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542.71</v>
      </c>
      <c r="I407" s="47">
        <f>SUM(I403:I406)</f>
        <v>0</v>
      </c>
      <c r="J407" s="49" t="s">
        <v>288</v>
      </c>
      <c r="K407" s="49" t="s">
        <v>288</v>
      </c>
      <c r="L407" s="47">
        <f>SUM(L403:L406)</f>
        <v>542.71</v>
      </c>
      <c r="M407" s="8"/>
      <c r="N407" s="266"/>
    </row>
    <row r="408" spans="1:21" s="3" customFormat="1" ht="12.2" customHeight="1" thickTop="1" x14ac:dyDescent="0.15">
      <c r="A408" s="78" t="s">
        <v>421</v>
      </c>
      <c r="B408" s="2" t="s">
        <v>381</v>
      </c>
      <c r="C408" s="6">
        <v>20</v>
      </c>
      <c r="D408" s="6"/>
      <c r="E408" s="40"/>
      <c r="F408" s="47">
        <f>F393+F401+F407</f>
        <v>0</v>
      </c>
      <c r="G408" s="47">
        <f>G393+G401+G407</f>
        <v>81429</v>
      </c>
      <c r="H408" s="47">
        <f>H393+H401+H407</f>
        <v>27134.039999999997</v>
      </c>
      <c r="I408" s="47">
        <f>I393+I401+I407</f>
        <v>0</v>
      </c>
      <c r="J408" s="24" t="s">
        <v>288</v>
      </c>
      <c r="K408" s="24" t="s">
        <v>288</v>
      </c>
      <c r="L408" s="47">
        <f>L393+L401+L407</f>
        <v>108563.04000000001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v>45000</v>
      </c>
      <c r="L416" s="56">
        <f t="shared" si="27"/>
        <v>45000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45000</v>
      </c>
      <c r="L419" s="47">
        <f t="shared" si="28"/>
        <v>45000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f>120451.15-45000</f>
        <v>75451.149999999994</v>
      </c>
      <c r="L422" s="56">
        <f t="shared" si="29"/>
        <v>75451.149999999994</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75451.149999999994</v>
      </c>
      <c r="L427" s="47">
        <f t="shared" si="30"/>
        <v>75451.149999999994</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120451.15</v>
      </c>
      <c r="L434" s="47">
        <f t="shared" si="32"/>
        <v>120451.15</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f>16496.74+15143.86+3574.13</f>
        <v>35214.730000000003</v>
      </c>
      <c r="G439" s="18">
        <f>293275.26+542764.09+188186+93385.18+412655.87</f>
        <v>1530266.4</v>
      </c>
      <c r="H439" s="18">
        <v>33339.919999999998</v>
      </c>
      <c r="I439" s="56">
        <f t="shared" ref="I439:I445" si="33">SUM(F439:H439)</f>
        <v>1598821.0499999998</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35214.730000000003</v>
      </c>
      <c r="G446" s="13">
        <f>SUM(G439:G445)</f>
        <v>1530266.4</v>
      </c>
      <c r="H446" s="13">
        <f>SUM(H439:H445)</f>
        <v>33339.919999999998</v>
      </c>
      <c r="I446" s="13">
        <f>SUM(I439:I445)</f>
        <v>1598821.0499999998</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35214.730000000003</v>
      </c>
      <c r="G459" s="18">
        <v>1530266.4</v>
      </c>
      <c r="H459" s="18">
        <v>33339.919999999998</v>
      </c>
      <c r="I459" s="56">
        <f t="shared" si="34"/>
        <v>1598821.0499999998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35214.730000000003</v>
      </c>
      <c r="G460" s="83">
        <f>SUM(G454:G459)</f>
        <v>1530266.4</v>
      </c>
      <c r="H460" s="83">
        <f>SUM(H454:H459)</f>
        <v>33339.919999999998</v>
      </c>
      <c r="I460" s="83">
        <f>SUM(I454:I459)</f>
        <v>1598821.0499999998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35214.730000000003</v>
      </c>
      <c r="G461" s="42">
        <f>G452+G460</f>
        <v>1530266.4</v>
      </c>
      <c r="H461" s="42">
        <f>H452+H460</f>
        <v>33339.919999999998</v>
      </c>
      <c r="I461" s="42">
        <f>I452+I460</f>
        <v>1598821.0499999998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1942273.91</v>
      </c>
      <c r="G465" s="18">
        <v>39167.69</v>
      </c>
      <c r="H465" s="18">
        <v>207211</v>
      </c>
      <c r="I465" s="18">
        <v>1354165.05</v>
      </c>
      <c r="J465" s="18">
        <v>1610709.16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33763251.200000003</v>
      </c>
      <c r="G468" s="18">
        <v>802251.78</v>
      </c>
      <c r="H468" s="18">
        <v>1754689.88</v>
      </c>
      <c r="I468" s="18">
        <v>0</v>
      </c>
      <c r="J468" s="18">
        <v>108563.04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33763251.200000003</v>
      </c>
      <c r="G470" s="53">
        <f>SUM(G468:G469)</f>
        <v>802251.78</v>
      </c>
      <c r="H470" s="53">
        <f>SUM(H468:H469)</f>
        <v>1754689.88</v>
      </c>
      <c r="I470" s="53">
        <f>SUM(I468:I469)</f>
        <v>0</v>
      </c>
      <c r="J470" s="53">
        <f>SUM(J468:J469)</f>
        <v>108563.04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33544903.829999998</v>
      </c>
      <c r="G472" s="18">
        <v>802251.78</v>
      </c>
      <c r="H472" s="18">
        <v>1758606.94</v>
      </c>
      <c r="I472" s="18">
        <v>1314125.05</v>
      </c>
      <c r="J472" s="18">
        <v>120451.15</v>
      </c>
      <c r="K472" s="24" t="s">
        <v>288</v>
      </c>
      <c r="L472" s="24" t="s">
        <v>288</v>
      </c>
      <c r="N472" s="265"/>
    </row>
    <row r="473" spans="1:14" s="52" customFormat="1" ht="12.2" customHeight="1" x14ac:dyDescent="0.2">
      <c r="A473" s="93" t="s">
        <v>613</v>
      </c>
      <c r="B473" s="75">
        <v>19</v>
      </c>
      <c r="C473" s="80">
        <v>6</v>
      </c>
      <c r="D473" s="2" t="s">
        <v>432</v>
      </c>
      <c r="E473" s="80"/>
      <c r="F473" s="18"/>
      <c r="G473" s="18">
        <v>15462.44</v>
      </c>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33544903.829999998</v>
      </c>
      <c r="G474" s="53">
        <f>SUM(G472:G473)</f>
        <v>817714.22</v>
      </c>
      <c r="H474" s="53">
        <f>SUM(H472:H473)</f>
        <v>1758606.94</v>
      </c>
      <c r="I474" s="53">
        <f>SUM(I472:I473)</f>
        <v>1314125.05</v>
      </c>
      <c r="J474" s="53">
        <f>SUM(J472:J473)</f>
        <v>120451.15</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2160621.2800000012</v>
      </c>
      <c r="G476" s="53">
        <f>(G465+G470)- G474</f>
        <v>23705.25</v>
      </c>
      <c r="H476" s="53">
        <f>(H465+H470)- H474</f>
        <v>203293.93999999994</v>
      </c>
      <c r="I476" s="53">
        <f>(I465+I470)- I474</f>
        <v>40040</v>
      </c>
      <c r="J476" s="53">
        <f>(J465+J470)- J474</f>
        <v>1598821.05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20</v>
      </c>
      <c r="H490" s="154">
        <v>20</v>
      </c>
      <c r="I490" s="154">
        <v>20</v>
      </c>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t="s">
        <v>1613</v>
      </c>
      <c r="H491" s="155" t="s">
        <v>1615</v>
      </c>
      <c r="I491" s="155" t="s">
        <v>1618</v>
      </c>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t="s">
        <v>1617</v>
      </c>
      <c r="H492" s="155" t="s">
        <v>1614</v>
      </c>
      <c r="I492" s="155" t="s">
        <v>1616</v>
      </c>
      <c r="J492" s="154"/>
      <c r="K492" s="24" t="s">
        <v>288</v>
      </c>
      <c r="L492" s="24" t="s">
        <v>288</v>
      </c>
      <c r="N492" s="265"/>
    </row>
    <row r="493" spans="1:14" s="52" customFormat="1" ht="12.2" customHeight="1" x14ac:dyDescent="0.2">
      <c r="A493" s="22" t="s">
        <v>617</v>
      </c>
      <c r="B493" s="75">
        <v>20</v>
      </c>
      <c r="C493" s="115">
        <v>4</v>
      </c>
      <c r="D493" s="2" t="s">
        <v>432</v>
      </c>
      <c r="E493" s="115"/>
      <c r="F493" s="18">
        <v>42120000</v>
      </c>
      <c r="G493" s="18">
        <v>1837000</v>
      </c>
      <c r="H493" s="18">
        <v>1871000</v>
      </c>
      <c r="I493" s="18">
        <v>1122900</v>
      </c>
      <c r="J493" s="18"/>
      <c r="K493" s="24" t="s">
        <v>288</v>
      </c>
      <c r="L493" s="24" t="s">
        <v>288</v>
      </c>
      <c r="N493" s="265"/>
    </row>
    <row r="494" spans="1:14" s="52" customFormat="1" ht="12.2" customHeight="1" x14ac:dyDescent="0.2">
      <c r="A494" s="22" t="s">
        <v>618</v>
      </c>
      <c r="B494" s="75">
        <v>20</v>
      </c>
      <c r="C494" s="115">
        <v>5</v>
      </c>
      <c r="D494" s="2" t="s">
        <v>432</v>
      </c>
      <c r="E494" s="115"/>
      <c r="F494" s="18">
        <v>4</v>
      </c>
      <c r="G494" s="18">
        <v>2.5</v>
      </c>
      <c r="H494" s="18">
        <v>2.6640000000000001</v>
      </c>
      <c r="I494" s="18">
        <v>3.24</v>
      </c>
      <c r="J494" s="18"/>
      <c r="K494" s="24" t="s">
        <v>288</v>
      </c>
      <c r="L494" s="24" t="s">
        <v>288</v>
      </c>
      <c r="N494" s="265"/>
    </row>
    <row r="495" spans="1:14" s="52" customFormat="1" ht="12.2" customHeight="1" x14ac:dyDescent="0.2">
      <c r="A495" s="22" t="s">
        <v>619</v>
      </c>
      <c r="B495" s="75">
        <v>20</v>
      </c>
      <c r="C495" s="115">
        <v>6</v>
      </c>
      <c r="D495" s="2" t="s">
        <v>432</v>
      </c>
      <c r="E495" s="115"/>
      <c r="F495" s="18">
        <v>11060000</v>
      </c>
      <c r="G495" s="18">
        <v>1749300</v>
      </c>
      <c r="H495" s="18">
        <v>1871000</v>
      </c>
      <c r="I495" s="18">
        <v>1122900</v>
      </c>
      <c r="J495" s="18"/>
      <c r="K495" s="53">
        <f>SUM(F495:J495)</f>
        <v>15803200</v>
      </c>
      <c r="L495" s="24" t="s">
        <v>288</v>
      </c>
      <c r="N495" s="265"/>
    </row>
    <row r="496" spans="1:14" s="52" customFormat="1" ht="12.2" customHeight="1" x14ac:dyDescent="0.2">
      <c r="A496" s="22" t="s">
        <v>620</v>
      </c>
      <c r="B496" s="75">
        <v>20</v>
      </c>
      <c r="C496" s="115">
        <v>7</v>
      </c>
      <c r="D496" s="2" t="s">
        <v>432</v>
      </c>
      <c r="E496" s="115"/>
      <c r="F496" s="18">
        <v>0</v>
      </c>
      <c r="G496" s="18">
        <v>0</v>
      </c>
      <c r="H496" s="18">
        <v>0</v>
      </c>
      <c r="I496" s="18">
        <v>0</v>
      </c>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1850000</v>
      </c>
      <c r="G497" s="18">
        <v>95000</v>
      </c>
      <c r="H497" s="18">
        <v>91000</v>
      </c>
      <c r="I497" s="18">
        <v>0</v>
      </c>
      <c r="J497" s="18"/>
      <c r="K497" s="53">
        <f t="shared" si="35"/>
        <v>2036000</v>
      </c>
      <c r="L497" s="24" t="s">
        <v>288</v>
      </c>
      <c r="N497" s="265"/>
    </row>
    <row r="498" spans="1:14" s="52" customFormat="1" ht="12.2" customHeight="1" x14ac:dyDescent="0.2">
      <c r="A498" s="200" t="s">
        <v>622</v>
      </c>
      <c r="B498" s="201">
        <v>20</v>
      </c>
      <c r="C498" s="202">
        <v>9</v>
      </c>
      <c r="D498" s="203" t="s">
        <v>432</v>
      </c>
      <c r="E498" s="202"/>
      <c r="F498" s="204">
        <v>9210000</v>
      </c>
      <c r="G498" s="204">
        <v>1654300</v>
      </c>
      <c r="H498" s="204">
        <v>1780000</v>
      </c>
      <c r="I498" s="204">
        <v>1122900</v>
      </c>
      <c r="J498" s="204"/>
      <c r="K498" s="205">
        <f t="shared" si="35"/>
        <v>13767200</v>
      </c>
      <c r="L498" s="206" t="s">
        <v>288</v>
      </c>
      <c r="N498" s="265"/>
    </row>
    <row r="499" spans="1:14" s="52" customFormat="1" ht="12.2" customHeight="1" thickBot="1" x14ac:dyDescent="0.25">
      <c r="A499" s="22" t="s">
        <v>623</v>
      </c>
      <c r="B499" s="75">
        <v>20</v>
      </c>
      <c r="C499" s="115">
        <v>10</v>
      </c>
      <c r="D499" s="2" t="s">
        <v>432</v>
      </c>
      <c r="E499" s="115"/>
      <c r="F499" s="18">
        <v>1023803.26</v>
      </c>
      <c r="G499" s="18">
        <v>491696.75</v>
      </c>
      <c r="H499" s="18">
        <v>659385</v>
      </c>
      <c r="I499" s="18">
        <v>440556.01</v>
      </c>
      <c r="J499" s="18"/>
      <c r="K499" s="53">
        <f t="shared" si="35"/>
        <v>2615441.0199999996</v>
      </c>
      <c r="L499" s="24" t="s">
        <v>288</v>
      </c>
      <c r="N499" s="265"/>
    </row>
    <row r="500" spans="1:14" s="52" customFormat="1" ht="12.2" customHeight="1" thickTop="1" x14ac:dyDescent="0.2">
      <c r="A500" s="139" t="s">
        <v>624</v>
      </c>
      <c r="B500" s="44">
        <v>20</v>
      </c>
      <c r="C500" s="195">
        <v>11</v>
      </c>
      <c r="D500" s="39" t="s">
        <v>432</v>
      </c>
      <c r="E500" s="195"/>
      <c r="F500" s="42">
        <f>SUM(F498:F499)</f>
        <v>10233803.26</v>
      </c>
      <c r="G500" s="42">
        <f>SUM(G498:G499)</f>
        <v>2145996.75</v>
      </c>
      <c r="H500" s="42">
        <f>SUM(H498:H499)</f>
        <v>2439385</v>
      </c>
      <c r="I500" s="42">
        <f>SUM(I498:I499)</f>
        <v>1563456.01</v>
      </c>
      <c r="J500" s="42">
        <f>SUM(J498:J499)</f>
        <v>0</v>
      </c>
      <c r="K500" s="42">
        <f t="shared" si="35"/>
        <v>16382641.02</v>
      </c>
      <c r="L500" s="45" t="s">
        <v>288</v>
      </c>
      <c r="N500" s="265"/>
    </row>
    <row r="501" spans="1:14" s="52" customFormat="1" ht="12.2" customHeight="1" x14ac:dyDescent="0.2">
      <c r="A501" s="200" t="s">
        <v>651</v>
      </c>
      <c r="B501" s="201">
        <v>20</v>
      </c>
      <c r="C501" s="202">
        <v>12</v>
      </c>
      <c r="D501" s="203" t="s">
        <v>432</v>
      </c>
      <c r="E501" s="202"/>
      <c r="F501" s="204">
        <v>1845000</v>
      </c>
      <c r="G501" s="204">
        <v>95000</v>
      </c>
      <c r="H501" s="204">
        <v>95000</v>
      </c>
      <c r="I501" s="204">
        <v>57900</v>
      </c>
      <c r="J501" s="204"/>
      <c r="K501" s="205">
        <f t="shared" si="35"/>
        <v>2092900</v>
      </c>
      <c r="L501" s="206" t="s">
        <v>288</v>
      </c>
      <c r="N501" s="265"/>
    </row>
    <row r="502" spans="1:14" s="52" customFormat="1" ht="12.2" customHeight="1" thickBot="1" x14ac:dyDescent="0.25">
      <c r="A502" s="22" t="s">
        <v>625</v>
      </c>
      <c r="B502" s="75">
        <v>20</v>
      </c>
      <c r="C502" s="115">
        <v>13</v>
      </c>
      <c r="D502" s="2" t="s">
        <v>432</v>
      </c>
      <c r="E502" s="115"/>
      <c r="F502" s="18">
        <v>366623.5</v>
      </c>
      <c r="G502" s="18">
        <v>60009</v>
      </c>
      <c r="H502" s="18">
        <v>75557.5</v>
      </c>
      <c r="I502" s="18">
        <v>47610.21</v>
      </c>
      <c r="J502" s="18"/>
      <c r="K502" s="53">
        <f t="shared" si="35"/>
        <v>549800.21</v>
      </c>
      <c r="L502" s="24" t="s">
        <v>288</v>
      </c>
      <c r="N502" s="265"/>
    </row>
    <row r="503" spans="1:14" s="52" customFormat="1" ht="12.2" customHeight="1" thickTop="1" x14ac:dyDescent="0.2">
      <c r="A503" s="139" t="s">
        <v>626</v>
      </c>
      <c r="B503" s="44">
        <v>20</v>
      </c>
      <c r="C503" s="195">
        <v>14</v>
      </c>
      <c r="D503" s="39" t="s">
        <v>432</v>
      </c>
      <c r="E503" s="195"/>
      <c r="F503" s="42">
        <f>SUM(F501:F502)</f>
        <v>2211623.5</v>
      </c>
      <c r="G503" s="42">
        <f>SUM(G501:G502)</f>
        <v>155009</v>
      </c>
      <c r="H503" s="42">
        <f>SUM(H501:H502)</f>
        <v>170557.5</v>
      </c>
      <c r="I503" s="42">
        <f>SUM(I501:I502)</f>
        <v>105510.20999999999</v>
      </c>
      <c r="J503" s="42">
        <f>SUM(J501:J502)</f>
        <v>0</v>
      </c>
      <c r="K503" s="42">
        <f t="shared" si="35"/>
        <v>2642700.21</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1235285.79</v>
      </c>
      <c r="G521" s="18">
        <v>985659.15</v>
      </c>
      <c r="H521" s="18">
        <v>399309.25</v>
      </c>
      <c r="I521" s="18">
        <v>5518.46</v>
      </c>
      <c r="J521" s="18">
        <v>3962</v>
      </c>
      <c r="K521" s="18"/>
      <c r="L521" s="88">
        <f>SUM(F521:K521)</f>
        <v>2629734.65</v>
      </c>
      <c r="N521" s="265"/>
    </row>
    <row r="522" spans="1:14" s="52" customFormat="1" ht="12.2" customHeight="1" x14ac:dyDescent="0.2">
      <c r="A522" s="22" t="s">
        <v>634</v>
      </c>
      <c r="B522" s="105">
        <v>21</v>
      </c>
      <c r="C522" s="115">
        <v>2</v>
      </c>
      <c r="D522" s="2" t="s">
        <v>432</v>
      </c>
      <c r="E522" s="115"/>
      <c r="F522" s="18">
        <v>483241.14</v>
      </c>
      <c r="G522" s="18">
        <v>339664.07</v>
      </c>
      <c r="H522" s="18">
        <v>229007.22</v>
      </c>
      <c r="I522" s="18">
        <v>6768.41</v>
      </c>
      <c r="J522" s="18">
        <v>1753.01</v>
      </c>
      <c r="K522" s="18"/>
      <c r="L522" s="88">
        <f>SUM(F522:K522)</f>
        <v>1060433.8499999999</v>
      </c>
      <c r="N522" s="265"/>
    </row>
    <row r="523" spans="1:14" s="52" customFormat="1" ht="12.2" customHeight="1" thickBot="1" x14ac:dyDescent="0.25">
      <c r="A523" s="22" t="s">
        <v>635</v>
      </c>
      <c r="B523" s="105">
        <v>21</v>
      </c>
      <c r="C523" s="115">
        <v>3</v>
      </c>
      <c r="D523" s="2" t="s">
        <v>432</v>
      </c>
      <c r="E523" s="115"/>
      <c r="F523" s="18">
        <v>669989.19999999995</v>
      </c>
      <c r="G523" s="18">
        <v>461137.58</v>
      </c>
      <c r="H523" s="18">
        <v>88449.23</v>
      </c>
      <c r="I523" s="18">
        <v>8714.23</v>
      </c>
      <c r="J523" s="18">
        <v>7060.73</v>
      </c>
      <c r="K523" s="18"/>
      <c r="L523" s="88">
        <f>SUM(F523:K523)</f>
        <v>1235350.97</v>
      </c>
      <c r="N523" s="265"/>
    </row>
    <row r="524" spans="1:14" s="52" customFormat="1" ht="12.2" customHeight="1" thickTop="1" x14ac:dyDescent="0.2">
      <c r="A524" s="139" t="s">
        <v>63</v>
      </c>
      <c r="B524" s="107">
        <v>21</v>
      </c>
      <c r="C524" s="195">
        <v>4</v>
      </c>
      <c r="D524" s="196" t="s">
        <v>432</v>
      </c>
      <c r="E524" s="195"/>
      <c r="F524" s="108">
        <f>SUM(F521:F523)</f>
        <v>2388516.13</v>
      </c>
      <c r="G524" s="108">
        <f t="shared" ref="G524:L524" si="36">SUM(G521:G523)</f>
        <v>1786460.8</v>
      </c>
      <c r="H524" s="108">
        <f t="shared" si="36"/>
        <v>716765.7</v>
      </c>
      <c r="I524" s="108">
        <f t="shared" si="36"/>
        <v>21001.1</v>
      </c>
      <c r="J524" s="108">
        <f t="shared" si="36"/>
        <v>12775.74</v>
      </c>
      <c r="K524" s="108">
        <f t="shared" si="36"/>
        <v>0</v>
      </c>
      <c r="L524" s="89">
        <f t="shared" si="36"/>
        <v>4925519.47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208607.67</v>
      </c>
      <c r="G526" s="18">
        <v>147273.4</v>
      </c>
      <c r="H526" s="18">
        <v>239995.69</v>
      </c>
      <c r="I526" s="18"/>
      <c r="J526" s="18"/>
      <c r="K526" s="18"/>
      <c r="L526" s="88">
        <f>SUM(F526:K526)</f>
        <v>595876.76</v>
      </c>
      <c r="M526" s="8"/>
      <c r="N526" s="266"/>
    </row>
    <row r="527" spans="1:14" s="3" customFormat="1" ht="12.2" customHeight="1" x14ac:dyDescent="0.15">
      <c r="A527" s="22" t="s">
        <v>634</v>
      </c>
      <c r="B527" s="105">
        <v>21</v>
      </c>
      <c r="C527" s="115">
        <v>6</v>
      </c>
      <c r="D527" s="2" t="s">
        <v>432</v>
      </c>
      <c r="E527" s="115"/>
      <c r="F527" s="18">
        <v>26583.88</v>
      </c>
      <c r="G527" s="18">
        <v>13216.1</v>
      </c>
      <c r="H527" s="18">
        <v>30781.24</v>
      </c>
      <c r="I527" s="18"/>
      <c r="J527" s="18"/>
      <c r="K527" s="18"/>
      <c r="L527" s="88">
        <f>SUM(F527:K527)</f>
        <v>70581.22</v>
      </c>
      <c r="M527" s="8"/>
      <c r="N527" s="266"/>
    </row>
    <row r="528" spans="1:14" s="3" customFormat="1" ht="12.2" customHeight="1" thickBot="1" x14ac:dyDescent="0.2">
      <c r="A528" s="22" t="s">
        <v>635</v>
      </c>
      <c r="B528" s="118">
        <v>21</v>
      </c>
      <c r="C528" s="118">
        <v>7</v>
      </c>
      <c r="D528" s="2" t="s">
        <v>432</v>
      </c>
      <c r="E528" s="118"/>
      <c r="F528" s="18">
        <v>127599.29</v>
      </c>
      <c r="G528" s="18">
        <v>97635.36</v>
      </c>
      <c r="H528" s="18">
        <v>25931.72</v>
      </c>
      <c r="I528" s="18">
        <v>491.37</v>
      </c>
      <c r="J528" s="18"/>
      <c r="K528" s="18"/>
      <c r="L528" s="88">
        <f>SUM(F528:K528)</f>
        <v>251657.74</v>
      </c>
      <c r="M528" s="8"/>
      <c r="N528" s="266"/>
    </row>
    <row r="529" spans="1:14" s="3" customFormat="1" ht="12.2" customHeight="1" thickTop="1" x14ac:dyDescent="0.15">
      <c r="A529" s="139" t="s">
        <v>65</v>
      </c>
      <c r="B529" s="107">
        <v>21</v>
      </c>
      <c r="C529" s="107">
        <v>8</v>
      </c>
      <c r="D529" s="158" t="s">
        <v>432</v>
      </c>
      <c r="E529" s="107"/>
      <c r="F529" s="89">
        <f>SUM(F526:F528)</f>
        <v>362790.84</v>
      </c>
      <c r="G529" s="89">
        <f t="shared" ref="G529:L529" si="37">SUM(G526:G528)</f>
        <v>258124.86</v>
      </c>
      <c r="H529" s="89">
        <f t="shared" si="37"/>
        <v>296708.65000000002</v>
      </c>
      <c r="I529" s="89">
        <f t="shared" si="37"/>
        <v>491.37</v>
      </c>
      <c r="J529" s="89">
        <f t="shared" si="37"/>
        <v>0</v>
      </c>
      <c r="K529" s="89">
        <f t="shared" si="37"/>
        <v>0</v>
      </c>
      <c r="L529" s="89">
        <f t="shared" si="37"/>
        <v>918115.72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70546.899999999994</v>
      </c>
      <c r="I531" s="18"/>
      <c r="J531" s="18"/>
      <c r="K531" s="18"/>
      <c r="L531" s="88">
        <f>SUM(F531:K531)</f>
        <v>70546.899999999994</v>
      </c>
      <c r="M531" s="8"/>
      <c r="N531" s="266"/>
    </row>
    <row r="532" spans="1:14" s="3" customFormat="1" ht="12.2" customHeight="1" x14ac:dyDescent="0.15">
      <c r="A532" s="22" t="s">
        <v>634</v>
      </c>
      <c r="B532" s="105">
        <v>21</v>
      </c>
      <c r="C532" s="105">
        <v>10</v>
      </c>
      <c r="D532" s="2" t="s">
        <v>432</v>
      </c>
      <c r="E532" s="105"/>
      <c r="F532" s="18"/>
      <c r="G532" s="18"/>
      <c r="H532" s="18">
        <v>31213.81</v>
      </c>
      <c r="I532" s="18"/>
      <c r="J532" s="18"/>
      <c r="K532" s="18"/>
      <c r="L532" s="88">
        <f>SUM(F532:K532)</f>
        <v>31213.81</v>
      </c>
      <c r="M532" s="8"/>
      <c r="N532" s="266"/>
    </row>
    <row r="533" spans="1:14" s="3" customFormat="1" ht="12.2" customHeight="1" thickBot="1" x14ac:dyDescent="0.2">
      <c r="A533" s="22" t="s">
        <v>635</v>
      </c>
      <c r="B533" s="105">
        <v>21</v>
      </c>
      <c r="C533" s="105">
        <v>11</v>
      </c>
      <c r="D533" s="2" t="s">
        <v>432</v>
      </c>
      <c r="E533" s="105"/>
      <c r="F533" s="18"/>
      <c r="G533" s="18"/>
      <c r="H533" s="18">
        <v>78666.100000000006</v>
      </c>
      <c r="I533" s="18"/>
      <c r="J533" s="18"/>
      <c r="K533" s="18"/>
      <c r="L533" s="88">
        <f>SUM(F533:K533)</f>
        <v>78666.100000000006</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180426.81</v>
      </c>
      <c r="I534" s="89">
        <f t="shared" si="38"/>
        <v>0</v>
      </c>
      <c r="J534" s="89">
        <f t="shared" si="38"/>
        <v>0</v>
      </c>
      <c r="K534" s="89">
        <f t="shared" si="38"/>
        <v>0</v>
      </c>
      <c r="L534" s="89">
        <f t="shared" si="38"/>
        <v>180426.81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43843.27</v>
      </c>
      <c r="G541" s="18">
        <v>18234.53</v>
      </c>
      <c r="H541" s="18">
        <v>44652.13</v>
      </c>
      <c r="I541" s="18"/>
      <c r="J541" s="18"/>
      <c r="K541" s="18"/>
      <c r="L541" s="88">
        <f>SUM(F541:K541)</f>
        <v>106729.93</v>
      </c>
      <c r="M541" s="8"/>
      <c r="N541" s="266"/>
    </row>
    <row r="542" spans="1:14" s="3" customFormat="1" ht="12.2" customHeight="1" x14ac:dyDescent="0.15">
      <c r="A542" s="22" t="s">
        <v>634</v>
      </c>
      <c r="B542" s="105">
        <v>21</v>
      </c>
      <c r="C542" s="105">
        <v>18</v>
      </c>
      <c r="D542" s="2" t="s">
        <v>432</v>
      </c>
      <c r="E542" s="105"/>
      <c r="F542" s="18"/>
      <c r="G542" s="18"/>
      <c r="H542" s="18">
        <v>768.56</v>
      </c>
      <c r="I542" s="18"/>
      <c r="J542" s="18"/>
      <c r="K542" s="18"/>
      <c r="L542" s="88">
        <f>SUM(F542:K542)</f>
        <v>768.56</v>
      </c>
      <c r="M542" s="8"/>
      <c r="N542" s="266"/>
    </row>
    <row r="543" spans="1:14" s="3" customFormat="1" ht="12.2" customHeight="1" thickBot="1" x14ac:dyDescent="0.2">
      <c r="A543" s="22" t="s">
        <v>635</v>
      </c>
      <c r="B543" s="105">
        <v>21</v>
      </c>
      <c r="C543" s="105">
        <v>19</v>
      </c>
      <c r="D543" s="2" t="s">
        <v>432</v>
      </c>
      <c r="E543" s="105"/>
      <c r="F543" s="18"/>
      <c r="G543" s="18"/>
      <c r="H543" s="18">
        <v>52637.98</v>
      </c>
      <c r="I543" s="18"/>
      <c r="J543" s="18"/>
      <c r="K543" s="18"/>
      <c r="L543" s="88">
        <f>SUM(F543:K543)</f>
        <v>52637.98</v>
      </c>
      <c r="M543" s="8"/>
      <c r="N543" s="266"/>
    </row>
    <row r="544" spans="1:14" s="3" customFormat="1" ht="12.2" customHeight="1" thickTop="1" thickBot="1" x14ac:dyDescent="0.2">
      <c r="A544" s="130" t="s">
        <v>71</v>
      </c>
      <c r="B544" s="191">
        <v>21</v>
      </c>
      <c r="C544" s="191">
        <v>20</v>
      </c>
      <c r="D544" s="192" t="s">
        <v>432</v>
      </c>
      <c r="E544" s="191"/>
      <c r="F544" s="193">
        <f>SUM(F541:F543)</f>
        <v>43843.27</v>
      </c>
      <c r="G544" s="193">
        <f t="shared" ref="G544:L544" si="40">SUM(G541:G543)</f>
        <v>18234.53</v>
      </c>
      <c r="H544" s="193">
        <f t="shared" si="40"/>
        <v>98058.67</v>
      </c>
      <c r="I544" s="193">
        <f t="shared" si="40"/>
        <v>0</v>
      </c>
      <c r="J544" s="193">
        <f t="shared" si="40"/>
        <v>0</v>
      </c>
      <c r="K544" s="193">
        <f t="shared" si="40"/>
        <v>0</v>
      </c>
      <c r="L544" s="193">
        <f t="shared" si="40"/>
        <v>160136.47</v>
      </c>
      <c r="M544" s="8"/>
      <c r="N544" s="266"/>
    </row>
    <row r="545" spans="1:14" s="3" customFormat="1" ht="12.2" customHeight="1" thickTop="1" x14ac:dyDescent="0.15">
      <c r="A545" s="98" t="s">
        <v>72</v>
      </c>
      <c r="B545" s="107">
        <v>21</v>
      </c>
      <c r="C545" s="107">
        <v>21</v>
      </c>
      <c r="D545" s="158" t="s">
        <v>432</v>
      </c>
      <c r="E545" s="107"/>
      <c r="F545" s="89">
        <f>F524+F529+F534+F539+F544</f>
        <v>2795150.2399999998</v>
      </c>
      <c r="G545" s="89">
        <f t="shared" ref="G545:L545" si="41">G524+G529+G534+G539+G544</f>
        <v>2062820.1900000002</v>
      </c>
      <c r="H545" s="89">
        <f t="shared" si="41"/>
        <v>1291959.8299999998</v>
      </c>
      <c r="I545" s="89">
        <f t="shared" si="41"/>
        <v>21492.469999999998</v>
      </c>
      <c r="J545" s="89">
        <f t="shared" si="41"/>
        <v>12775.74</v>
      </c>
      <c r="K545" s="89">
        <f t="shared" si="41"/>
        <v>0</v>
      </c>
      <c r="L545" s="89">
        <f t="shared" si="41"/>
        <v>6184198.4699999988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2629734.65</v>
      </c>
      <c r="G549" s="87">
        <f>L526</f>
        <v>595876.76</v>
      </c>
      <c r="H549" s="87">
        <f>L531</f>
        <v>70546.899999999994</v>
      </c>
      <c r="I549" s="87">
        <f>L536</f>
        <v>0</v>
      </c>
      <c r="J549" s="87">
        <f>L541</f>
        <v>106729.93</v>
      </c>
      <c r="K549" s="87">
        <f>SUM(F549:J549)</f>
        <v>3402888.24</v>
      </c>
      <c r="L549" s="24" t="s">
        <v>288</v>
      </c>
      <c r="M549" s="8"/>
      <c r="N549" s="266"/>
    </row>
    <row r="550" spans="1:14" s="3" customFormat="1" ht="12.2" customHeight="1" x14ac:dyDescent="0.15">
      <c r="A550" s="22" t="s">
        <v>634</v>
      </c>
      <c r="B550" s="75">
        <v>21</v>
      </c>
      <c r="C550" s="75">
        <v>23</v>
      </c>
      <c r="D550" s="2" t="s">
        <v>432</v>
      </c>
      <c r="E550" s="75"/>
      <c r="F550" s="87">
        <f>L522</f>
        <v>1060433.8499999999</v>
      </c>
      <c r="G550" s="87">
        <f>L527</f>
        <v>70581.22</v>
      </c>
      <c r="H550" s="87">
        <f>L532</f>
        <v>31213.81</v>
      </c>
      <c r="I550" s="87">
        <f>L537</f>
        <v>0</v>
      </c>
      <c r="J550" s="87">
        <f>L542</f>
        <v>768.56</v>
      </c>
      <c r="K550" s="87">
        <f>SUM(F550:J550)</f>
        <v>1162997.44</v>
      </c>
      <c r="L550" s="24" t="s">
        <v>288</v>
      </c>
      <c r="M550" s="8"/>
      <c r="N550" s="266"/>
    </row>
    <row r="551" spans="1:14" s="3" customFormat="1" ht="12.2" customHeight="1" thickBot="1" x14ac:dyDescent="0.2">
      <c r="A551" s="22" t="s">
        <v>635</v>
      </c>
      <c r="B551" s="75">
        <v>21</v>
      </c>
      <c r="C551" s="75">
        <v>24</v>
      </c>
      <c r="D551" s="2" t="s">
        <v>432</v>
      </c>
      <c r="E551" s="75"/>
      <c r="F551" s="87">
        <f>L523</f>
        <v>1235350.97</v>
      </c>
      <c r="G551" s="87">
        <f>L528</f>
        <v>251657.74</v>
      </c>
      <c r="H551" s="87">
        <f>L533</f>
        <v>78666.100000000006</v>
      </c>
      <c r="I551" s="87">
        <f>L538</f>
        <v>0</v>
      </c>
      <c r="J551" s="87">
        <f>L543</f>
        <v>52637.98</v>
      </c>
      <c r="K551" s="87">
        <f>SUM(F551:J551)</f>
        <v>1618312.79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4925519.47</v>
      </c>
      <c r="G552" s="89">
        <f t="shared" si="42"/>
        <v>918115.72</v>
      </c>
      <c r="H552" s="89">
        <f t="shared" si="42"/>
        <v>180426.81</v>
      </c>
      <c r="I552" s="89">
        <f t="shared" si="42"/>
        <v>0</v>
      </c>
      <c r="J552" s="89">
        <f t="shared" si="42"/>
        <v>160136.47</v>
      </c>
      <c r="K552" s="89">
        <f t="shared" si="42"/>
        <v>6184198.4699999997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9303.9699999999993</v>
      </c>
      <c r="G579" s="18"/>
      <c r="H579" s="18"/>
      <c r="I579" s="87">
        <f t="shared" si="47"/>
        <v>9303.9699999999993</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248381.67</v>
      </c>
      <c r="G582" s="18">
        <v>79122.16</v>
      </c>
      <c r="H582" s="18">
        <v>76510.86</v>
      </c>
      <c r="I582" s="87">
        <f t="shared" si="47"/>
        <v>404014.69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v>142662.44</v>
      </c>
      <c r="H583" s="18"/>
      <c r="I583" s="87">
        <f t="shared" si="47"/>
        <v>142662.44</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402953.04-106639.93-25165.59</f>
        <v>271147.51999999996</v>
      </c>
      <c r="I591" s="18">
        <f>124611.26-15950.44</f>
        <v>108660.81999999999</v>
      </c>
      <c r="J591" s="18">
        <v>272474.78999999998</v>
      </c>
      <c r="K591" s="104">
        <f t="shared" ref="K591:K597" si="48">SUM(H591:J591)</f>
        <v>652283.12999999989</v>
      </c>
      <c r="L591" s="24" t="s">
        <v>288</v>
      </c>
      <c r="M591" s="8"/>
      <c r="N591" s="266"/>
    </row>
    <row r="592" spans="1:14" s="3" customFormat="1" ht="12.2" customHeight="1" x14ac:dyDescent="0.15">
      <c r="A592" s="3" t="s">
        <v>638</v>
      </c>
      <c r="B592" s="75">
        <v>23</v>
      </c>
      <c r="C592" s="75">
        <v>2</v>
      </c>
      <c r="D592" s="2" t="s">
        <v>432</v>
      </c>
      <c r="E592" s="75"/>
      <c r="F592" s="102">
        <v>2722</v>
      </c>
      <c r="G592" s="103" t="s">
        <v>97</v>
      </c>
      <c r="H592" s="18">
        <f>43843.27+18234.53+44562.13</f>
        <v>106639.93</v>
      </c>
      <c r="I592" s="18">
        <f>768.56</f>
        <v>768.56</v>
      </c>
      <c r="J592" s="18">
        <v>52637.98</v>
      </c>
      <c r="K592" s="104">
        <f t="shared" si="48"/>
        <v>160046.47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f>10521.35+1234.9</f>
        <v>11756.25</v>
      </c>
      <c r="J594" s="18">
        <f>44136.29+6067.32</f>
        <v>50203.61</v>
      </c>
      <c r="K594" s="104">
        <f t="shared" si="48"/>
        <v>61959.86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22262.5+2903.09</f>
        <v>25165.59</v>
      </c>
      <c r="I595" s="18">
        <f>3018.06+407.57</f>
        <v>3425.63</v>
      </c>
      <c r="J595" s="18">
        <v>14368.8</v>
      </c>
      <c r="K595" s="104">
        <f t="shared" si="48"/>
        <v>42960.020000000004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402953.04</v>
      </c>
      <c r="I598" s="108">
        <f>SUM(I591:I597)</f>
        <v>124611.26</v>
      </c>
      <c r="J598" s="108">
        <f>SUM(J591:J597)</f>
        <v>389685.17999999993</v>
      </c>
      <c r="K598" s="108">
        <f>SUM(K591:K597)</f>
        <v>917249.47999999986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269027.15+17117.59</f>
        <v>286144.74000000005</v>
      </c>
      <c r="I604" s="18">
        <f>135016.36+6007.94</f>
        <v>141024.29999999999</v>
      </c>
      <c r="J604" s="18">
        <f>263240.37+77427.54+4588.87</f>
        <v>345256.77999999997</v>
      </c>
      <c r="K604" s="104">
        <f>SUM(H604:J604)</f>
        <v>772425.82000000007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286144.74000000005</v>
      </c>
      <c r="I605" s="108">
        <f>SUM(I602:I604)</f>
        <v>141024.29999999999</v>
      </c>
      <c r="J605" s="108">
        <f>SUM(J602:J604)</f>
        <v>345256.77999999997</v>
      </c>
      <c r="K605" s="108">
        <f>SUM(K602:K604)</f>
        <v>772425.82000000007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v>3900</v>
      </c>
      <c r="G612" s="18">
        <v>984.67</v>
      </c>
      <c r="H612" s="18"/>
      <c r="I612" s="18"/>
      <c r="J612" s="18"/>
      <c r="K612" s="18"/>
      <c r="L612" s="88">
        <f>SUM(F612:K612)</f>
        <v>4884.67</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3900</v>
      </c>
      <c r="G614" s="108">
        <f t="shared" si="49"/>
        <v>984.67</v>
      </c>
      <c r="H614" s="108">
        <f t="shared" si="49"/>
        <v>0</v>
      </c>
      <c r="I614" s="108">
        <f t="shared" si="49"/>
        <v>0</v>
      </c>
      <c r="J614" s="108">
        <f t="shared" si="49"/>
        <v>0</v>
      </c>
      <c r="K614" s="108">
        <f t="shared" si="49"/>
        <v>0</v>
      </c>
      <c r="L614" s="89">
        <f t="shared" si="49"/>
        <v>4884.67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2580511.46</v>
      </c>
      <c r="H617" s="109">
        <f>SUM(F52)</f>
        <v>2580511.46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804309.27999999991</v>
      </c>
      <c r="H618" s="109">
        <f>SUM(G52)</f>
        <v>804309.28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252419.63999999998</v>
      </c>
      <c r="H619" s="109">
        <f>SUM(H52)</f>
        <v>252419.64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40040</v>
      </c>
      <c r="H620" s="109">
        <f>SUM(I52)</f>
        <v>40040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1598821.0499999998</v>
      </c>
      <c r="H621" s="109">
        <f>SUM(J52)</f>
        <v>1598821.0499999998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2160621.2799999998</v>
      </c>
      <c r="H622" s="109">
        <f>F476</f>
        <v>2160621.2800000012</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23705.25</v>
      </c>
      <c r="H623" s="109">
        <f>G476</f>
        <v>23705.25</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203293.94</v>
      </c>
      <c r="H624" s="109">
        <f>H476</f>
        <v>203293.93999999994</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40040</v>
      </c>
      <c r="H625" s="109">
        <f>I476</f>
        <v>40040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1598821.0499999998</v>
      </c>
      <c r="H626" s="109">
        <f>J476</f>
        <v>1598821.05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33763251.199999996</v>
      </c>
      <c r="H627" s="104">
        <f>SUM(F468)</f>
        <v>33763251.200000003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802251.77999999991</v>
      </c>
      <c r="H628" s="104">
        <f>SUM(G468)</f>
        <v>802251.78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1754689.88</v>
      </c>
      <c r="H629" s="104">
        <f>SUM(H468)</f>
        <v>1754689.88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108563.04000000001</v>
      </c>
      <c r="H631" s="104">
        <f>SUM(J468)</f>
        <v>108563.04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33544903.829999998</v>
      </c>
      <c r="H632" s="104">
        <f>SUM(F472)</f>
        <v>33544903.829999998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1758606.9400000002</v>
      </c>
      <c r="H633" s="104">
        <f>SUM(H472)</f>
        <v>1758606.94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316073.05000000005</v>
      </c>
      <c r="H634" s="104">
        <f>I369</f>
        <v>316073.05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802251.78</v>
      </c>
      <c r="H635" s="104">
        <f>SUM(G472)</f>
        <v>802251.78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1314125.05</v>
      </c>
      <c r="H636" s="104">
        <f>SUM(I472)</f>
        <v>1314125.05</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108563.04000000001</v>
      </c>
      <c r="H637" s="164">
        <f>SUM(J468)</f>
        <v>108563.04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120451.15</v>
      </c>
      <c r="H638" s="164">
        <f>SUM(J472)</f>
        <v>120451.15</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35214.730000000003</v>
      </c>
      <c r="H639" s="104">
        <f>SUM(F461)</f>
        <v>35214.730000000003</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1530266.4</v>
      </c>
      <c r="H640" s="104">
        <f>SUM(G461)</f>
        <v>1530266.4</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33339.919999999998</v>
      </c>
      <c r="H641" s="104">
        <f>SUM(H461)</f>
        <v>33339.919999999998</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1598821.0499999998</v>
      </c>
      <c r="H642" s="104">
        <f>SUM(I461)</f>
        <v>1598821.0499999998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27134.04</v>
      </c>
      <c r="H644" s="104">
        <f>H408</f>
        <v>27134.039999999997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81429</v>
      </c>
      <c r="H645" s="104">
        <f>G408</f>
        <v>81429</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108563.04000000001</v>
      </c>
      <c r="H646" s="104">
        <f>L408</f>
        <v>108563.04000000001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917249.47999999986</v>
      </c>
      <c r="H647" s="104">
        <f>L208+L226+L244</f>
        <v>917249.48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772425.82000000007</v>
      </c>
      <c r="H648" s="104">
        <f>(J257+J338)-(J255+J336)</f>
        <v>772425.81999999983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402953.04</v>
      </c>
      <c r="H649" s="104">
        <f>H598</f>
        <v>402953.04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124611.26000000001</v>
      </c>
      <c r="H650" s="104">
        <f>I598</f>
        <v>124611.26</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389685.18</v>
      </c>
      <c r="H651" s="104">
        <f>J598</f>
        <v>389685.17999999993</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100915.6</v>
      </c>
      <c r="H652" s="104">
        <f>K263+K345</f>
        <v>100915.6</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81429</v>
      </c>
      <c r="H655" s="104">
        <f>K266+K347</f>
        <v>81429</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13929117.699999996</v>
      </c>
      <c r="G660" s="19">
        <f>(L229+L309+L359)</f>
        <v>5761451.8600000003</v>
      </c>
      <c r="H660" s="19">
        <f>(L247+L328+L360)</f>
        <v>13498508.390000001</v>
      </c>
      <c r="I660" s="19">
        <f>SUM(F660:H660)</f>
        <v>33189077.949999996</v>
      </c>
      <c r="J660" s="13"/>
      <c r="K660" s="13"/>
      <c r="L660" s="13"/>
      <c r="M660" s="9"/>
    </row>
    <row r="661" spans="1:13" s="3" customFormat="1" ht="12.2" customHeight="1" x14ac:dyDescent="0.2">
      <c r="A661" s="1" t="s">
        <v>127</v>
      </c>
      <c r="F661" s="19">
        <f>(L358/IF(SUM(L358:L360)=0,1,SUM(L358:L360))*(SUM(G97:G110)))</f>
        <v>118170.78067002106</v>
      </c>
      <c r="G661" s="19">
        <f>(L359/IF(SUM(L358:L360)=0,1,SUM(L358:L360))*(SUM(G97:G110)))</f>
        <v>53462.361395412547</v>
      </c>
      <c r="H661" s="19">
        <f>(L360/IF(SUM(L358:L360)=0,1,SUM(L358:L360))*(SUM(G97:G110)))</f>
        <v>131770.95793456637</v>
      </c>
      <c r="I661" s="19">
        <f>SUM(F661:H661)</f>
        <v>303404.09999999998</v>
      </c>
      <c r="J661"/>
      <c r="K661" s="13"/>
      <c r="L661" s="13"/>
      <c r="M661" s="9"/>
    </row>
    <row r="662" spans="1:13" s="3" customFormat="1" ht="12.2" customHeight="1" x14ac:dyDescent="0.2">
      <c r="A662" s="1" t="s">
        <v>128</v>
      </c>
      <c r="F662" s="19">
        <f>(L208+L287)-(J208+J287)</f>
        <v>346057.47</v>
      </c>
      <c r="G662" s="19">
        <f>(L226+L306)-(J226+J306)</f>
        <v>94037.260000000009</v>
      </c>
      <c r="H662" s="19">
        <f>(L244+L325)-(J244+J325)</f>
        <v>315093.14</v>
      </c>
      <c r="I662" s="19">
        <f>SUM(F662:H662)</f>
        <v>755187.87</v>
      </c>
      <c r="J662"/>
      <c r="K662" s="13"/>
      <c r="L662" s="13"/>
      <c r="M662" s="8"/>
    </row>
    <row r="663" spans="1:13" s="3" customFormat="1" ht="12.2" customHeight="1" x14ac:dyDescent="0.15">
      <c r="A663" s="198" t="s">
        <v>129</v>
      </c>
      <c r="B663" s="169"/>
      <c r="C663" s="169"/>
      <c r="D663" s="169"/>
      <c r="E663" s="169"/>
      <c r="F663" s="199">
        <f>SUM(F575:F587)+SUM(H602:H604)+SUM(L611)</f>
        <v>543830.38000000012</v>
      </c>
      <c r="G663" s="199">
        <f>SUM(G575:G587)+SUM(I602:I604)+L612</f>
        <v>367693.57</v>
      </c>
      <c r="H663" s="199">
        <f>SUM(H575:H587)+SUM(J602:J604)+L613</f>
        <v>421767.63999999996</v>
      </c>
      <c r="I663" s="19">
        <f>SUM(F663:H663)</f>
        <v>1333291.5900000001</v>
      </c>
      <c r="J663" s="13"/>
      <c r="K663" s="13"/>
      <c r="L663" s="13"/>
      <c r="M663" s="9"/>
    </row>
    <row r="664" spans="1:13" s="3" customFormat="1" ht="12.2" customHeight="1" x14ac:dyDescent="0.15">
      <c r="A664" s="1" t="s">
        <v>130</v>
      </c>
      <c r="F664" s="19">
        <f>F660-SUM(F661:F663)</f>
        <v>12921059.069329975</v>
      </c>
      <c r="G664" s="19">
        <f>G660-SUM(G661:G663)</f>
        <v>5246258.6686045881</v>
      </c>
      <c r="H664" s="19">
        <f>H660-SUM(H661:H663)</f>
        <v>12629876.652065434</v>
      </c>
      <c r="I664" s="19">
        <f>I660-SUM(I661:I663)</f>
        <v>30797194.389999997</v>
      </c>
      <c r="J664" s="13"/>
      <c r="K664" s="13"/>
      <c r="L664" s="13"/>
      <c r="M664" s="9"/>
    </row>
    <row r="665" spans="1:13" s="3" customFormat="1" ht="12.2" customHeight="1" x14ac:dyDescent="0.2">
      <c r="A665" s="1" t="s">
        <v>131</v>
      </c>
      <c r="F665" s="246">
        <v>672.47</v>
      </c>
      <c r="G665" s="247">
        <v>297.8</v>
      </c>
      <c r="H665" s="247">
        <v>733.95</v>
      </c>
      <c r="I665" s="19">
        <f>SUM(F665:H665)</f>
        <v>1704.22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19214.330000000002</v>
      </c>
      <c r="G667" s="19">
        <f>ROUND(G664/G665,2)</f>
        <v>17616.72</v>
      </c>
      <c r="H667" s="19">
        <f>ROUND(H664/H665,2)</f>
        <v>17208.09</v>
      </c>
      <c r="I667" s="19">
        <f>ROUND(I664/I665,2)</f>
        <v>18071.14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19214.330000000002</v>
      </c>
      <c r="G672" s="19">
        <f>ROUND((G664+G669)/(G665+G670),2)</f>
        <v>17616.72</v>
      </c>
      <c r="H672" s="19">
        <f>ROUND((H664+H669)/(H665+H670),2)</f>
        <v>17208.09</v>
      </c>
      <c r="I672" s="19">
        <f>ROUND((I664+I669)/(I665+I670),2)</f>
        <v>18071.14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                CONWAY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6954014.6200000001</v>
      </c>
      <c r="C9" s="229">
        <f>'DOE25'!G197+'DOE25'!G215+'DOE25'!G233+'DOE25'!G276+'DOE25'!G295+'DOE25'!G314</f>
        <v>6176172.8300000001</v>
      </c>
    </row>
    <row r="10" spans="1:3" x14ac:dyDescent="0.2">
      <c r="A10" t="s">
        <v>775</v>
      </c>
      <c r="B10" s="240">
        <v>5950962.5800000001</v>
      </c>
      <c r="C10" s="240">
        <v>5220123.01</v>
      </c>
    </row>
    <row r="11" spans="1:3" x14ac:dyDescent="0.2">
      <c r="A11" t="s">
        <v>776</v>
      </c>
      <c r="B11" s="240">
        <v>241195.32</v>
      </c>
      <c r="C11" s="240">
        <v>530401.72</v>
      </c>
    </row>
    <row r="12" spans="1:3" x14ac:dyDescent="0.2">
      <c r="A12" t="s">
        <v>777</v>
      </c>
      <c r="B12" s="240">
        <v>761856.72</v>
      </c>
      <c r="C12" s="240">
        <v>425648.1</v>
      </c>
    </row>
    <row r="13" spans="1:3" x14ac:dyDescent="0.2">
      <c r="A13" t="str">
        <f>IF(B9=B13,IF(C9=C13,"Check Total OK","Check Total Error"),"Check Total Error")</f>
        <v>Check Total OK</v>
      </c>
      <c r="B13" s="231">
        <f>SUM(B10:B12)</f>
        <v>6954014.6200000001</v>
      </c>
      <c r="C13" s="231">
        <f>SUM(C10:C12)</f>
        <v>6176172.8299999991</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2388516.13</v>
      </c>
      <c r="C18" s="229">
        <f>'DOE25'!G198+'DOE25'!G216+'DOE25'!G234+'DOE25'!G277+'DOE25'!G296+'DOE25'!G315</f>
        <v>1786460.8</v>
      </c>
    </row>
    <row r="19" spans="1:3" x14ac:dyDescent="0.2">
      <c r="A19" t="s">
        <v>775</v>
      </c>
      <c r="B19" s="240">
        <v>1193305.1200000001</v>
      </c>
      <c r="C19" s="240">
        <v>759324.93</v>
      </c>
    </row>
    <row r="20" spans="1:3" x14ac:dyDescent="0.2">
      <c r="A20" t="s">
        <v>776</v>
      </c>
      <c r="B20" s="240">
        <v>1134720.83</v>
      </c>
      <c r="C20" s="240">
        <v>1004846.16</v>
      </c>
    </row>
    <row r="21" spans="1:3" x14ac:dyDescent="0.2">
      <c r="A21" t="s">
        <v>777</v>
      </c>
      <c r="B21" s="240">
        <v>60490.18</v>
      </c>
      <c r="C21" s="240">
        <v>22289.71</v>
      </c>
    </row>
    <row r="22" spans="1:3" x14ac:dyDescent="0.2">
      <c r="A22" t="str">
        <f>IF(B18=B22,IF(C18=C22,"Check Total OK","Check Total Error"),"Check Total Error")</f>
        <v>Check Total OK</v>
      </c>
      <c r="B22" s="231">
        <f>SUM(B19:B21)</f>
        <v>2388516.1300000004</v>
      </c>
      <c r="C22" s="231">
        <f>SUM(C19:C21)</f>
        <v>1786460.8</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485959.76</v>
      </c>
      <c r="C27" s="234">
        <f>'DOE25'!G199+'DOE25'!G217+'DOE25'!G235+'DOE25'!G278+'DOE25'!G297+'DOE25'!G316</f>
        <v>333055.87999999995</v>
      </c>
    </row>
    <row r="28" spans="1:3" x14ac:dyDescent="0.2">
      <c r="A28" t="s">
        <v>775</v>
      </c>
      <c r="B28" s="240">
        <v>429890.99</v>
      </c>
      <c r="C28" s="240">
        <v>306559.34999999998</v>
      </c>
    </row>
    <row r="29" spans="1:3" x14ac:dyDescent="0.2">
      <c r="A29" t="s">
        <v>776</v>
      </c>
      <c r="B29" s="240">
        <v>0</v>
      </c>
      <c r="C29" s="240">
        <v>0</v>
      </c>
    </row>
    <row r="30" spans="1:3" x14ac:dyDescent="0.2">
      <c r="A30" t="s">
        <v>777</v>
      </c>
      <c r="B30" s="240">
        <v>56068.77</v>
      </c>
      <c r="C30" s="240">
        <v>26496.53</v>
      </c>
    </row>
    <row r="31" spans="1:3" x14ac:dyDescent="0.2">
      <c r="A31" t="str">
        <f>IF(B27=B31,IF(C27=C31,"Check Total OK","Check Total Error"),"Check Total Error")</f>
        <v>Check Total OK</v>
      </c>
      <c r="B31" s="231">
        <f>SUM(B28:B30)</f>
        <v>485959.76</v>
      </c>
      <c r="C31" s="231">
        <f>SUM(C28:C30)</f>
        <v>333055.88</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464141.27</v>
      </c>
      <c r="C36" s="235">
        <f>'DOE25'!G200+'DOE25'!G218+'DOE25'!G236+'DOE25'!G279+'DOE25'!G298+'DOE25'!G317</f>
        <v>83753.25</v>
      </c>
    </row>
    <row r="37" spans="1:3" x14ac:dyDescent="0.2">
      <c r="A37" t="s">
        <v>775</v>
      </c>
      <c r="B37" s="240"/>
      <c r="C37" s="240"/>
    </row>
    <row r="38" spans="1:3" x14ac:dyDescent="0.2">
      <c r="A38" t="s">
        <v>776</v>
      </c>
      <c r="B38" s="240"/>
      <c r="C38" s="240"/>
    </row>
    <row r="39" spans="1:3" x14ac:dyDescent="0.2">
      <c r="A39" t="s">
        <v>777</v>
      </c>
      <c r="B39" s="240">
        <v>464141.27</v>
      </c>
      <c r="C39" s="240">
        <v>83753.25</v>
      </c>
    </row>
    <row r="40" spans="1:3" x14ac:dyDescent="0.2">
      <c r="A40" t="str">
        <f>IF(B36=B40,IF(C36=C40,"Check Total OK","Check Total Error"),"Check Total Error")</f>
        <v>Check Total OK</v>
      </c>
      <c r="B40" s="231">
        <f>SUM(B37:B39)</f>
        <v>464141.27</v>
      </c>
      <c r="C40" s="231">
        <f>SUM(C37:C39)</f>
        <v>83753.25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 xml:space="preserve">                CONWAY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19547160.82</v>
      </c>
      <c r="D5" s="20">
        <f>SUM('DOE25'!L197:L200)+SUM('DOE25'!L215:L218)+SUM('DOE25'!L233:L236)-F5-G5-H5</f>
        <v>19163216.990000002</v>
      </c>
      <c r="E5" s="243"/>
      <c r="F5" s="244">
        <v>0</v>
      </c>
      <c r="G5" s="53">
        <f>SUM('DOE25'!J197:J200)+SUM('DOE25'!J215:J218)+SUM('DOE25'!J233:J236)</f>
        <v>370519.02</v>
      </c>
      <c r="H5" s="53">
        <f>SUM('DOE25'!K197:K200)+SUM('DOE25'!K215:K218)+SUM('DOE25'!K233:K236)</f>
        <v>13424.81</v>
      </c>
      <c r="I5" s="256"/>
    </row>
    <row r="6" spans="1:9" x14ac:dyDescent="0.2">
      <c r="A6" s="32">
        <v>2100</v>
      </c>
      <c r="B6" t="s">
        <v>796</v>
      </c>
      <c r="C6" s="276">
        <f t="shared" si="0"/>
        <v>2486909.87</v>
      </c>
      <c r="D6" s="20">
        <f>'DOE25'!L202+'DOE25'!L220+'DOE25'!L238-F6-G6-H6</f>
        <v>2437675.4200000004</v>
      </c>
      <c r="E6" s="243"/>
      <c r="F6" s="244">
        <f>72737.84-25000</f>
        <v>47737.84</v>
      </c>
      <c r="G6" s="53">
        <f>'DOE25'!J202+'DOE25'!J220+'DOE25'!J238</f>
        <v>1187.6099999999999</v>
      </c>
      <c r="H6" s="53">
        <f>'DOE25'!K202+'DOE25'!K220+'DOE25'!K238</f>
        <v>309</v>
      </c>
      <c r="I6" s="256"/>
    </row>
    <row r="7" spans="1:9" x14ac:dyDescent="0.2">
      <c r="A7" s="32">
        <v>2200</v>
      </c>
      <c r="B7" t="s">
        <v>821</v>
      </c>
      <c r="C7" s="276">
        <f t="shared" si="0"/>
        <v>636973.87000000011</v>
      </c>
      <c r="D7" s="20">
        <f>'DOE25'!L203+'DOE25'!L221+'DOE25'!L239-F7-G7-H7</f>
        <v>590529.05000000016</v>
      </c>
      <c r="E7" s="243"/>
      <c r="F7" s="244">
        <f>65000-25000+27394.2-25000</f>
        <v>42394.2</v>
      </c>
      <c r="G7" s="53">
        <f>'DOE25'!J203+'DOE25'!J221+'DOE25'!J239</f>
        <v>2898.77</v>
      </c>
      <c r="H7" s="53">
        <f>'DOE25'!K203+'DOE25'!K221+'DOE25'!K239</f>
        <v>1151.8499999999999</v>
      </c>
      <c r="I7" s="256"/>
    </row>
    <row r="8" spans="1:9" x14ac:dyDescent="0.2">
      <c r="A8" s="32">
        <v>2300</v>
      </c>
      <c r="B8" t="s">
        <v>797</v>
      </c>
      <c r="C8" s="276">
        <f t="shared" si="0"/>
        <v>755487.49</v>
      </c>
      <c r="D8" s="243"/>
      <c r="E8" s="20">
        <f>'DOE25'!L204+'DOE25'!L222+'DOE25'!L240-F8-G8-H8-D9-D11</f>
        <v>749981.23</v>
      </c>
      <c r="F8" s="244"/>
      <c r="G8" s="53">
        <f>'DOE25'!J204+'DOE25'!J222+'DOE25'!J240</f>
        <v>0</v>
      </c>
      <c r="H8" s="53">
        <f>'DOE25'!K204+'DOE25'!K222+'DOE25'!K240</f>
        <v>5506.26</v>
      </c>
      <c r="I8" s="256"/>
    </row>
    <row r="9" spans="1:9" ht="14.25" x14ac:dyDescent="0.2">
      <c r="A9" s="32">
        <v>2310</v>
      </c>
      <c r="B9" s="185" t="s">
        <v>890</v>
      </c>
      <c r="C9" s="276">
        <f t="shared" si="0"/>
        <v>235513.61</v>
      </c>
      <c r="D9" s="244">
        <f>219843.61+15670</f>
        <v>235513.61</v>
      </c>
      <c r="E9" s="243"/>
      <c r="F9" s="253"/>
      <c r="G9" s="253"/>
      <c r="H9" s="253"/>
      <c r="I9" s="256"/>
    </row>
    <row r="10" spans="1:9" ht="14.25" x14ac:dyDescent="0.2">
      <c r="A10" s="32">
        <v>2317</v>
      </c>
      <c r="B10" s="185" t="s">
        <v>891</v>
      </c>
      <c r="C10" s="276">
        <f t="shared" si="0"/>
        <v>15670</v>
      </c>
      <c r="D10" s="243"/>
      <c r="E10" s="244">
        <v>15670</v>
      </c>
      <c r="F10" s="253"/>
      <c r="G10" s="253"/>
      <c r="H10" s="253"/>
      <c r="I10" s="256"/>
    </row>
    <row r="11" spans="1:9" ht="14.25" x14ac:dyDescent="0.2">
      <c r="A11" s="32">
        <v>2321</v>
      </c>
      <c r="B11" s="185" t="s">
        <v>892</v>
      </c>
      <c r="C11" s="276">
        <f t="shared" si="0"/>
        <v>280773.08</v>
      </c>
      <c r="D11" s="244">
        <v>280773.08</v>
      </c>
      <c r="E11" s="243"/>
      <c r="F11" s="253"/>
      <c r="G11" s="253"/>
      <c r="H11" s="253"/>
      <c r="I11" s="256"/>
    </row>
    <row r="12" spans="1:9" x14ac:dyDescent="0.2">
      <c r="A12" s="32">
        <v>2400</v>
      </c>
      <c r="B12" t="s">
        <v>711</v>
      </c>
      <c r="C12" s="276">
        <f t="shared" si="0"/>
        <v>1796887.42</v>
      </c>
      <c r="D12" s="20">
        <f>'DOE25'!L205+'DOE25'!L223+'DOE25'!L241-F12-G12-H12</f>
        <v>1741220.47</v>
      </c>
      <c r="E12" s="243"/>
      <c r="F12" s="244">
        <f>46033.31-25000</f>
        <v>21033.309999999998</v>
      </c>
      <c r="G12" s="53">
        <f>'DOE25'!J205+'DOE25'!J223+'DOE25'!J241</f>
        <v>14539.73</v>
      </c>
      <c r="H12" s="53">
        <f>'DOE25'!K205+'DOE25'!K223+'DOE25'!K241</f>
        <v>20093.91</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4007249.2</v>
      </c>
      <c r="D14" s="20">
        <f>'DOE25'!L207+'DOE25'!L225+'DOE25'!L243-F14-G14-H14</f>
        <v>3687347.95</v>
      </c>
      <c r="E14" s="243"/>
      <c r="F14" s="244">
        <f>30246-25000+69469-25000+73183-25000+117901-25000+26711-25000+50982.5-25000</f>
        <v>218492.5</v>
      </c>
      <c r="G14" s="53">
        <f>'DOE25'!J207+'DOE25'!J225+'DOE25'!J243</f>
        <v>101408.75</v>
      </c>
      <c r="H14" s="53">
        <f>'DOE25'!K207+'DOE25'!K225+'DOE25'!K243</f>
        <v>0</v>
      </c>
      <c r="I14" s="256"/>
    </row>
    <row r="15" spans="1:9" x14ac:dyDescent="0.2">
      <c r="A15" s="32">
        <v>2700</v>
      </c>
      <c r="B15" t="s">
        <v>799</v>
      </c>
      <c r="C15" s="276">
        <f t="shared" si="0"/>
        <v>917249.48</v>
      </c>
      <c r="D15" s="20">
        <f>'DOE25'!L208+'DOE25'!L226+'DOE25'!L244-F15-G15-H15</f>
        <v>703269.48</v>
      </c>
      <c r="E15" s="243"/>
      <c r="F15" s="244">
        <f>42750-25000+44500-25000</f>
        <v>37250</v>
      </c>
      <c r="G15" s="53">
        <f>'DOE25'!J208+'DOE25'!J226+'DOE25'!J244</f>
        <v>176730</v>
      </c>
      <c r="H15" s="53">
        <f>'DOE25'!K208+'DOE25'!K226+'DOE25'!K244</f>
        <v>0</v>
      </c>
      <c r="I15" s="256"/>
    </row>
    <row r="16" spans="1:9" x14ac:dyDescent="0.2">
      <c r="A16" s="32">
        <v>2800</v>
      </c>
      <c r="B16" t="s">
        <v>800</v>
      </c>
      <c r="C16" s="276">
        <f t="shared" si="0"/>
        <v>2429.25</v>
      </c>
      <c r="D16" s="243"/>
      <c r="E16" s="20">
        <f>'DOE25'!L209+'DOE25'!L227+'DOE25'!L245-F16-G16-H16</f>
        <v>2429.25</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2695925.14</v>
      </c>
      <c r="D25" s="243"/>
      <c r="E25" s="243"/>
      <c r="F25" s="255"/>
      <c r="G25" s="253"/>
      <c r="H25" s="253"/>
      <c r="I25" s="254">
        <f>'DOE25'!L260+'DOE25'!L261+'DOE25'!L341+'DOE25'!L342</f>
        <v>2695925.14</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541255.57000000007</v>
      </c>
      <c r="D29" s="284">
        <f>'DOE25'!L358+'DOE25'!L359+'DOE25'!L360-'DOE25'!I367-F29-G29-H29</f>
        <v>63117.030000000064</v>
      </c>
      <c r="E29" s="243"/>
      <c r="F29" s="244">
        <v>475026</v>
      </c>
      <c r="G29" s="53">
        <f>'DOE25'!J358+'DOE25'!J359+'DOE25'!J360</f>
        <v>3112.54</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1758606.9400000002</v>
      </c>
      <c r="D31" s="20">
        <f>'DOE25'!L290+'DOE25'!L309+'DOE25'!L328+'DOE25'!L333+'DOE25'!L334+'DOE25'!L335-F31-G31-H31</f>
        <v>1647848.8200000003</v>
      </c>
      <c r="E31" s="243"/>
      <c r="F31" s="244">
        <v>0</v>
      </c>
      <c r="G31" s="53">
        <f>'DOE25'!J290+'DOE25'!J309+'DOE25'!J328+'DOE25'!J333+'DOE25'!J334+'DOE25'!J335</f>
        <v>105141.93999999999</v>
      </c>
      <c r="H31" s="53">
        <f>'DOE25'!K290+'DOE25'!K309+'DOE25'!K328+'DOE25'!K333+'DOE25'!K334+'DOE25'!K335</f>
        <v>5616.18</v>
      </c>
      <c r="I31" s="256"/>
    </row>
    <row r="32" spans="1:9" ht="12" thickBot="1" x14ac:dyDescent="0.25">
      <c r="C32" s="277"/>
      <c r="G32" s="251"/>
      <c r="H32" s="251"/>
      <c r="I32" s="258"/>
    </row>
    <row r="33" spans="1:9" ht="12" thickTop="1" x14ac:dyDescent="0.2">
      <c r="B33" t="s">
        <v>809</v>
      </c>
      <c r="D33" s="245">
        <f t="shared" ref="D33:I33" si="1">SUM(D5:D31)</f>
        <v>30550511.900000002</v>
      </c>
      <c r="E33" s="245">
        <f t="shared" si="1"/>
        <v>768080.48</v>
      </c>
      <c r="F33" s="245">
        <f t="shared" si="1"/>
        <v>841933.85</v>
      </c>
      <c r="G33" s="245">
        <f t="shared" si="1"/>
        <v>775538.36</v>
      </c>
      <c r="H33" s="245">
        <f t="shared" si="1"/>
        <v>46102.01</v>
      </c>
      <c r="I33" s="245">
        <f t="shared" si="1"/>
        <v>2695925.14</v>
      </c>
    </row>
    <row r="35" spans="1:9" ht="12" thickBot="1" x14ac:dyDescent="0.25">
      <c r="B35" s="251" t="s">
        <v>831</v>
      </c>
      <c r="D35" s="252">
        <f>E33</f>
        <v>768080.48</v>
      </c>
      <c r="E35" s="248"/>
    </row>
    <row r="36" spans="1:9" ht="12" thickTop="1" x14ac:dyDescent="0.2">
      <c r="B36" t="s">
        <v>810</v>
      </c>
      <c r="D36" s="20">
        <f>D33</f>
        <v>30550511.900000002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B8" sqref="B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 xml:space="preserve">                CONWAY SCHOOL DISTRICT</v>
      </c>
      <c r="B2" s="126">
        <f>'DOE25'!B2</f>
        <v>113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13616654.16</v>
      </c>
      <c r="G4" s="303">
        <f>'DOE25'!L211+'DOE25'!L290</f>
        <v>13616654.159999996</v>
      </c>
      <c r="H4" s="304">
        <f>F4-G4</f>
        <v>0</v>
      </c>
      <c r="I4" s="310" t="str">
        <f>IF(H4=0,"","Does not match DOE25 page 7 and 11 Totals!!")</f>
        <v/>
      </c>
      <c r="N4"/>
    </row>
    <row r="5" spans="1:18" x14ac:dyDescent="0.2">
      <c r="A5" s="21" t="s">
        <v>1007</v>
      </c>
      <c r="B5" s="305">
        <f>IFERROR(VLOOKUP(A5,'School Tables'!$C$3:$D$368,2,FALSE),"")</f>
        <v>20340</v>
      </c>
      <c r="C5" s="297" t="str">
        <f>IFERROR(INDEX('School Tables'!$B$3:$B$368,MATCH('School Level Expenditures'!B5,'School Tables'!$D$3:$D$368,0)),"")</f>
        <v>Conway</v>
      </c>
      <c r="D5" s="294">
        <v>4095624.85</v>
      </c>
      <c r="E5" s="294">
        <v>371864.11</v>
      </c>
      <c r="F5" s="313">
        <f>D5+E5</f>
        <v>4467488.96</v>
      </c>
      <c r="G5" s="297"/>
      <c r="H5" s="297"/>
      <c r="I5" s="126"/>
      <c r="N5"/>
    </row>
    <row r="6" spans="1:18" x14ac:dyDescent="0.2">
      <c r="A6" s="21" t="s">
        <v>1006</v>
      </c>
      <c r="B6" s="305">
        <f>IFERROR(VLOOKUP(A6,'School Tables'!$C$3:$D$368,2,FALSE),"")</f>
        <v>20335</v>
      </c>
      <c r="C6" s="297" t="str">
        <f>IFERROR(INDEX('School Tables'!$B$3:$B$368,MATCH('School Level Expenditures'!B6,'School Tables'!$D$3:$D$368,0)),"")</f>
        <v>Conway</v>
      </c>
      <c r="D6" s="322">
        <v>3530251.97</v>
      </c>
      <c r="E6" s="294">
        <v>347313</v>
      </c>
      <c r="F6" s="308">
        <f t="shared" ref="F6:F20" si="0">D6+E6</f>
        <v>3877564.97</v>
      </c>
      <c r="G6" s="297"/>
      <c r="H6" s="297"/>
      <c r="I6" s="126"/>
      <c r="N6"/>
    </row>
    <row r="7" spans="1:18" x14ac:dyDescent="0.2">
      <c r="A7" s="21" t="s">
        <v>1005</v>
      </c>
      <c r="B7" s="305">
        <f>IFERROR(VLOOKUP(A7,'School Tables'!$C$3:$D$368,2,FALSE),"")</f>
        <v>20330</v>
      </c>
      <c r="C7" s="297" t="str">
        <f>IFERROR(INDEX('School Tables'!$B$3:$B$368,MATCH('School Level Expenditures'!B7,'School Tables'!$D$3:$D$368,0)),"")</f>
        <v>Conway</v>
      </c>
      <c r="D7" s="294">
        <v>4207641.55</v>
      </c>
      <c r="E7" s="294">
        <v>418112</v>
      </c>
      <c r="F7" s="308">
        <f t="shared" si="0"/>
        <v>4625753.55</v>
      </c>
      <c r="G7" s="297"/>
      <c r="H7" s="297"/>
      <c r="I7" s="126"/>
      <c r="N7"/>
    </row>
    <row r="8" spans="1:18" x14ac:dyDescent="0.2">
      <c r="A8" s="21" t="s">
        <v>1586</v>
      </c>
      <c r="B8" s="305">
        <f>IFERROR(VLOOKUP(A8,'School Tables'!$C$3:$D$368,2,FALSE),"")</f>
        <v>99999</v>
      </c>
      <c r="C8" s="297" t="str">
        <f>IFERROR(INDEX('School Tables'!$B$3:$B$368,MATCH('School Level Expenditures'!B8,'School Tables'!$D$3:$D$368,0)),"")</f>
        <v>Other District Expenditures</v>
      </c>
      <c r="D8" s="294">
        <v>525302.75</v>
      </c>
      <c r="E8" s="294">
        <v>120543.93</v>
      </c>
      <c r="F8" s="308">
        <f t="shared" si="0"/>
        <v>645846.67999999993</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5620088.3299999991</v>
      </c>
      <c r="G24" s="303">
        <f>'DOE25'!L229+'DOE25'!L309</f>
        <v>5620088.3300000001</v>
      </c>
      <c r="H24" s="304">
        <f>F24-G24</f>
        <v>0</v>
      </c>
      <c r="I24" s="310" t="str">
        <f>IF(H24=0,"","Does not match DOE25 page 8 and 12 Totals!!")</f>
        <v/>
      </c>
      <c r="N24"/>
    </row>
    <row r="25" spans="1:14" x14ac:dyDescent="0.2">
      <c r="A25" s="21" t="s">
        <v>1009</v>
      </c>
      <c r="B25" s="305">
        <f>IFERROR(VLOOKUP(A25,'School Tables'!$I$3:$J$80,2,FALSE),"")</f>
        <v>27010</v>
      </c>
      <c r="C25" s="297" t="str">
        <f t="array" ref="C25">IFERROR(INDEX('School Tables'!$H$3:$H$80,MATCH('School Level Expenditures'!B25,'School Tables'!$J$3:$J$80,0)),"")</f>
        <v>Conway</v>
      </c>
      <c r="D25" s="294">
        <v>5301389.34</v>
      </c>
      <c r="E25" s="294">
        <v>96914.39</v>
      </c>
      <c r="F25" s="308">
        <f>D25+E25</f>
        <v>5398303.7299999995</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v>221784.6</v>
      </c>
      <c r="E26" s="294">
        <v>0</v>
      </c>
      <c r="F26" s="308">
        <f t="shared" ref="F26:F32" si="1">D26+E26</f>
        <v>221784.6</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13150083.68</v>
      </c>
      <c r="G36" s="303">
        <f>'DOE25'!L247+'DOE25'!L328</f>
        <v>13150083.68</v>
      </c>
      <c r="H36" s="304">
        <f>F36-G36</f>
        <v>0</v>
      </c>
      <c r="I36" s="310" t="str">
        <f>IF(H36=0,"","Does not match DOE25 page 9 and 13 Totals!!")</f>
        <v/>
      </c>
      <c r="N36"/>
    </row>
    <row r="37" spans="1:14" x14ac:dyDescent="0.2">
      <c r="A37" s="21" t="s">
        <v>1008</v>
      </c>
      <c r="B37" s="305">
        <f>IFERROR(VLOOKUP(A37,'School Tables'!$O$3:$P$122,2,FALSE),"")</f>
        <v>20345</v>
      </c>
      <c r="C37" s="297" t="str">
        <f t="array" ref="C37">IFERROR(INDEX('School Tables'!$N$3:$N$122,MATCH('School Level Expenditures'!B37,'School Tables'!$P$3:$P$122,0)),"")</f>
        <v>Conway</v>
      </c>
      <c r="D37" s="294">
        <v>12708128.17</v>
      </c>
      <c r="E37" s="294">
        <f>403859.51-38414.86</f>
        <v>365444.65</v>
      </c>
      <c r="F37" s="308">
        <f>D37+E37</f>
        <v>13073572.82</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76510.86</v>
      </c>
      <c r="E38" s="294">
        <v>0</v>
      </c>
      <c r="F38" s="308">
        <f t="shared" ref="F38:F41" si="2">D38+E38</f>
        <v>76510.86</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                CONWAY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1608187.57</v>
      </c>
      <c r="D8" s="95">
        <f>'DOE25'!G9</f>
        <v>635836.56999999995</v>
      </c>
      <c r="E8" s="95">
        <f>'DOE25'!H9</f>
        <v>0</v>
      </c>
      <c r="F8" s="95">
        <f>'DOE25'!I9</f>
        <v>0</v>
      </c>
      <c r="G8" s="95">
        <f>'DOE25'!J9</f>
        <v>1598821.0499999998</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828615.34</v>
      </c>
      <c r="D11" s="95">
        <f>'DOE25'!G12</f>
        <v>116474.45</v>
      </c>
      <c r="E11" s="95">
        <f>'DOE25'!H12</f>
        <v>0</v>
      </c>
      <c r="F11" s="95">
        <f>'DOE25'!I12</f>
        <v>40040</v>
      </c>
      <c r="G11" s="95">
        <f>'DOE25'!J12</f>
        <v>0</v>
      </c>
      <c r="H11" s="124"/>
      <c r="I11" s="124"/>
    </row>
    <row r="12" spans="1:9" x14ac:dyDescent="0.2">
      <c r="A12" s="1" t="s">
        <v>143</v>
      </c>
      <c r="B12" s="6">
        <v>140</v>
      </c>
      <c r="C12" s="95">
        <f>'DOE25'!F13</f>
        <v>98171.34</v>
      </c>
      <c r="D12" s="95">
        <f>'DOE25'!G13</f>
        <v>26692.26</v>
      </c>
      <c r="E12" s="95">
        <f>'DOE25'!H13</f>
        <v>244473.24</v>
      </c>
      <c r="F12" s="95">
        <f>'DOE25'!I13</f>
        <v>0</v>
      </c>
      <c r="G12" s="95">
        <f>'DOE25'!J13</f>
        <v>0</v>
      </c>
      <c r="H12" s="124"/>
      <c r="I12" s="124"/>
    </row>
    <row r="13" spans="1:9" x14ac:dyDescent="0.2">
      <c r="A13" s="1" t="s">
        <v>144</v>
      </c>
      <c r="B13" s="6">
        <v>150</v>
      </c>
      <c r="C13" s="95">
        <f>'DOE25'!F14</f>
        <v>45537.21</v>
      </c>
      <c r="D13" s="95">
        <f>'DOE25'!G14</f>
        <v>1600.75</v>
      </c>
      <c r="E13" s="95">
        <f>'DOE25'!H14</f>
        <v>7946.4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23705.25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2580511.46</v>
      </c>
      <c r="D18" s="41">
        <f>SUM(D8:D17)</f>
        <v>804309.27999999991</v>
      </c>
      <c r="E18" s="41">
        <f>SUM(E8:E17)</f>
        <v>252419.63999999998</v>
      </c>
      <c r="F18" s="41">
        <f>SUM(F8:F17)</f>
        <v>40040</v>
      </c>
      <c r="G18" s="41">
        <f>SUM(G8:G17)</f>
        <v>1598821.0499999998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156514.75</v>
      </c>
      <c r="D21" s="95">
        <f>'DOE25'!G22</f>
        <v>780601.53</v>
      </c>
      <c r="E21" s="95">
        <f>'DOE25'!H22</f>
        <v>48013.81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225000.6</v>
      </c>
      <c r="D23" s="95">
        <f>'DOE25'!G24</f>
        <v>2.5</v>
      </c>
      <c r="E23" s="95">
        <f>'DOE25'!H24</f>
        <v>1111.8900000000001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37570.06</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804.77</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419890.18</v>
      </c>
      <c r="D31" s="41">
        <f>SUM(D21:D30)</f>
        <v>780604.03</v>
      </c>
      <c r="E31" s="41">
        <f>SUM(E21:E30)</f>
        <v>49125.7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23705.25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229050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203293.94</v>
      </c>
      <c r="F47" s="95">
        <f>'DOE25'!I48</f>
        <v>40040</v>
      </c>
      <c r="G47" s="95">
        <f>'DOE25'!J48</f>
        <v>1598821.0499999998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1931571.2799999998</v>
      </c>
      <c r="D49" s="24" t="s">
        <v>288</v>
      </c>
      <c r="E49" s="24" t="s">
        <v>288</v>
      </c>
      <c r="F49" s="24" t="s">
        <v>288</v>
      </c>
      <c r="G49" s="24" t="s">
        <v>288</v>
      </c>
      <c r="H49" s="124"/>
      <c r="I49" s="124"/>
    </row>
    <row r="50" spans="1:9" ht="12.75" thickTop="1" thickBot="1" x14ac:dyDescent="0.25">
      <c r="A50" s="38" t="s">
        <v>884</v>
      </c>
      <c r="B50" s="48"/>
      <c r="C50" s="41">
        <f>SUM(C34:C49)</f>
        <v>2160621.2799999998</v>
      </c>
      <c r="D50" s="41">
        <f>SUM(D34:D49)</f>
        <v>23705.25</v>
      </c>
      <c r="E50" s="41">
        <f>SUM(E34:E49)</f>
        <v>203293.94</v>
      </c>
      <c r="F50" s="41">
        <f>SUM(F34:F49)</f>
        <v>40040</v>
      </c>
      <c r="G50" s="41">
        <f>SUM(G34:G49)</f>
        <v>1598821.0499999998</v>
      </c>
      <c r="H50" s="124"/>
      <c r="I50" s="124"/>
    </row>
    <row r="51" spans="1:9" ht="12" thickTop="1" x14ac:dyDescent="0.2">
      <c r="A51" s="38" t="s">
        <v>885</v>
      </c>
      <c r="B51" s="2"/>
      <c r="C51" s="41">
        <f>C50+C31</f>
        <v>2580511.46</v>
      </c>
      <c r="D51" s="41">
        <f>D50+D31</f>
        <v>804309.28</v>
      </c>
      <c r="E51" s="41">
        <f>E50+E31</f>
        <v>252419.64</v>
      </c>
      <c r="F51" s="41">
        <f>F50+F31</f>
        <v>40040</v>
      </c>
      <c r="G51" s="41">
        <f>G50+G31</f>
        <v>1598821.0499999998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14996401</v>
      </c>
      <c r="D56" s="95">
        <f>'DOE25'!G60</f>
        <v>0</v>
      </c>
      <c r="E56" s="95">
        <f>'DOE25'!H60</f>
        <v>0</v>
      </c>
      <c r="F56" s="95">
        <f>'DOE25'!I60</f>
        <v>0</v>
      </c>
      <c r="G56" s="95">
        <f>'DOE25'!J60</f>
        <v>0</v>
      </c>
      <c r="H56"/>
      <c r="I56"/>
    </row>
    <row r="57" spans="1:9" x14ac:dyDescent="0.2">
      <c r="A57" s="1" t="s">
        <v>164</v>
      </c>
      <c r="B57" s="6" t="s">
        <v>165</v>
      </c>
      <c r="C57" s="95">
        <f>'DOE25'!F79</f>
        <v>10207518</v>
      </c>
      <c r="D57" s="24" t="s">
        <v>288</v>
      </c>
      <c r="E57" s="95">
        <f>'DOE25'!H79</f>
        <v>0</v>
      </c>
      <c r="F57" s="24" t="s">
        <v>288</v>
      </c>
      <c r="G57" s="24" t="s">
        <v>288</v>
      </c>
      <c r="H57"/>
      <c r="I57"/>
    </row>
    <row r="58" spans="1:9" x14ac:dyDescent="0.2">
      <c r="A58" s="1" t="s">
        <v>166</v>
      </c>
      <c r="B58" s="6" t="s">
        <v>167</v>
      </c>
      <c r="C58" s="95">
        <f>'DOE25'!F94</f>
        <v>39851.72</v>
      </c>
      <c r="D58" s="24" t="s">
        <v>288</v>
      </c>
      <c r="E58" s="95">
        <f>'DOE25'!H94</f>
        <v>0</v>
      </c>
      <c r="F58" s="24" t="s">
        <v>288</v>
      </c>
      <c r="G58" s="24" t="s">
        <v>288</v>
      </c>
      <c r="H58"/>
      <c r="I58"/>
    </row>
    <row r="59" spans="1:9" x14ac:dyDescent="0.2">
      <c r="A59" s="69" t="s">
        <v>168</v>
      </c>
      <c r="B59" s="37" t="s">
        <v>169</v>
      </c>
      <c r="C59" s="95">
        <f>'DOE25'!F96</f>
        <v>18878.080000000002</v>
      </c>
      <c r="D59" s="95">
        <f>'DOE25'!G96</f>
        <v>0</v>
      </c>
      <c r="E59" s="95">
        <f>'DOE25'!H96</f>
        <v>0</v>
      </c>
      <c r="F59" s="95">
        <f>'DOE25'!I96</f>
        <v>0</v>
      </c>
      <c r="G59" s="95">
        <f>'DOE25'!J96</f>
        <v>27134.04</v>
      </c>
      <c r="H59"/>
      <c r="I59"/>
    </row>
    <row r="60" spans="1:9" x14ac:dyDescent="0.2">
      <c r="A60" s="1" t="s">
        <v>170</v>
      </c>
      <c r="B60" s="118" t="s">
        <v>171</v>
      </c>
      <c r="C60" s="24" t="s">
        <v>288</v>
      </c>
      <c r="D60" s="95">
        <f>'DOE25'!G97</f>
        <v>303286.48</v>
      </c>
      <c r="E60" s="24" t="s">
        <v>288</v>
      </c>
      <c r="F60" s="24" t="s">
        <v>288</v>
      </c>
      <c r="G60" s="24" t="s">
        <v>288</v>
      </c>
      <c r="H60"/>
      <c r="I60"/>
    </row>
    <row r="61" spans="1:9" ht="12" thickBot="1" x14ac:dyDescent="0.25">
      <c r="A61" s="1" t="s">
        <v>172</v>
      </c>
      <c r="B61" s="118" t="s">
        <v>173</v>
      </c>
      <c r="C61" s="95">
        <f>SUM('DOE25'!F98:F110)</f>
        <v>563570.28</v>
      </c>
      <c r="D61" s="95">
        <f>SUM('DOE25'!G98:G110)</f>
        <v>117.62</v>
      </c>
      <c r="E61" s="95">
        <f>SUM('DOE25'!H98:H110)</f>
        <v>183270.32</v>
      </c>
      <c r="F61" s="95">
        <f>SUM('DOE25'!I98:I110)</f>
        <v>0</v>
      </c>
      <c r="G61" s="95">
        <f>SUM('DOE25'!J98:J110)</f>
        <v>0</v>
      </c>
      <c r="H61"/>
      <c r="I61"/>
    </row>
    <row r="62" spans="1:9" ht="12.75" thickTop="1" thickBot="1" x14ac:dyDescent="0.25">
      <c r="A62" s="29" t="s">
        <v>174</v>
      </c>
      <c r="B62" s="6"/>
      <c r="C62" s="130">
        <f>SUM(C57:C61)</f>
        <v>10829818.08</v>
      </c>
      <c r="D62" s="130">
        <f>SUM(D57:D61)</f>
        <v>303404.09999999998</v>
      </c>
      <c r="E62" s="130">
        <f>SUM(E57:E61)</f>
        <v>183270.32</v>
      </c>
      <c r="F62" s="130">
        <f>SUM(F57:F61)</f>
        <v>0</v>
      </c>
      <c r="G62" s="130">
        <f>SUM(G57:G61)</f>
        <v>27134.04</v>
      </c>
      <c r="H62"/>
      <c r="I62"/>
    </row>
    <row r="63" spans="1:9" ht="12" thickTop="1" x14ac:dyDescent="0.2">
      <c r="A63" s="29" t="s">
        <v>175</v>
      </c>
      <c r="B63" s="6"/>
      <c r="C63" s="22">
        <f>C56+C62</f>
        <v>25826219.079999998</v>
      </c>
      <c r="D63" s="22">
        <f>D56+D62</f>
        <v>303404.09999999998</v>
      </c>
      <c r="E63" s="22">
        <f>E56+E62</f>
        <v>183270.32</v>
      </c>
      <c r="F63" s="22">
        <f>F56+F62</f>
        <v>0</v>
      </c>
      <c r="G63" s="22">
        <f>G56+G62</f>
        <v>27134.04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2971435.81</v>
      </c>
      <c r="D66" s="24" t="s">
        <v>288</v>
      </c>
      <c r="E66" s="24" t="s">
        <v>288</v>
      </c>
      <c r="F66" s="24" t="s">
        <v>288</v>
      </c>
      <c r="G66" s="24" t="s">
        <v>288</v>
      </c>
      <c r="H66"/>
      <c r="I66"/>
    </row>
    <row r="67" spans="1:9" x14ac:dyDescent="0.2">
      <c r="A67" s="1" t="s">
        <v>770</v>
      </c>
      <c r="B67" s="6">
        <v>3112</v>
      </c>
      <c r="C67" s="95">
        <f>'DOE25'!F118</f>
        <v>3327640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6301031.9000000004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1060664.08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85844.77</v>
      </c>
      <c r="D74" s="24"/>
      <c r="E74" s="24"/>
      <c r="F74" s="24"/>
      <c r="G74" s="24"/>
      <c r="H74"/>
      <c r="I74"/>
    </row>
    <row r="75" spans="1:9" x14ac:dyDescent="0.2">
      <c r="A75" s="1" t="s">
        <v>256</v>
      </c>
      <c r="B75" s="6">
        <v>3230</v>
      </c>
      <c r="C75" s="95">
        <f>'DOE25'!F126</f>
        <v>187429.3</v>
      </c>
      <c r="D75" s="24" t="s">
        <v>288</v>
      </c>
      <c r="E75" s="24" t="s">
        <v>288</v>
      </c>
      <c r="F75" s="24" t="s">
        <v>288</v>
      </c>
      <c r="G75" s="24" t="s">
        <v>288</v>
      </c>
      <c r="H75"/>
      <c r="I75"/>
    </row>
    <row r="76" spans="1:9" x14ac:dyDescent="0.2">
      <c r="A76" s="1" t="s">
        <v>257</v>
      </c>
      <c r="B76" s="6" t="s">
        <v>179</v>
      </c>
      <c r="C76" s="95">
        <f>SUM('DOE25'!F127:F130)</f>
        <v>0</v>
      </c>
      <c r="D76" s="24" t="s">
        <v>288</v>
      </c>
      <c r="E76" s="95">
        <f>SUM('DOE25'!H127:H130)</f>
        <v>4750</v>
      </c>
      <c r="F76" s="95">
        <f>SUM('DOE25'!I127:I130)</f>
        <v>0</v>
      </c>
      <c r="G76" s="24" t="s">
        <v>288</v>
      </c>
      <c r="H76"/>
      <c r="I76"/>
    </row>
    <row r="77" spans="1:9" ht="12" thickBot="1" x14ac:dyDescent="0.25">
      <c r="A77" s="1" t="s">
        <v>258</v>
      </c>
      <c r="B77" s="6" t="s">
        <v>180</v>
      </c>
      <c r="C77" s="95">
        <f>SUM('DOE25'!F131:F135)</f>
        <v>0</v>
      </c>
      <c r="D77" s="95">
        <f>SUM('DOE25'!G131:G135)</f>
        <v>7585.39</v>
      </c>
      <c r="E77" s="95">
        <f>SUM('DOE25'!H131:H135)</f>
        <v>42644.38</v>
      </c>
      <c r="F77" s="95">
        <f>SUM('DOE25'!I131:I135)</f>
        <v>0</v>
      </c>
      <c r="G77" s="95">
        <f>SUM('DOE25'!J131:J135)</f>
        <v>0</v>
      </c>
      <c r="H77"/>
      <c r="I77"/>
    </row>
    <row r="78" spans="1:9" ht="12.75" thickTop="1" thickBot="1" x14ac:dyDescent="0.25">
      <c r="A78" s="29" t="s">
        <v>259</v>
      </c>
      <c r="B78" s="6"/>
      <c r="C78" s="130">
        <f>SUM(C72:C77)</f>
        <v>1333938.1500000001</v>
      </c>
      <c r="D78" s="130">
        <f>SUM(D72:D77)</f>
        <v>7585.39</v>
      </c>
      <c r="E78" s="130">
        <f>SUM(E72:E77)</f>
        <v>47394.38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7634970.0500000007</v>
      </c>
      <c r="D81" s="130">
        <f>SUM(D79:D80)+D78+D70</f>
        <v>7585.39</v>
      </c>
      <c r="E81" s="130">
        <f>SUM(E79:E80)+E78+E70</f>
        <v>47394.38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180851.53</v>
      </c>
      <c r="D88" s="95">
        <f>SUM('DOE25'!G153:G161)</f>
        <v>390346.69</v>
      </c>
      <c r="E88" s="95">
        <f>SUM('DOE25'!H153:H161)</f>
        <v>1524025.18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759.39</v>
      </c>
      <c r="D90" s="24" t="s">
        <v>288</v>
      </c>
      <c r="E90" s="24" t="s">
        <v>288</v>
      </c>
      <c r="F90" s="24" t="s">
        <v>288</v>
      </c>
      <c r="G90" s="24" t="s">
        <v>288</v>
      </c>
    </row>
    <row r="91" spans="1:9" ht="12.75" thickTop="1" thickBot="1" x14ac:dyDescent="0.25">
      <c r="A91" s="33" t="s">
        <v>750</v>
      </c>
      <c r="C91" s="131">
        <f>SUM(C85:C90)</f>
        <v>181610.92</v>
      </c>
      <c r="D91" s="131">
        <f>SUM(D85:D90)</f>
        <v>390346.69</v>
      </c>
      <c r="E91" s="131">
        <f>SUM(E85:E90)</f>
        <v>1524025.18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100915.6</v>
      </c>
      <c r="E96" s="95">
        <f>'DOE25'!H179</f>
        <v>0</v>
      </c>
      <c r="F96" s="95">
        <f>'DOE25'!I179</f>
        <v>0</v>
      </c>
      <c r="G96" s="95">
        <f>'DOE25'!J179</f>
        <v>81429</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45000</v>
      </c>
      <c r="D99" s="95">
        <f>'DOE25'!G185</f>
        <v>0</v>
      </c>
      <c r="E99" s="95">
        <f>'DOE25'!H185</f>
        <v>0</v>
      </c>
      <c r="F99" s="95">
        <f>'DOE25'!I185</f>
        <v>0</v>
      </c>
      <c r="G99" s="24" t="s">
        <v>288</v>
      </c>
    </row>
    <row r="100" spans="1:7" x14ac:dyDescent="0.2">
      <c r="A100" t="s">
        <v>757</v>
      </c>
      <c r="B100" s="32" t="s">
        <v>190</v>
      </c>
      <c r="C100" s="95">
        <f>SUM('DOE25'!F186:F187)</f>
        <v>75451.149999999994</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120451.15</v>
      </c>
      <c r="D103" s="86">
        <f>SUM(D93:D102)</f>
        <v>100915.6</v>
      </c>
      <c r="E103" s="86">
        <f>SUM(E93:E102)</f>
        <v>0</v>
      </c>
      <c r="F103" s="86">
        <f>SUM(F93:F102)</f>
        <v>0</v>
      </c>
      <c r="G103" s="86">
        <f>SUM(G93:G102)</f>
        <v>81429</v>
      </c>
    </row>
    <row r="104" spans="1:7" ht="12.75" thickTop="1" thickBot="1" x14ac:dyDescent="0.25">
      <c r="A104" s="33" t="s">
        <v>761</v>
      </c>
      <c r="C104" s="86">
        <f>C63+C81+C91+C103</f>
        <v>33763251.199999996</v>
      </c>
      <c r="D104" s="86">
        <f>D63+D81+D91+D103</f>
        <v>802251.77999999991</v>
      </c>
      <c r="E104" s="86">
        <f>E63+E81+E91+E103</f>
        <v>1754689.88</v>
      </c>
      <c r="F104" s="86">
        <f>F63+F81+F91+F103</f>
        <v>0</v>
      </c>
      <c r="G104" s="86">
        <f>G63+G81+G103</f>
        <v>108563.04000000001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13318867.890000001</v>
      </c>
      <c r="D109" s="24" t="s">
        <v>288</v>
      </c>
      <c r="E109" s="95">
        <f>('DOE25'!L276)+('DOE25'!L295)+('DOE25'!L314)</f>
        <v>600072.29</v>
      </c>
      <c r="F109" s="24" t="s">
        <v>288</v>
      </c>
      <c r="G109" s="24" t="s">
        <v>288</v>
      </c>
    </row>
    <row r="110" spans="1:7" x14ac:dyDescent="0.2">
      <c r="A110" t="s">
        <v>198</v>
      </c>
      <c r="B110" s="32" t="s">
        <v>199</v>
      </c>
      <c r="C110" s="95">
        <f>('DOE25'!L198)+('DOE25'!L216)+('DOE25'!L234)</f>
        <v>4786427.3899999997</v>
      </c>
      <c r="D110" s="24" t="s">
        <v>288</v>
      </c>
      <c r="E110" s="95">
        <f>('DOE25'!L277)+('DOE25'!L296)+('DOE25'!L315)</f>
        <v>139092.08000000002</v>
      </c>
      <c r="F110" s="24" t="s">
        <v>288</v>
      </c>
      <c r="G110" s="24" t="s">
        <v>288</v>
      </c>
    </row>
    <row r="111" spans="1:7" x14ac:dyDescent="0.2">
      <c r="A111" t="s">
        <v>200</v>
      </c>
      <c r="B111" s="32" t="s">
        <v>165</v>
      </c>
      <c r="C111" s="95">
        <f>('DOE25'!L199)+('DOE25'!L217)+('DOE25'!L235)</f>
        <v>908573.54999999993</v>
      </c>
      <c r="D111" s="24" t="s">
        <v>288</v>
      </c>
      <c r="E111" s="95">
        <f>('DOE25'!L278)+('DOE25'!L297)+('DOE25'!L316)</f>
        <v>102001.13</v>
      </c>
      <c r="F111" s="24" t="s">
        <v>288</v>
      </c>
      <c r="G111" s="24" t="s">
        <v>288</v>
      </c>
    </row>
    <row r="112" spans="1:7" x14ac:dyDescent="0.2">
      <c r="A112" t="s">
        <v>201</v>
      </c>
      <c r="B112" s="32" t="s">
        <v>167</v>
      </c>
      <c r="C112" s="95">
        <f>('DOE25'!L200)+('DOE25'!L218)+('DOE25'!L236)</f>
        <v>533291.99</v>
      </c>
      <c r="D112" s="24" t="s">
        <v>288</v>
      </c>
      <c r="E112" s="95">
        <f>+('DOE25'!L279)+('DOE25'!L298)+('DOE25'!L317)</f>
        <v>233617.1</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38414.86</v>
      </c>
      <c r="F114" s="24" t="s">
        <v>288</v>
      </c>
      <c r="G114" s="24" t="s">
        <v>288</v>
      </c>
    </row>
    <row r="115" spans="1:7" ht="12.75" thickTop="1" thickBot="1" x14ac:dyDescent="0.25">
      <c r="A115" s="33" t="s">
        <v>205</v>
      </c>
      <c r="C115" s="86">
        <f>SUM(C109:C114)</f>
        <v>19547160.82</v>
      </c>
      <c r="D115" s="86">
        <f>SUM(D109:D114)</f>
        <v>0</v>
      </c>
      <c r="E115" s="86">
        <f>SUM(E109:E114)</f>
        <v>1113197.4600000002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2486909.87</v>
      </c>
      <c r="D118" s="24" t="s">
        <v>288</v>
      </c>
      <c r="E118" s="95">
        <f>+('DOE25'!L281)+('DOE25'!L300)+('DOE25'!L319)</f>
        <v>264694.27999999997</v>
      </c>
      <c r="F118" s="24" t="s">
        <v>288</v>
      </c>
      <c r="G118" s="24" t="s">
        <v>288</v>
      </c>
    </row>
    <row r="119" spans="1:7" x14ac:dyDescent="0.2">
      <c r="A119" t="s">
        <v>208</v>
      </c>
      <c r="B119" s="32" t="s">
        <v>209</v>
      </c>
      <c r="C119" s="95">
        <f>('DOE25'!L203)+('DOE25'!L221)+('DOE25'!L239)</f>
        <v>636973.87000000011</v>
      </c>
      <c r="D119" s="24" t="s">
        <v>288</v>
      </c>
      <c r="E119" s="95">
        <f>+('DOE25'!L282)+('DOE25'!L301)+('DOE25'!L320)</f>
        <v>366046.81000000006</v>
      </c>
      <c r="F119" s="24" t="s">
        <v>288</v>
      </c>
      <c r="G119" s="24" t="s">
        <v>288</v>
      </c>
    </row>
    <row r="120" spans="1:7" x14ac:dyDescent="0.2">
      <c r="A120" t="s">
        <v>210</v>
      </c>
      <c r="B120" s="32" t="s">
        <v>211</v>
      </c>
      <c r="C120" s="95">
        <f>('DOE25'!L204)+('DOE25'!L222)+('DOE25'!L240)</f>
        <v>1271774.18</v>
      </c>
      <c r="D120" s="24" t="s">
        <v>288</v>
      </c>
      <c r="E120" s="95">
        <f>+('DOE25'!L283)+('DOE25'!L302)+('DOE25'!L321)</f>
        <v>0</v>
      </c>
      <c r="F120" s="24" t="s">
        <v>288</v>
      </c>
      <c r="G120" s="24" t="s">
        <v>288</v>
      </c>
    </row>
    <row r="121" spans="1:7" x14ac:dyDescent="0.2">
      <c r="A121" t="s">
        <v>212</v>
      </c>
      <c r="B121" s="32" t="s">
        <v>213</v>
      </c>
      <c r="C121" s="95">
        <f>('DOE25'!L205)+('DOE25'!L223)+('DOE25'!L241)</f>
        <v>1796887.42</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4007249.2</v>
      </c>
      <c r="D123" s="24" t="s">
        <v>288</v>
      </c>
      <c r="E123" s="95">
        <f>+('DOE25'!L286)+('DOE25'!L305)+('DOE25'!L324)</f>
        <v>0</v>
      </c>
      <c r="F123" s="24" t="s">
        <v>288</v>
      </c>
      <c r="G123" s="24" t="s">
        <v>288</v>
      </c>
    </row>
    <row r="124" spans="1:7" x14ac:dyDescent="0.2">
      <c r="A124" t="s">
        <v>218</v>
      </c>
      <c r="B124" s="32" t="s">
        <v>219</v>
      </c>
      <c r="C124" s="95">
        <f>('DOE25'!L208)+('DOE25'!L226)+('DOE25'!L244+'DOE25'!L254)</f>
        <v>917249.48</v>
      </c>
      <c r="D124" s="24" t="s">
        <v>288</v>
      </c>
      <c r="E124" s="95">
        <f>+('DOE25'!L287)+('DOE25'!L306)+('DOE25'!L325)</f>
        <v>14668.39</v>
      </c>
      <c r="F124" s="24" t="s">
        <v>288</v>
      </c>
      <c r="G124" s="24" t="s">
        <v>288</v>
      </c>
    </row>
    <row r="125" spans="1:7" x14ac:dyDescent="0.2">
      <c r="A125" t="s">
        <v>220</v>
      </c>
      <c r="B125" s="32" t="s">
        <v>221</v>
      </c>
      <c r="C125" s="95">
        <f>('DOE25'!L209)+('DOE25'!L227)+('DOE25'!L245)</f>
        <v>2429.25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802251.78</v>
      </c>
      <c r="E127" s="24" t="s">
        <v>288</v>
      </c>
      <c r="F127" s="24" t="s">
        <v>288</v>
      </c>
      <c r="G127" s="24" t="s">
        <v>288</v>
      </c>
    </row>
    <row r="128" spans="1:7" ht="12.75" thickTop="1" thickBot="1" x14ac:dyDescent="0.25">
      <c r="A128" s="33" t="s">
        <v>226</v>
      </c>
      <c r="C128" s="86">
        <f>SUM(C118:C127)</f>
        <v>11119473.27</v>
      </c>
      <c r="D128" s="86">
        <f>SUM(D118:D127)</f>
        <v>802251.78</v>
      </c>
      <c r="E128" s="86">
        <f>SUM(E118:E127)</f>
        <v>645409.4800000001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1314125.05</v>
      </c>
      <c r="G130" s="24" t="s">
        <v>288</v>
      </c>
    </row>
    <row r="131" spans="1:7" x14ac:dyDescent="0.2">
      <c r="A131" t="s">
        <v>229</v>
      </c>
      <c r="B131" s="32">
        <v>5110</v>
      </c>
      <c r="C131" s="95">
        <f>'DOE25'!L260</f>
        <v>2036000</v>
      </c>
      <c r="D131" s="24" t="s">
        <v>288</v>
      </c>
      <c r="E131" s="129">
        <f>'DOE25'!L341</f>
        <v>0</v>
      </c>
      <c r="F131" s="24" t="s">
        <v>288</v>
      </c>
      <c r="G131" s="24" t="s">
        <v>288</v>
      </c>
    </row>
    <row r="132" spans="1:7" x14ac:dyDescent="0.2">
      <c r="A132" t="s">
        <v>230</v>
      </c>
      <c r="B132" s="32">
        <v>5120</v>
      </c>
      <c r="C132" s="95">
        <f>'DOE25'!L261</f>
        <v>659925.14</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120451.15</v>
      </c>
    </row>
    <row r="135" spans="1:7" x14ac:dyDescent="0.2">
      <c r="A135" t="s">
        <v>233</v>
      </c>
      <c r="B135" s="32" t="s">
        <v>234</v>
      </c>
      <c r="C135" s="95">
        <f>'DOE25'!L263</f>
        <v>100915.6</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1292.6399999999999</v>
      </c>
      <c r="D138" s="24" t="s">
        <v>288</v>
      </c>
      <c r="E138" s="24" t="s">
        <v>288</v>
      </c>
      <c r="F138" s="24" t="s">
        <v>288</v>
      </c>
      <c r="G138" s="24" t="s">
        <v>288</v>
      </c>
    </row>
    <row r="139" spans="1:7" x14ac:dyDescent="0.2">
      <c r="A139" t="s">
        <v>239</v>
      </c>
      <c r="B139" s="32">
        <v>5252</v>
      </c>
      <c r="C139" s="95">
        <f>'DOE25'!L401</f>
        <v>106727.69</v>
      </c>
      <c r="D139" s="24" t="s">
        <v>288</v>
      </c>
      <c r="E139" s="24" t="s">
        <v>288</v>
      </c>
      <c r="F139" s="24" t="s">
        <v>288</v>
      </c>
      <c r="G139" s="24" t="s">
        <v>288</v>
      </c>
    </row>
    <row r="140" spans="1:7" x14ac:dyDescent="0.2">
      <c r="A140" t="s">
        <v>240</v>
      </c>
      <c r="B140" s="32">
        <v>5253</v>
      </c>
      <c r="C140" s="95">
        <f>'DOE25'!L407</f>
        <v>542.71</v>
      </c>
      <c r="D140" s="24" t="s">
        <v>288</v>
      </c>
      <c r="E140" s="24" t="s">
        <v>288</v>
      </c>
      <c r="F140" s="24" t="s">
        <v>288</v>
      </c>
      <c r="G140" s="24" t="s">
        <v>288</v>
      </c>
    </row>
    <row r="141" spans="1:7" x14ac:dyDescent="0.2">
      <c r="A141" t="s">
        <v>762</v>
      </c>
      <c r="B141" s="32">
        <v>5254</v>
      </c>
      <c r="C141" s="95">
        <f>('DOE25'!L266+'DOE25'!K347) - (C138+C139+C140)</f>
        <v>-27134.040000000008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2878269.74</v>
      </c>
      <c r="D144" s="141">
        <f>SUM(D130:D143)</f>
        <v>0</v>
      </c>
      <c r="E144" s="141">
        <f>SUM(E130:E143)</f>
        <v>0</v>
      </c>
      <c r="F144" s="141">
        <f>SUM(F130:F143)</f>
        <v>1314125.05</v>
      </c>
      <c r="G144" s="141">
        <f>SUM(G130:G143)</f>
        <v>120451.15</v>
      </c>
    </row>
    <row r="145" spans="1:9" ht="12.75" thickTop="1" thickBot="1" x14ac:dyDescent="0.25">
      <c r="A145" s="33" t="s">
        <v>244</v>
      </c>
      <c r="C145" s="86">
        <f>(C115+C128+C144)</f>
        <v>33544903.829999998</v>
      </c>
      <c r="D145" s="86">
        <f>(D115+D128+D144)</f>
        <v>802251.78</v>
      </c>
      <c r="E145" s="86">
        <f>(E115+E128+E144)</f>
        <v>1758606.9400000004</v>
      </c>
      <c r="F145" s="86">
        <f>(F115+F128+F144)</f>
        <v>1314125.05</v>
      </c>
      <c r="G145" s="86">
        <f>(G115+G128+G144)</f>
        <v>120451.15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20</v>
      </c>
      <c r="D151" s="153">
        <f>'DOE25'!H490</f>
        <v>20</v>
      </c>
      <c r="E151" s="153">
        <f>'DOE25'!I490</f>
        <v>20</v>
      </c>
      <c r="F151" s="153">
        <f>'DOE25'!J490</f>
        <v>0</v>
      </c>
      <c r="G151" s="24" t="s">
        <v>288</v>
      </c>
    </row>
    <row r="152" spans="1:9" x14ac:dyDescent="0.2">
      <c r="A152" s="136" t="s">
        <v>28</v>
      </c>
      <c r="B152" s="152" t="str">
        <f>'DOE25'!F491</f>
        <v>12/03</v>
      </c>
      <c r="C152" s="152" t="str">
        <f>'DOE25'!G491</f>
        <v>7/16</v>
      </c>
      <c r="D152" s="152" t="str">
        <f>'DOE25'!H491</f>
        <v>7/17</v>
      </c>
      <c r="E152" s="152" t="str">
        <f>'DOE25'!I491</f>
        <v>6/18</v>
      </c>
      <c r="F152" s="152">
        <f>'DOE25'!J491</f>
        <v>0</v>
      </c>
      <c r="G152" s="24" t="s">
        <v>288</v>
      </c>
    </row>
    <row r="153" spans="1:9" x14ac:dyDescent="0.2">
      <c r="A153" s="136" t="s">
        <v>29</v>
      </c>
      <c r="B153" s="152" t="str">
        <f>'DOE25'!F492</f>
        <v>1/2024</v>
      </c>
      <c r="C153" s="152" t="str">
        <f>'DOE25'!G492</f>
        <v>8/2036</v>
      </c>
      <c r="D153" s="152" t="str">
        <f>'DOE25'!H492</f>
        <v>8/2037</v>
      </c>
      <c r="E153" s="152" t="str">
        <f>'DOE25'!I492</f>
        <v>8/2038</v>
      </c>
      <c r="F153" s="152">
        <f>'DOE25'!J492</f>
        <v>0</v>
      </c>
      <c r="G153" s="24" t="s">
        <v>288</v>
      </c>
    </row>
    <row r="154" spans="1:9" x14ac:dyDescent="0.2">
      <c r="A154" s="136" t="s">
        <v>30</v>
      </c>
      <c r="B154" s="137">
        <f>'DOE25'!F493</f>
        <v>42120000</v>
      </c>
      <c r="C154" s="137">
        <f>'DOE25'!G493</f>
        <v>1837000</v>
      </c>
      <c r="D154" s="137">
        <f>'DOE25'!H493</f>
        <v>1871000</v>
      </c>
      <c r="E154" s="137">
        <f>'DOE25'!I493</f>
        <v>1122900</v>
      </c>
      <c r="F154" s="137">
        <f>'DOE25'!J493</f>
        <v>0</v>
      </c>
      <c r="G154" s="24" t="s">
        <v>288</v>
      </c>
    </row>
    <row r="155" spans="1:9" x14ac:dyDescent="0.2">
      <c r="A155" s="136" t="s">
        <v>31</v>
      </c>
      <c r="B155" s="137">
        <f>'DOE25'!F494</f>
        <v>4</v>
      </c>
      <c r="C155" s="137">
        <f>'DOE25'!G494</f>
        <v>2.5</v>
      </c>
      <c r="D155" s="137">
        <f>'DOE25'!H494</f>
        <v>2.6640000000000001</v>
      </c>
      <c r="E155" s="137">
        <f>'DOE25'!I494</f>
        <v>3.24</v>
      </c>
      <c r="F155" s="137">
        <f>'DOE25'!J494</f>
        <v>0</v>
      </c>
      <c r="G155" s="24" t="s">
        <v>288</v>
      </c>
    </row>
    <row r="156" spans="1:9" x14ac:dyDescent="0.2">
      <c r="A156" s="22" t="s">
        <v>32</v>
      </c>
      <c r="B156" s="137">
        <f>'DOE25'!F495</f>
        <v>11060000</v>
      </c>
      <c r="C156" s="137">
        <f>'DOE25'!G495</f>
        <v>1749300</v>
      </c>
      <c r="D156" s="137">
        <f>'DOE25'!H495</f>
        <v>1871000</v>
      </c>
      <c r="E156" s="137">
        <f>'DOE25'!I495</f>
        <v>1122900</v>
      </c>
      <c r="F156" s="137">
        <f>'DOE25'!J495</f>
        <v>0</v>
      </c>
      <c r="G156" s="138">
        <f>SUM(B156:F156)</f>
        <v>15803200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1850000</v>
      </c>
      <c r="C158" s="137">
        <f>'DOE25'!G497</f>
        <v>95000</v>
      </c>
      <c r="D158" s="137">
        <f>'DOE25'!H497</f>
        <v>91000</v>
      </c>
      <c r="E158" s="137">
        <f>'DOE25'!I497</f>
        <v>0</v>
      </c>
      <c r="F158" s="137">
        <f>'DOE25'!J497</f>
        <v>0</v>
      </c>
      <c r="G158" s="138">
        <f t="shared" si="0"/>
        <v>2036000</v>
      </c>
    </row>
    <row r="159" spans="1:9" x14ac:dyDescent="0.2">
      <c r="A159" s="22" t="s">
        <v>35</v>
      </c>
      <c r="B159" s="137">
        <f>'DOE25'!F498</f>
        <v>9210000</v>
      </c>
      <c r="C159" s="137">
        <f>'DOE25'!G498</f>
        <v>1654300</v>
      </c>
      <c r="D159" s="137">
        <f>'DOE25'!H498</f>
        <v>1780000</v>
      </c>
      <c r="E159" s="137">
        <f>'DOE25'!I498</f>
        <v>1122900</v>
      </c>
      <c r="F159" s="137">
        <f>'DOE25'!J498</f>
        <v>0</v>
      </c>
      <c r="G159" s="138">
        <f t="shared" si="0"/>
        <v>13767200</v>
      </c>
    </row>
    <row r="160" spans="1:9" x14ac:dyDescent="0.2">
      <c r="A160" s="22" t="s">
        <v>36</v>
      </c>
      <c r="B160" s="137">
        <f>'DOE25'!F499</f>
        <v>1023803.26</v>
      </c>
      <c r="C160" s="137">
        <f>'DOE25'!G499</f>
        <v>491696.75</v>
      </c>
      <c r="D160" s="137">
        <f>'DOE25'!H499</f>
        <v>659385</v>
      </c>
      <c r="E160" s="137">
        <f>'DOE25'!I499</f>
        <v>440556.01</v>
      </c>
      <c r="F160" s="137">
        <f>'DOE25'!J499</f>
        <v>0</v>
      </c>
      <c r="G160" s="138">
        <f t="shared" si="0"/>
        <v>2615441.0199999996</v>
      </c>
    </row>
    <row r="161" spans="1:7" x14ac:dyDescent="0.2">
      <c r="A161" s="22" t="s">
        <v>37</v>
      </c>
      <c r="B161" s="137">
        <f>'DOE25'!F500</f>
        <v>10233803.26</v>
      </c>
      <c r="C161" s="137">
        <f>'DOE25'!G500</f>
        <v>2145996.75</v>
      </c>
      <c r="D161" s="137">
        <f>'DOE25'!H500</f>
        <v>2439385</v>
      </c>
      <c r="E161" s="137">
        <f>'DOE25'!I500</f>
        <v>1563456.01</v>
      </c>
      <c r="F161" s="137">
        <f>'DOE25'!J500</f>
        <v>0</v>
      </c>
      <c r="G161" s="138">
        <f t="shared" si="0"/>
        <v>16382641.02</v>
      </c>
    </row>
    <row r="162" spans="1:7" x14ac:dyDescent="0.2">
      <c r="A162" s="22" t="s">
        <v>38</v>
      </c>
      <c r="B162" s="137">
        <f>'DOE25'!F501</f>
        <v>1845000</v>
      </c>
      <c r="C162" s="137">
        <f>'DOE25'!G501</f>
        <v>95000</v>
      </c>
      <c r="D162" s="137">
        <f>'DOE25'!H501</f>
        <v>95000</v>
      </c>
      <c r="E162" s="137">
        <f>'DOE25'!I501</f>
        <v>57900</v>
      </c>
      <c r="F162" s="137">
        <f>'DOE25'!J501</f>
        <v>0</v>
      </c>
      <c r="G162" s="138">
        <f t="shared" si="0"/>
        <v>2092900</v>
      </c>
    </row>
    <row r="163" spans="1:7" x14ac:dyDescent="0.2">
      <c r="A163" s="22" t="s">
        <v>39</v>
      </c>
      <c r="B163" s="137">
        <f>'DOE25'!F502</f>
        <v>366623.5</v>
      </c>
      <c r="C163" s="137">
        <f>'DOE25'!G502</f>
        <v>60009</v>
      </c>
      <c r="D163" s="137">
        <f>'DOE25'!H502</f>
        <v>75557.5</v>
      </c>
      <c r="E163" s="137">
        <f>'DOE25'!I502</f>
        <v>47610.21</v>
      </c>
      <c r="F163" s="137">
        <f>'DOE25'!J502</f>
        <v>0</v>
      </c>
      <c r="G163" s="138">
        <f t="shared" si="0"/>
        <v>549800.21</v>
      </c>
    </row>
    <row r="164" spans="1:7" x14ac:dyDescent="0.2">
      <c r="A164" s="22" t="s">
        <v>246</v>
      </c>
      <c r="B164" s="137">
        <f>'DOE25'!F503</f>
        <v>2211623.5</v>
      </c>
      <c r="C164" s="137">
        <f>'DOE25'!G503</f>
        <v>155009</v>
      </c>
      <c r="D164" s="137">
        <f>'DOE25'!H503</f>
        <v>170557.5</v>
      </c>
      <c r="E164" s="137">
        <f>'DOE25'!I503</f>
        <v>105510.20999999999</v>
      </c>
      <c r="F164" s="137">
        <f>'DOE25'!J503</f>
        <v>0</v>
      </c>
      <c r="G164" s="138">
        <f t="shared" si="0"/>
        <v>2642700.21</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 xml:space="preserve">                CONWAY SCHOOL DISTRICT</v>
      </c>
    </row>
    <row r="3" spans="1:4" x14ac:dyDescent="0.2">
      <c r="B3" s="188" t="s">
        <v>1602</v>
      </c>
    </row>
    <row r="4" spans="1:4" x14ac:dyDescent="0.2">
      <c r="B4" t="s">
        <v>61</v>
      </c>
      <c r="C4" s="179">
        <f>IF('DOE25'!F665+'DOE25'!F670=0,0,ROUND('DOE25'!F672,0))</f>
        <v>19214</v>
      </c>
    </row>
    <row r="5" spans="1:4" x14ac:dyDescent="0.2">
      <c r="B5" t="s">
        <v>700</v>
      </c>
      <c r="C5" s="179">
        <f>IF('DOE25'!G665+'DOE25'!G670=0,0,ROUND('DOE25'!G672,0))</f>
        <v>17617</v>
      </c>
    </row>
    <row r="6" spans="1:4" x14ac:dyDescent="0.2">
      <c r="B6" t="s">
        <v>62</v>
      </c>
      <c r="C6" s="179">
        <f>IF('DOE25'!H665+'DOE25'!H670=0,0,ROUND('DOE25'!H672,0))</f>
        <v>17208</v>
      </c>
    </row>
    <row r="7" spans="1:4" x14ac:dyDescent="0.2">
      <c r="B7" t="s">
        <v>701</v>
      </c>
      <c r="C7" s="179">
        <f>IF('DOE25'!I665+'DOE25'!I670=0,0,ROUND('DOE25'!I672,0))</f>
        <v>18071</v>
      </c>
    </row>
    <row r="9" spans="1:4" x14ac:dyDescent="0.2">
      <c r="A9" s="187" t="s">
        <v>94</v>
      </c>
      <c r="B9" s="188" t="s">
        <v>1603</v>
      </c>
      <c r="C9" s="181" t="s">
        <v>720</v>
      </c>
      <c r="D9" s="181" t="s">
        <v>721</v>
      </c>
    </row>
    <row r="10" spans="1:4" x14ac:dyDescent="0.2">
      <c r="A10">
        <v>1100</v>
      </c>
      <c r="B10" t="s">
        <v>702</v>
      </c>
      <c r="C10" s="179">
        <f>ROUND('DOE25'!L197+'DOE25'!L215+'DOE25'!L233+'DOE25'!L276+'DOE25'!L295+'DOE25'!L314,0)</f>
        <v>13918940</v>
      </c>
      <c r="D10" s="182">
        <f>ROUND((C10/$C$28)*100,1)</f>
        <v>41.4</v>
      </c>
    </row>
    <row r="11" spans="1:4" x14ac:dyDescent="0.2">
      <c r="A11">
        <v>1200</v>
      </c>
      <c r="B11" t="s">
        <v>703</v>
      </c>
      <c r="C11" s="179">
        <f>ROUND('DOE25'!L198+'DOE25'!L216+'DOE25'!L234+'DOE25'!L277+'DOE25'!L296+'DOE25'!L315,0)</f>
        <v>4925519</v>
      </c>
      <c r="D11" s="182">
        <f>ROUND((C11/$C$28)*100,1)</f>
        <v>14.7</v>
      </c>
    </row>
    <row r="12" spans="1:4" x14ac:dyDescent="0.2">
      <c r="A12">
        <v>1300</v>
      </c>
      <c r="B12" t="s">
        <v>704</v>
      </c>
      <c r="C12" s="179">
        <f>ROUND('DOE25'!L199+'DOE25'!L217+'DOE25'!L235+'DOE25'!L278+'DOE25'!L297+'DOE25'!L316,0)</f>
        <v>1010575</v>
      </c>
      <c r="D12" s="182">
        <f>ROUND((C12/$C$28)*100,1)</f>
        <v>3</v>
      </c>
    </row>
    <row r="13" spans="1:4" x14ac:dyDescent="0.2">
      <c r="A13">
        <v>1400</v>
      </c>
      <c r="B13" t="s">
        <v>705</v>
      </c>
      <c r="C13" s="179">
        <f>ROUND('DOE25'!L200+'DOE25'!L218+'DOE25'!L236+'DOE25'!L279+'DOE25'!L298+'DOE25'!L317,0)</f>
        <v>766909</v>
      </c>
      <c r="D13" s="182">
        <f>ROUND((C13/$C$28)*100,1)</f>
        <v>2.2999999999999998</v>
      </c>
    </row>
    <row r="14" spans="1:4" x14ac:dyDescent="0.2">
      <c r="D14" s="182"/>
    </row>
    <row r="15" spans="1:4" x14ac:dyDescent="0.2">
      <c r="A15">
        <v>2100</v>
      </c>
      <c r="B15" t="s">
        <v>706</v>
      </c>
      <c r="C15" s="179">
        <f>ROUND('DOE25'!L202+'DOE25'!L220+'DOE25'!L238+'DOE25'!L281+'DOE25'!L300+'DOE25'!L319,0)</f>
        <v>2751604</v>
      </c>
      <c r="D15" s="182">
        <f t="shared" ref="D15:D27" si="0">ROUND((C15/$C$28)*100,1)</f>
        <v>8.1999999999999993</v>
      </c>
    </row>
    <row r="16" spans="1:4" x14ac:dyDescent="0.2">
      <c r="A16">
        <v>2200</v>
      </c>
      <c r="B16" t="s">
        <v>707</v>
      </c>
      <c r="C16" s="179">
        <f>ROUND('DOE25'!L203+'DOE25'!L221+'DOE25'!L239+'DOE25'!L282+'DOE25'!L301+'DOE25'!L320,0)</f>
        <v>1003021</v>
      </c>
      <c r="D16" s="182">
        <f t="shared" si="0"/>
        <v>3</v>
      </c>
    </row>
    <row r="17" spans="1:4" x14ac:dyDescent="0.2">
      <c r="A17" s="183" t="s">
        <v>723</v>
      </c>
      <c r="B17" t="s">
        <v>738</v>
      </c>
      <c r="C17" s="179">
        <f>ROUND('DOE25'!L204+'DOE25'!L209+'DOE25'!L222+'DOE25'!L227+'DOE25'!L240+'DOE25'!L245+'DOE25'!L283+'DOE25'!L288+'DOE25'!L302+'DOE25'!L307+'DOE25'!L321+'DOE25'!L326,0)</f>
        <v>1274203</v>
      </c>
      <c r="D17" s="182">
        <f t="shared" si="0"/>
        <v>3.8</v>
      </c>
    </row>
    <row r="18" spans="1:4" x14ac:dyDescent="0.2">
      <c r="A18">
        <v>2400</v>
      </c>
      <c r="B18" t="s">
        <v>711</v>
      </c>
      <c r="C18" s="179">
        <f>ROUND('DOE25'!L205+'DOE25'!L223+'DOE25'!L241+'DOE25'!L284+'DOE25'!L303+'DOE25'!L322,0)</f>
        <v>1796887</v>
      </c>
      <c r="D18" s="182">
        <f t="shared" si="0"/>
        <v>5.4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4007249</v>
      </c>
      <c r="D20" s="182">
        <f t="shared" si="0"/>
        <v>11.9</v>
      </c>
    </row>
    <row r="21" spans="1:4" x14ac:dyDescent="0.2">
      <c r="A21">
        <v>2700</v>
      </c>
      <c r="B21" t="s">
        <v>710</v>
      </c>
      <c r="C21" s="179">
        <f>ROUND('DOE25'!L208+'DOE25'!L226+'DOE25'!L244+'DOE25'!L287+'DOE25'!L306+'DOE25'!L325,0)</f>
        <v>931918</v>
      </c>
      <c r="D21" s="182">
        <f t="shared" si="0"/>
        <v>2.8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38415</v>
      </c>
      <c r="D24" s="182">
        <f t="shared" si="0"/>
        <v>0.1</v>
      </c>
    </row>
    <row r="25" spans="1:4" x14ac:dyDescent="0.2">
      <c r="A25">
        <v>5120</v>
      </c>
      <c r="B25" t="s">
        <v>716</v>
      </c>
      <c r="C25" s="179">
        <f>ROUND('DOE25'!L261+'DOE25'!L342,0)</f>
        <v>659925</v>
      </c>
      <c r="D25" s="182">
        <f t="shared" si="0"/>
        <v>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498847.9</v>
      </c>
      <c r="D27" s="182">
        <f t="shared" si="0"/>
        <v>1.5</v>
      </c>
    </row>
    <row r="28" spans="1:4" x14ac:dyDescent="0.2">
      <c r="B28" s="187" t="s">
        <v>719</v>
      </c>
      <c r="C28" s="180">
        <f>SUM(C10:C27)</f>
        <v>33584012.899999999</v>
      </c>
      <c r="D28" s="184">
        <f>ROUND(SUM(D10:D27),0)</f>
        <v>100</v>
      </c>
    </row>
    <row r="29" spans="1:4" x14ac:dyDescent="0.2">
      <c r="A29">
        <v>4000</v>
      </c>
      <c r="B29" t="s">
        <v>724</v>
      </c>
      <c r="C29" s="179">
        <f>ROUND('DOE25'!L255+'DOE25'!L336+'DOE25'!L374+'DOE25'!L375+'DOE25'!L376+'DOE25'!L377+'DOE25'!L378+'DOE25'!L379+'DOE25'!L380,0)</f>
        <v>1314125</v>
      </c>
    </row>
    <row r="30" spans="1:4" x14ac:dyDescent="0.2">
      <c r="B30" s="187" t="s">
        <v>725</v>
      </c>
      <c r="C30" s="180">
        <f>SUM(C28:C29)</f>
        <v>34898137.899999999</v>
      </c>
    </row>
    <row r="31" spans="1:4" x14ac:dyDescent="0.2">
      <c r="B31" s="33"/>
      <c r="C31" s="180"/>
    </row>
    <row r="32" spans="1:4" x14ac:dyDescent="0.2">
      <c r="A32">
        <v>5100</v>
      </c>
      <c r="B32" s="33" t="s">
        <v>726</v>
      </c>
      <c r="C32" s="180">
        <f>ROUND('DOE25'!L260+'DOE25'!L341,0)</f>
        <v>2036000</v>
      </c>
    </row>
    <row r="34" spans="1:4" x14ac:dyDescent="0.2">
      <c r="A34" s="187" t="s">
        <v>94</v>
      </c>
      <c r="B34" s="188" t="s">
        <v>1604</v>
      </c>
      <c r="C34" s="181" t="s">
        <v>720</v>
      </c>
      <c r="D34" s="181" t="s">
        <v>721</v>
      </c>
    </row>
    <row r="35" spans="1:4" x14ac:dyDescent="0.2">
      <c r="A35">
        <v>1100</v>
      </c>
      <c r="B35" s="185" t="s">
        <v>727</v>
      </c>
      <c r="C35" s="179">
        <f>ROUND('DOE25'!F60+'DOE25'!G60+'DOE25'!H60+'DOE25'!I60+'DOE25'!J60,0)</f>
        <v>14996401</v>
      </c>
      <c r="D35" s="182">
        <f t="shared" ref="D35:D40" si="1">ROUND((C35/$C$41)*100,1)</f>
        <v>41.9</v>
      </c>
    </row>
    <row r="36" spans="1:4" x14ac:dyDescent="0.2">
      <c r="B36" s="185" t="s">
        <v>739</v>
      </c>
      <c r="C36" s="179">
        <f>SUM('DOE25'!F112:J112)-SUM('DOE25'!G97:G110)+('DOE25'!F174+'DOE25'!F175+'DOE25'!I174+'DOE25'!I175)-C35</f>
        <v>11040222.439999998</v>
      </c>
      <c r="D36" s="182">
        <f t="shared" si="1"/>
        <v>30.8</v>
      </c>
    </row>
    <row r="37" spans="1:4" x14ac:dyDescent="0.2">
      <c r="A37" s="183" t="s">
        <v>835</v>
      </c>
      <c r="B37" s="185" t="s">
        <v>728</v>
      </c>
      <c r="C37" s="179">
        <f>ROUND('DOE25'!F117+'DOE25'!F118,0)</f>
        <v>6299076</v>
      </c>
      <c r="D37" s="182">
        <f t="shared" si="1"/>
        <v>17.600000000000001</v>
      </c>
    </row>
    <row r="38" spans="1:4" x14ac:dyDescent="0.2">
      <c r="A38" s="183" t="s">
        <v>734</v>
      </c>
      <c r="B38" s="185" t="s">
        <v>729</v>
      </c>
      <c r="C38" s="179">
        <f>ROUND(SUM('DOE25'!F140:J140)-SUM('DOE25'!F117:F119),0)</f>
        <v>1390874</v>
      </c>
      <c r="D38" s="182">
        <f t="shared" si="1"/>
        <v>3.9</v>
      </c>
    </row>
    <row r="39" spans="1:4" x14ac:dyDescent="0.2">
      <c r="A39">
        <v>4000</v>
      </c>
      <c r="B39" s="185" t="s">
        <v>730</v>
      </c>
      <c r="C39" s="179">
        <f>ROUND('DOE25'!F169+'DOE25'!G169+'DOE25'!H169+'DOE25'!I169,0)</f>
        <v>2095983</v>
      </c>
      <c r="D39" s="182">
        <f t="shared" si="1"/>
        <v>5.9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35822556.439999998</v>
      </c>
      <c r="D41" s="184">
        <f>SUM(D35:D40)</f>
        <v>100.10000000000002</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5" sqref="C15:M15"/>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 xml:space="preserve">                CONWAY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t="s">
        <v>1619</v>
      </c>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t="s">
        <v>1620</v>
      </c>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t="s">
        <v>1621</v>
      </c>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t="s">
        <v>1622</v>
      </c>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t="s">
        <v>1623</v>
      </c>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t="s">
        <v>1624</v>
      </c>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t="s">
        <v>1625</v>
      </c>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t="s">
        <v>1626</v>
      </c>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t="s">
        <v>1627</v>
      </c>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2019-09-26T13:17:51Z</cp:lastPrinted>
  <dcterms:created xsi:type="dcterms:W3CDTF">1997-12-04T19:04:30Z</dcterms:created>
  <dcterms:modified xsi:type="dcterms:W3CDTF">2020-01-22T14:32:22Z</dcterms:modified>
</cp:coreProperties>
</file>