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08" i="1" l="1"/>
  <c r="J96" i="1" l="1"/>
  <c r="K426" i="1"/>
  <c r="K423" i="1"/>
  <c r="H400" i="1"/>
  <c r="H397" i="1"/>
  <c r="G459" i="1"/>
  <c r="G439" i="1"/>
  <c r="F579" i="1" l="1"/>
  <c r="F578" i="1"/>
  <c r="F575" i="1"/>
  <c r="H197" i="1"/>
  <c r="H215" i="1"/>
  <c r="H233" i="1"/>
  <c r="I207" i="1"/>
  <c r="H207" i="1"/>
  <c r="G207" i="1"/>
  <c r="G205" i="1"/>
  <c r="K204" i="1"/>
  <c r="I204" i="1"/>
  <c r="H204" i="1"/>
  <c r="F204" i="1"/>
  <c r="H202" i="1"/>
  <c r="H526" i="1" s="1"/>
  <c r="H198" i="1"/>
  <c r="H521" i="1" s="1"/>
  <c r="G198" i="1"/>
  <c r="G521" i="1" s="1"/>
  <c r="F198" i="1"/>
  <c r="F521" i="1" s="1"/>
  <c r="J197" i="1"/>
  <c r="H604" i="1" s="1"/>
  <c r="I197" i="1"/>
  <c r="G197" i="1"/>
  <c r="F197" i="1"/>
  <c r="H155" i="1"/>
  <c r="H276" i="1"/>
  <c r="F276" i="1"/>
  <c r="F368" i="1"/>
  <c r="H358" i="1"/>
  <c r="G358" i="1"/>
  <c r="F358" i="1"/>
  <c r="F186"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B2" i="14" l="1"/>
  <c r="A2" i="14"/>
  <c r="F33" i="13" l="1"/>
  <c r="C45" i="2" l="1"/>
  <c r="G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C11" i="10" s="1"/>
  <c r="L199" i="1"/>
  <c r="C12" i="10" s="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D15" i="13" s="1"/>
  <c r="C15" i="13" s="1"/>
  <c r="L226" i="1"/>
  <c r="L244" i="1"/>
  <c r="H662" i="1" s="1"/>
  <c r="G17" i="13"/>
  <c r="H17" i="13"/>
  <c r="L251" i="1"/>
  <c r="C114" i="2" s="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E123" i="2" s="1"/>
  <c r="L306" i="1"/>
  <c r="L307" i="1"/>
  <c r="L314" i="1"/>
  <c r="L315" i="1"/>
  <c r="L316" i="1"/>
  <c r="L317" i="1"/>
  <c r="L319" i="1"/>
  <c r="L320" i="1"/>
  <c r="L321" i="1"/>
  <c r="L322" i="1"/>
  <c r="L323" i="1"/>
  <c r="L324" i="1"/>
  <c r="L325" i="1"/>
  <c r="L326" i="1"/>
  <c r="L333" i="1"/>
  <c r="L334" i="1"/>
  <c r="L335" i="1"/>
  <c r="L260" i="1"/>
  <c r="C131" i="2" s="1"/>
  <c r="L261" i="1"/>
  <c r="C132" i="2" s="1"/>
  <c r="L341" i="1"/>
  <c r="E131" i="2" s="1"/>
  <c r="L342" i="1"/>
  <c r="L255" i="1"/>
  <c r="L336" i="1"/>
  <c r="E130" i="2" s="1"/>
  <c r="C11" i="13"/>
  <c r="C10" i="13"/>
  <c r="C9" i="13"/>
  <c r="L361" i="1"/>
  <c r="L362" i="1" s="1"/>
  <c r="G472" i="1" s="1"/>
  <c r="B4" i="12"/>
  <c r="B36" i="12"/>
  <c r="C36" i="12"/>
  <c r="B40" i="12"/>
  <c r="C40" i="12"/>
  <c r="B27" i="12"/>
  <c r="C27" i="12"/>
  <c r="B31" i="12"/>
  <c r="A31" i="12" s="1"/>
  <c r="C31" i="12"/>
  <c r="B9" i="12"/>
  <c r="B13" i="12"/>
  <c r="C9" i="12"/>
  <c r="B18" i="12"/>
  <c r="B19" i="12" s="1"/>
  <c r="B22" i="12" s="1"/>
  <c r="C18" i="12"/>
  <c r="C19" i="12" s="1"/>
  <c r="C22" i="12" s="1"/>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I121" i="1"/>
  <c r="I136" i="1"/>
  <c r="J121" i="1"/>
  <c r="J136" i="1"/>
  <c r="F147" i="1"/>
  <c r="F162" i="1"/>
  <c r="G147" i="1"/>
  <c r="D85" i="2" s="1"/>
  <c r="D91" i="2" s="1"/>
  <c r="G162" i="1"/>
  <c r="H147" i="1"/>
  <c r="H162" i="1"/>
  <c r="H169" i="1" s="1"/>
  <c r="I147" i="1"/>
  <c r="I162" i="1"/>
  <c r="C13" i="10"/>
  <c r="L250" i="1"/>
  <c r="C113" i="2" s="1"/>
  <c r="L332" i="1"/>
  <c r="E113" i="2" s="1"/>
  <c r="L254" i="1"/>
  <c r="L268" i="1"/>
  <c r="C26" i="10" s="1"/>
  <c r="L269" i="1"/>
  <c r="L349" i="1"/>
  <c r="L350" i="1"/>
  <c r="I665" i="1"/>
  <c r="I670" i="1"/>
  <c r="F661" i="1"/>
  <c r="G662" i="1"/>
  <c r="I669" i="1"/>
  <c r="C42" i="10"/>
  <c r="L374" i="1"/>
  <c r="L375" i="1"/>
  <c r="L376" i="1"/>
  <c r="L377" i="1"/>
  <c r="F130" i="2" s="1"/>
  <c r="L378" i="1"/>
  <c r="L379" i="1"/>
  <c r="L380" i="1"/>
  <c r="B2" i="10"/>
  <c r="L344" i="1"/>
  <c r="E134" i="2" s="1"/>
  <c r="L345" i="1"/>
  <c r="L346" i="1"/>
  <c r="E137" i="2" s="1"/>
  <c r="L347" i="1"/>
  <c r="L351" i="1" s="1"/>
  <c r="K351" i="1"/>
  <c r="L521" i="1"/>
  <c r="F549" i="1" s="1"/>
  <c r="L522" i="1"/>
  <c r="F550" i="1" s="1"/>
  <c r="L523" i="1"/>
  <c r="F551" i="1" s="1"/>
  <c r="L526" i="1"/>
  <c r="G549" i="1" s="1"/>
  <c r="G552" i="1" s="1"/>
  <c r="L527" i="1"/>
  <c r="G550" i="1" s="1"/>
  <c r="L528" i="1"/>
  <c r="G551" i="1" s="1"/>
  <c r="L531" i="1"/>
  <c r="H549" i="1" s="1"/>
  <c r="K549" i="1" s="1"/>
  <c r="L532" i="1"/>
  <c r="H550" i="1" s="1"/>
  <c r="L533" i="1"/>
  <c r="H551" i="1" s="1"/>
  <c r="L536" i="1"/>
  <c r="I549" i="1" s="1"/>
  <c r="L537" i="1"/>
  <c r="I550" i="1" s="1"/>
  <c r="L538" i="1"/>
  <c r="I551" i="1" s="1"/>
  <c r="L541" i="1"/>
  <c r="J549" i="1" s="1"/>
  <c r="L542" i="1"/>
  <c r="J550" i="1" s="1"/>
  <c r="L543" i="1"/>
  <c r="J551" i="1" s="1"/>
  <c r="J552" i="1" s="1"/>
  <c r="E132" i="2"/>
  <c r="K270" i="1"/>
  <c r="J270" i="1"/>
  <c r="I270" i="1"/>
  <c r="H270" i="1"/>
  <c r="G270" i="1"/>
  <c r="F270" i="1"/>
  <c r="L270" i="1" s="1"/>
  <c r="A1" i="2"/>
  <c r="A2" i="2"/>
  <c r="C8" i="2"/>
  <c r="D8" i="2"/>
  <c r="D18" i="2" s="1"/>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E85" i="2"/>
  <c r="F85" i="2"/>
  <c r="C87" i="2"/>
  <c r="C91" i="2" s="1"/>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C125" i="2"/>
  <c r="E125" i="2"/>
  <c r="F128" i="2"/>
  <c r="G128" i="2"/>
  <c r="C130" i="2"/>
  <c r="D134" i="2"/>
  <c r="D144" i="2" s="1"/>
  <c r="F134" i="2"/>
  <c r="K419" i="1"/>
  <c r="K427" i="1"/>
  <c r="K433" i="1"/>
  <c r="L263" i="1"/>
  <c r="C135" i="2" s="1"/>
  <c r="E135" i="2"/>
  <c r="L264" i="1"/>
  <c r="C136" i="2" s="1"/>
  <c r="L265" i="1"/>
  <c r="C137" i="2" s="1"/>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19" i="1"/>
  <c r="G618" i="1" s="1"/>
  <c r="H19" i="1"/>
  <c r="G619" i="1" s="1"/>
  <c r="I19" i="1"/>
  <c r="G620" i="1" s="1"/>
  <c r="F32" i="1"/>
  <c r="G32" i="1"/>
  <c r="H32" i="1"/>
  <c r="I32" i="1"/>
  <c r="G52" i="1"/>
  <c r="H618" i="1" s="1"/>
  <c r="H51" i="1"/>
  <c r="G624" i="1" s="1"/>
  <c r="I51" i="1"/>
  <c r="I52" i="1" s="1"/>
  <c r="H620" i="1" s="1"/>
  <c r="F177" i="1"/>
  <c r="I177" i="1"/>
  <c r="F183" i="1"/>
  <c r="G183" i="1"/>
  <c r="H183" i="1"/>
  <c r="I183" i="1"/>
  <c r="J183" i="1"/>
  <c r="J192" i="1" s="1"/>
  <c r="F188" i="1"/>
  <c r="G188" i="1"/>
  <c r="H188" i="1"/>
  <c r="I188" i="1"/>
  <c r="F211" i="1"/>
  <c r="G211" i="1"/>
  <c r="H211" i="1"/>
  <c r="I211" i="1"/>
  <c r="J211" i="1"/>
  <c r="J257" i="1" s="1"/>
  <c r="K211" i="1"/>
  <c r="K257" i="1" s="1"/>
  <c r="K271" i="1" s="1"/>
  <c r="F229" i="1"/>
  <c r="G229" i="1"/>
  <c r="H229" i="1"/>
  <c r="I229" i="1"/>
  <c r="J229" i="1"/>
  <c r="K229" i="1"/>
  <c r="F247" i="1"/>
  <c r="G247" i="1"/>
  <c r="H247" i="1"/>
  <c r="I247" i="1"/>
  <c r="J247" i="1"/>
  <c r="K247" i="1"/>
  <c r="F256" i="1"/>
  <c r="G256" i="1"/>
  <c r="H256" i="1"/>
  <c r="I256" i="1"/>
  <c r="J256" i="1"/>
  <c r="K256" i="1"/>
  <c r="F290" i="1"/>
  <c r="G290" i="1"/>
  <c r="H290" i="1"/>
  <c r="I290" i="1"/>
  <c r="F309" i="1"/>
  <c r="F338" i="1" s="1"/>
  <c r="F352" i="1" s="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H634" i="1" s="1"/>
  <c r="L381" i="1"/>
  <c r="F382" i="1"/>
  <c r="G382" i="1"/>
  <c r="H382" i="1"/>
  <c r="I382" i="1"/>
  <c r="J382" i="1"/>
  <c r="K382" i="1"/>
  <c r="F393" i="1"/>
  <c r="F408" i="1" s="1"/>
  <c r="H643" i="1" s="1"/>
  <c r="J643" i="1" s="1"/>
  <c r="G393" i="1"/>
  <c r="H393" i="1"/>
  <c r="I393" i="1"/>
  <c r="F401" i="1"/>
  <c r="G401" i="1"/>
  <c r="H401" i="1"/>
  <c r="H408" i="1" s="1"/>
  <c r="H644" i="1" s="1"/>
  <c r="I401" i="1"/>
  <c r="I408" i="1" s="1"/>
  <c r="F407" i="1"/>
  <c r="G407" i="1"/>
  <c r="H407" i="1"/>
  <c r="I407" i="1"/>
  <c r="G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F460" i="1"/>
  <c r="G460" i="1"/>
  <c r="G461" i="1" s="1"/>
  <c r="H640" i="1" s="1"/>
  <c r="H460" i="1"/>
  <c r="H461" i="1" s="1"/>
  <c r="H641" i="1" s="1"/>
  <c r="F461" i="1"/>
  <c r="H639" i="1" s="1"/>
  <c r="I470" i="1"/>
  <c r="G474" i="1"/>
  <c r="I474" i="1"/>
  <c r="K495" i="1"/>
  <c r="K496" i="1"/>
  <c r="K497" i="1"/>
  <c r="K498" i="1"/>
  <c r="K499" i="1"/>
  <c r="K501" i="1"/>
  <c r="K502" i="1"/>
  <c r="F517" i="1"/>
  <c r="G517" i="1"/>
  <c r="H517" i="1"/>
  <c r="I517" i="1"/>
  <c r="F524" i="1"/>
  <c r="G524" i="1"/>
  <c r="G545" i="1" s="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60" i="1" s="1"/>
  <c r="L558" i="1"/>
  <c r="L559" i="1"/>
  <c r="F560" i="1"/>
  <c r="G560" i="1"/>
  <c r="H560" i="1"/>
  <c r="I560" i="1"/>
  <c r="J560" i="1"/>
  <c r="K560" i="1"/>
  <c r="L562" i="1"/>
  <c r="L563" i="1"/>
  <c r="L565" i="1" s="1"/>
  <c r="L564" i="1"/>
  <c r="F565" i="1"/>
  <c r="G565" i="1"/>
  <c r="H565" i="1"/>
  <c r="I565" i="1"/>
  <c r="J565" i="1"/>
  <c r="K565" i="1"/>
  <c r="L567" i="1"/>
  <c r="L570" i="1" s="1"/>
  <c r="L568" i="1"/>
  <c r="L569" i="1"/>
  <c r="F570" i="1"/>
  <c r="G570" i="1"/>
  <c r="H570" i="1"/>
  <c r="I570" i="1"/>
  <c r="J570" i="1"/>
  <c r="J571" i="1" s="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23" i="1"/>
  <c r="H630" i="1"/>
  <c r="H635" i="1"/>
  <c r="H636" i="1"/>
  <c r="G641" i="1"/>
  <c r="J641" i="1" s="1"/>
  <c r="G643" i="1"/>
  <c r="G644" i="1"/>
  <c r="H645" i="1"/>
  <c r="G650" i="1"/>
  <c r="G651" i="1"/>
  <c r="G652" i="1"/>
  <c r="H652" i="1"/>
  <c r="G653" i="1"/>
  <c r="H653" i="1"/>
  <c r="G654" i="1"/>
  <c r="H654" i="1"/>
  <c r="H655" i="1"/>
  <c r="L256" i="1"/>
  <c r="A40" i="12"/>
  <c r="D50" i="2"/>
  <c r="F18" i="2"/>
  <c r="G62" i="2"/>
  <c r="H112" i="1"/>
  <c r="D81" i="2"/>
  <c r="I169" i="1"/>
  <c r="G338" i="1"/>
  <c r="G352" i="1" s="1"/>
  <c r="J140" i="1"/>
  <c r="F571" i="1"/>
  <c r="G22" i="2"/>
  <c r="H140" i="1"/>
  <c r="L401" i="1"/>
  <c r="C139" i="2" s="1"/>
  <c r="H192" i="1"/>
  <c r="J655" i="1"/>
  <c r="J651" i="1" l="1"/>
  <c r="E124" i="2"/>
  <c r="E128" i="2" s="1"/>
  <c r="L328" i="1"/>
  <c r="E122" i="2"/>
  <c r="L290" i="1"/>
  <c r="E5" i="14" s="1"/>
  <c r="L247" i="1"/>
  <c r="F37" i="14" s="1"/>
  <c r="F36" i="14" s="1"/>
  <c r="L433" i="1"/>
  <c r="E31" i="2"/>
  <c r="C18" i="10"/>
  <c r="J545" i="1"/>
  <c r="G81" i="2"/>
  <c r="G645" i="1"/>
  <c r="J645" i="1" s="1"/>
  <c r="E62" i="2"/>
  <c r="E63" i="2" s="1"/>
  <c r="L614" i="1"/>
  <c r="H571" i="1"/>
  <c r="I571" i="1"/>
  <c r="K545" i="1"/>
  <c r="C110" i="2"/>
  <c r="I552" i="1"/>
  <c r="F552" i="1"/>
  <c r="C32" i="10"/>
  <c r="F169" i="1"/>
  <c r="F112" i="1"/>
  <c r="L393" i="1"/>
  <c r="C138" i="2" s="1"/>
  <c r="E114" i="2"/>
  <c r="L309" i="1"/>
  <c r="E118" i="2"/>
  <c r="C20" i="10"/>
  <c r="D6" i="13"/>
  <c r="C6" i="13" s="1"/>
  <c r="E13" i="13"/>
  <c r="C13" i="13" s="1"/>
  <c r="G617" i="1"/>
  <c r="F50" i="1"/>
  <c r="L529" i="1"/>
  <c r="F257" i="1"/>
  <c r="C18" i="2"/>
  <c r="G112" i="1"/>
  <c r="G157" i="2"/>
  <c r="C78" i="2"/>
  <c r="C81" i="2" s="1"/>
  <c r="G625" i="1"/>
  <c r="I476" i="1"/>
  <c r="H625" i="1" s="1"/>
  <c r="H552" i="1"/>
  <c r="G164" i="2"/>
  <c r="G161" i="2"/>
  <c r="G156" i="2"/>
  <c r="F78" i="2"/>
  <c r="F81" i="2" s="1"/>
  <c r="F104" i="2" s="1"/>
  <c r="D62" i="2"/>
  <c r="D63" i="2" s="1"/>
  <c r="H545" i="1"/>
  <c r="L427" i="1"/>
  <c r="J644" i="1"/>
  <c r="J640" i="1"/>
  <c r="K598" i="1"/>
  <c r="G647" i="1" s="1"/>
  <c r="H257" i="1"/>
  <c r="H271" i="1" s="1"/>
  <c r="H647" i="1"/>
  <c r="C121" i="2"/>
  <c r="C120" i="2"/>
  <c r="I257" i="1"/>
  <c r="I271" i="1" s="1"/>
  <c r="L211" i="1"/>
  <c r="H52" i="1"/>
  <c r="H619" i="1" s="1"/>
  <c r="J619" i="1" s="1"/>
  <c r="J634" i="1"/>
  <c r="G661" i="1"/>
  <c r="G192" i="1"/>
  <c r="F192" i="1"/>
  <c r="C70" i="2"/>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D29" i="13"/>
  <c r="C29" i="13" s="1"/>
  <c r="D12" i="13"/>
  <c r="C12" i="13" s="1"/>
  <c r="D5" i="13"/>
  <c r="C5" i="13" s="1"/>
  <c r="E8" i="13"/>
  <c r="C8" i="13" s="1"/>
  <c r="C35" i="10"/>
  <c r="C36" i="10" s="1"/>
  <c r="C29" i="10"/>
  <c r="E81" i="2"/>
  <c r="E104" i="2" s="1"/>
  <c r="G649" i="1"/>
  <c r="J649" i="1" s="1"/>
  <c r="L544" i="1"/>
  <c r="L524" i="1"/>
  <c r="J338" i="1"/>
  <c r="J352" i="1" s="1"/>
  <c r="D127" i="2"/>
  <c r="D128" i="2" s="1"/>
  <c r="D145" i="2" s="1"/>
  <c r="C124" i="2"/>
  <c r="C122" i="2"/>
  <c r="C118" i="2"/>
  <c r="C19" i="10"/>
  <c r="C16" i="10"/>
  <c r="D17" i="13"/>
  <c r="C17" i="13" s="1"/>
  <c r="D7" i="13"/>
  <c r="C7" i="13" s="1"/>
  <c r="E16" i="13"/>
  <c r="C16" i="13" s="1"/>
  <c r="H660" i="1"/>
  <c r="G36" i="14"/>
  <c r="C10" i="10"/>
  <c r="C109" i="2"/>
  <c r="C115" i="2" s="1"/>
  <c r="L229" i="1"/>
  <c r="L337" i="1"/>
  <c r="F62" i="2"/>
  <c r="F63" i="2" s="1"/>
  <c r="C23" i="10"/>
  <c r="G163" i="2"/>
  <c r="G162" i="2"/>
  <c r="G160" i="2"/>
  <c r="G159" i="2"/>
  <c r="G158" i="2"/>
  <c r="G103" i="2"/>
  <c r="F103" i="2"/>
  <c r="C103" i="2"/>
  <c r="F91" i="2"/>
  <c r="E50" i="2"/>
  <c r="E51" i="2" s="1"/>
  <c r="F31" i="2"/>
  <c r="C31" i="2"/>
  <c r="E18" i="2"/>
  <c r="E144" i="2"/>
  <c r="F50" i="2"/>
  <c r="F51" i="2" s="1"/>
  <c r="C24" i="10"/>
  <c r="H31" i="13"/>
  <c r="H33" i="13" s="1"/>
  <c r="I338" i="1"/>
  <c r="I352" i="1" s="1"/>
  <c r="J650" i="1"/>
  <c r="L407" i="1"/>
  <c r="C140" i="2" s="1"/>
  <c r="L571" i="1"/>
  <c r="I192" i="1"/>
  <c r="E91" i="2"/>
  <c r="L408" i="1"/>
  <c r="D51" i="2"/>
  <c r="J654" i="1"/>
  <c r="J653" i="1"/>
  <c r="F144" i="2"/>
  <c r="F145" i="2" s="1"/>
  <c r="G21" i="2"/>
  <c r="G31" i="2" s="1"/>
  <c r="J32" i="1"/>
  <c r="L434" i="1"/>
  <c r="J434" i="1"/>
  <c r="F434" i="1"/>
  <c r="K434" i="1"/>
  <c r="G134" i="2" s="1"/>
  <c r="G144" i="2" s="1"/>
  <c r="G145" i="2" s="1"/>
  <c r="G31" i="13"/>
  <c r="J193" i="1"/>
  <c r="G646" i="1" s="1"/>
  <c r="H193" i="1"/>
  <c r="G169" i="1"/>
  <c r="C39" i="10" s="1"/>
  <c r="G140" i="1"/>
  <c r="F140" i="1"/>
  <c r="F193" i="1" s="1"/>
  <c r="G63" i="2"/>
  <c r="G104" i="2" s="1"/>
  <c r="J618" i="1"/>
  <c r="G42" i="2"/>
  <c r="J51" i="1"/>
  <c r="G16" i="2"/>
  <c r="G18" i="2" s="1"/>
  <c r="J19" i="1"/>
  <c r="G621" i="1" s="1"/>
  <c r="F545" i="1"/>
  <c r="H434" i="1"/>
  <c r="J620" i="1"/>
  <c r="D103" i="2"/>
  <c r="I140" i="1"/>
  <c r="I193" i="1" s="1"/>
  <c r="G630" i="1" s="1"/>
  <c r="J630" i="1" s="1"/>
  <c r="A22" i="12"/>
  <c r="G50" i="2"/>
  <c r="G51" i="2" s="1"/>
  <c r="H648" i="1"/>
  <c r="J648" i="1" s="1"/>
  <c r="J652" i="1"/>
  <c r="G571" i="1"/>
  <c r="I434" i="1"/>
  <c r="G434" i="1"/>
  <c r="I663" i="1"/>
  <c r="C27" i="10"/>
  <c r="G635" i="1"/>
  <c r="J635" i="1" s="1"/>
  <c r="H36" i="14" l="1"/>
  <c r="I36" i="14" s="1"/>
  <c r="J647" i="1"/>
  <c r="L338" i="1"/>
  <c r="E145" i="2"/>
  <c r="G627" i="1"/>
  <c r="F468" i="1"/>
  <c r="C13" i="12"/>
  <c r="A13" i="12" s="1"/>
  <c r="G4" i="14"/>
  <c r="D5" i="14"/>
  <c r="F5" i="14" s="1"/>
  <c r="F4" i="14" s="1"/>
  <c r="L352" i="1"/>
  <c r="G633" i="1" s="1"/>
  <c r="H472" i="1"/>
  <c r="D104" i="2"/>
  <c r="G629" i="1"/>
  <c r="H468" i="1"/>
  <c r="C141" i="2"/>
  <c r="C144" i="2" s="1"/>
  <c r="C145" i="2" s="1"/>
  <c r="G33" i="13"/>
  <c r="L545" i="1"/>
  <c r="G637" i="1"/>
  <c r="J468" i="1"/>
  <c r="G638" i="1"/>
  <c r="J472" i="1"/>
  <c r="G24" i="14"/>
  <c r="F25" i="14"/>
  <c r="F24" i="14" s="1"/>
  <c r="H24" i="14" s="1"/>
  <c r="I24" i="14" s="1"/>
  <c r="J625" i="1"/>
  <c r="F51" i="1"/>
  <c r="C49" i="2"/>
  <c r="C50" i="2" s="1"/>
  <c r="C51" i="2" s="1"/>
  <c r="H646" i="1"/>
  <c r="J646" i="1" s="1"/>
  <c r="C128" i="2"/>
  <c r="E33" i="13"/>
  <c r="D35" i="13" s="1"/>
  <c r="L257" i="1"/>
  <c r="L271" i="1" s="1"/>
  <c r="F660" i="1"/>
  <c r="F664" i="1" s="1"/>
  <c r="F672" i="1" s="1"/>
  <c r="C4" i="10" s="1"/>
  <c r="H664" i="1"/>
  <c r="C63" i="2"/>
  <c r="C104" i="2" s="1"/>
  <c r="D31" i="13"/>
  <c r="C31" i="13" s="1"/>
  <c r="I461" i="1"/>
  <c r="H642" i="1" s="1"/>
  <c r="J642" i="1" s="1"/>
  <c r="G660" i="1"/>
  <c r="G664" i="1" s="1"/>
  <c r="G672" i="1" s="1"/>
  <c r="C5" i="10" s="1"/>
  <c r="C25" i="13"/>
  <c r="I33" i="13"/>
  <c r="K552" i="1"/>
  <c r="C28" i="10"/>
  <c r="D23" i="10" s="1"/>
  <c r="G631" i="1"/>
  <c r="G193" i="1"/>
  <c r="G626" i="1"/>
  <c r="J52" i="1"/>
  <c r="H621" i="1" s="1"/>
  <c r="J621" i="1" s="1"/>
  <c r="C38" i="10"/>
  <c r="G622" i="1" l="1"/>
  <c r="F52" i="1"/>
  <c r="H617" i="1" s="1"/>
  <c r="J617" i="1" s="1"/>
  <c r="H4" i="14"/>
  <c r="I4" i="14" s="1"/>
  <c r="H637" i="1"/>
  <c r="J637" i="1" s="1"/>
  <c r="J470" i="1"/>
  <c r="J476" i="1" s="1"/>
  <c r="H626" i="1" s="1"/>
  <c r="J626" i="1" s="1"/>
  <c r="H631" i="1"/>
  <c r="H474" i="1"/>
  <c r="H633" i="1"/>
  <c r="J633" i="1" s="1"/>
  <c r="H629" i="1"/>
  <c r="J629" i="1" s="1"/>
  <c r="H470" i="1"/>
  <c r="F470" i="1"/>
  <c r="H627" i="1"/>
  <c r="J627" i="1" s="1"/>
  <c r="J474" i="1"/>
  <c r="H638" i="1"/>
  <c r="G628" i="1"/>
  <c r="G468" i="1"/>
  <c r="G632" i="1"/>
  <c r="F472" i="1"/>
  <c r="J631" i="1"/>
  <c r="J638" i="1"/>
  <c r="I660" i="1"/>
  <c r="I664" i="1" s="1"/>
  <c r="I672" i="1" s="1"/>
  <c r="C7" i="10" s="1"/>
  <c r="F667" i="1"/>
  <c r="G667" i="1"/>
  <c r="D25" i="10"/>
  <c r="H667" i="1"/>
  <c r="H672" i="1"/>
  <c r="C6" i="10" s="1"/>
  <c r="D22" i="10"/>
  <c r="D18" i="10"/>
  <c r="D27" i="10"/>
  <c r="D15" i="10"/>
  <c r="D21" i="10"/>
  <c r="D24" i="10"/>
  <c r="D20" i="10"/>
  <c r="D11" i="10"/>
  <c r="D12" i="10"/>
  <c r="D13" i="10"/>
  <c r="D17" i="10"/>
  <c r="D19" i="10"/>
  <c r="D10" i="10"/>
  <c r="D26" i="10"/>
  <c r="C30" i="10"/>
  <c r="D16" i="10"/>
  <c r="D33" i="13"/>
  <c r="D36" i="13" s="1"/>
  <c r="C41" i="10"/>
  <c r="D38" i="10" s="1"/>
  <c r="H476" i="1" l="1"/>
  <c r="H624" i="1" s="1"/>
  <c r="J624" i="1" s="1"/>
  <c r="H632" i="1"/>
  <c r="F474" i="1"/>
  <c r="F476" i="1" s="1"/>
  <c r="H622" i="1" s="1"/>
  <c r="J622" i="1" s="1"/>
  <c r="J632" i="1"/>
  <c r="G470" i="1"/>
  <c r="G476" i="1" s="1"/>
  <c r="H623" i="1" s="1"/>
  <c r="J623" i="1" s="1"/>
  <c r="H628" i="1"/>
  <c r="J628" i="1" s="1"/>
  <c r="I667" i="1"/>
  <c r="D28" i="10"/>
  <c r="D37" i="10"/>
  <c r="D36" i="10"/>
  <c r="D35" i="10"/>
  <c r="D40" i="10"/>
  <c r="D39" i="10"/>
  <c r="H656"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<sst xmlns="http://schemas.openxmlformats.org/spreadsheetml/2006/main" count="5511" uniqueCount="1611">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</sst>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0.000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168" fontId="5" fillId="0" borderId="0" xfId="0"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6" sqref="F666"/>
    </sheetView>
  </sheetViews>
  <sheetFormatPr defaultColWidth="8.83203125" defaultRowHeight="12.2" customHeight="1" x14ac:dyDescent="0.2"/>
  <cols>
    <col min="1" max="1" width="45.1640625" customWidth="1"/>
    <col min="2" max="2" width="5.16406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1012</v>
      </c>
      <c r="B2" s="21">
        <v>117</v>
      </c>
      <c r="C2" s="21">
        <v>117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15237.27</v>
      </c>
      <c r="G9" s="18"/>
      <c r="H9" s="18">
        <v>11599</v>
      </c>
      <c r="I9" s="18"/>
      <c r="J9" s="67">
        <f>SUM(I439)</f>
        <v>172341.72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210.55</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15447.82</v>
      </c>
      <c r="G19" s="41">
        <f>SUM(G9:G18)</f>
        <v>0</v>
      </c>
      <c r="H19" s="41">
        <f>SUM(H9:H18)</f>
        <v>11599</v>
      </c>
      <c r="I19" s="41">
        <f>SUM(I9:I18)</f>
        <v>0</v>
      </c>
      <c r="J19" s="41">
        <f>SUM(J9:J18)</f>
        <v>172341.72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11599</v>
      </c>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22894.35</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1907.37</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5030.57</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11599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41431.29</v>
      </c>
      <c r="G32" s="41">
        <f>SUM(G22:G31)</f>
        <v>0</v>
      </c>
      <c r="H32" s="41">
        <f>SUM(H22:H31)</f>
        <v>11599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210.55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172341.72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F19-F32-F36</f>
        <v>-26194.02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-25983.47</v>
      </c>
      <c r="G51" s="41">
        <f>SUM(G35:G50)</f>
        <v>0</v>
      </c>
      <c r="H51" s="41">
        <f>SUM(H35:H50)</f>
        <v>0</v>
      </c>
      <c r="I51" s="41">
        <f>SUM(I35:I50)</f>
        <v>0</v>
      </c>
      <c r="J51" s="41">
        <f>SUM(J35:J50)</f>
        <v>172341.72</v>
      </c>
      <c r="K51" s="45" t="s">
        <v>288</v>
      </c>
      <c r="L51" s="45" t="s">
        <v>288</v>
      </c>
      <c r="N51" s="264"/>
    </row>
    <row r="52" spans="1:14" s="3" customFormat="1" ht="12.2" customHeight="1" thickTop="1" x14ac:dyDescent="0.15">
      <c r="A52" s="38" t="s">
        <v>455</v>
      </c>
      <c r="B52" s="39" t="s">
        <v>289</v>
      </c>
      <c r="C52" s="6">
        <v>37</v>
      </c>
      <c r="D52" s="39" t="s">
        <v>653</v>
      </c>
      <c r="E52" s="39"/>
      <c r="F52" s="41">
        <f>F51+F32</f>
        <v>15447.82</v>
      </c>
      <c r="G52" s="41">
        <f>G51+G32</f>
        <v>0</v>
      </c>
      <c r="H52" s="41">
        <f>H51+H32</f>
        <v>11599</v>
      </c>
      <c r="I52" s="41">
        <f>I51+I32</f>
        <v>0</v>
      </c>
      <c r="J52" s="41">
        <f>J51+J32</f>
        <v>172341.72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700299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700299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f>2065.19+1031.37+270.88+95.2+175.09</f>
        <v>3637.73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2221.9699999999998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28.12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28.12</v>
      </c>
      <c r="G111" s="41">
        <f>SUM(G96:G110)</f>
        <v>2221.9699999999998</v>
      </c>
      <c r="H111" s="41">
        <f>SUM(H96:H110)</f>
        <v>0</v>
      </c>
      <c r="I111" s="41">
        <f>SUM(I96:I110)</f>
        <v>0</v>
      </c>
      <c r="J111" s="41">
        <f>SUM(J96:J110)</f>
        <v>3637.73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700327.12</v>
      </c>
      <c r="G112" s="41">
        <f>G60+G111</f>
        <v>2221.9699999999998</v>
      </c>
      <c r="H112" s="41">
        <f>H60+H79+H94+H111</f>
        <v>0</v>
      </c>
      <c r="I112" s="41">
        <f>I60+I111</f>
        <v>0</v>
      </c>
      <c r="J112" s="41">
        <f>J60+J111</f>
        <v>3637.73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314955.36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180579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495534.36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4400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18620.53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23020.53</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518554.89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5817.51</f>
        <v>5817.51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233.47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233.47</v>
      </c>
      <c r="G162" s="41">
        <f>SUM(G150:G161)</f>
        <v>0</v>
      </c>
      <c r="H162" s="41">
        <f>SUM(H150:H161)</f>
        <v>5817.51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233.47</v>
      </c>
      <c r="G169" s="41">
        <f>G147+G162+SUM(G163:G168)</f>
        <v>0</v>
      </c>
      <c r="H169" s="41">
        <f>H147+H162+SUM(H163:H168)</f>
        <v>5817.51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7948.31</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7948.31</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f>117079.69</f>
        <v>117079.69</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117079.69</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117079.69</v>
      </c>
      <c r="G192" s="41">
        <f>G183+SUM(G188:G191)</f>
        <v>7948.31</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1336195.17</v>
      </c>
      <c r="G193" s="47">
        <f>G112+G140+G169+G192</f>
        <v>10170.280000000001</v>
      </c>
      <c r="H193" s="47">
        <f>H112+H140+H169+H192</f>
        <v>5817.51</v>
      </c>
      <c r="I193" s="47">
        <f>I112+I140+I169+I192</f>
        <v>0</v>
      </c>
      <c r="J193" s="47">
        <f>J112+J140+J192</f>
        <v>3637.73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69413.03+20573.41+3555+10335</f>
        <v>103876.44</v>
      </c>
      <c r="G197" s="18">
        <f>9826.34-107.4+5795.25+7754.39</f>
        <v>23268.58</v>
      </c>
      <c r="H197" s="18">
        <f>2937.28+48846+102448.57</f>
        <v>154231.85</v>
      </c>
      <c r="I197" s="18">
        <f>2159.25+41.54+109.95</f>
        <v>2310.7399999999998</v>
      </c>
      <c r="J197" s="18">
        <f>708.31+189.96</f>
        <v>898.27</v>
      </c>
      <c r="K197" s="18"/>
      <c r="L197" s="19">
        <f>SUM(F197:K197)</f>
        <v>284585.88</v>
      </c>
      <c r="M197" s="8"/>
      <c r="N197" s="266"/>
    </row>
    <row r="198" spans="1:14" s="3" customFormat="1" ht="12.2" customHeight="1" x14ac:dyDescent="0.15">
      <c r="A198" s="1" t="s">
        <v>439</v>
      </c>
      <c r="B198" s="2" t="s">
        <v>341</v>
      </c>
      <c r="C198" s="2" t="s">
        <v>291</v>
      </c>
      <c r="D198" s="2" t="s">
        <v>431</v>
      </c>
      <c r="E198" s="6">
        <v>1200</v>
      </c>
      <c r="F198" s="18">
        <f>11308.87</f>
        <v>11308.87</v>
      </c>
      <c r="G198" s="18">
        <f>2.53-7.8+524.61</f>
        <v>519.34</v>
      </c>
      <c r="H198" s="18">
        <f>14204.41+4220.29+3410+11044.31+72330.68+482.32</f>
        <v>105692.01000000001</v>
      </c>
      <c r="I198" s="18"/>
      <c r="J198" s="18"/>
      <c r="K198" s="18"/>
      <c r="L198" s="19">
        <f>SUM(F198:K198)</f>
        <v>117520.22000000002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f>1995</f>
        <v>1995</v>
      </c>
      <c r="I202" s="18"/>
      <c r="J202" s="18"/>
      <c r="K202" s="18"/>
      <c r="L202" s="19">
        <f t="shared" ref="L202:L208" si="0">SUM(F202:K202)</f>
        <v>1995</v>
      </c>
      <c r="M202" s="8"/>
      <c r="N202" s="266"/>
    </row>
    <row r="203" spans="1:14" s="3" customFormat="1" ht="12.2" customHeight="1" x14ac:dyDescent="0.15">
      <c r="A203" s="1" t="s">
        <v>443</v>
      </c>
      <c r="B203" s="2" t="s">
        <v>341</v>
      </c>
      <c r="C203" s="2" t="s">
        <v>295</v>
      </c>
      <c r="D203" s="2" t="s">
        <v>431</v>
      </c>
      <c r="E203" s="6">
        <v>2200</v>
      </c>
      <c r="F203" s="18"/>
      <c r="G203" s="18"/>
      <c r="H203" s="18"/>
      <c r="I203" s="18">
        <v>990</v>
      </c>
      <c r="J203" s="18"/>
      <c r="K203" s="18"/>
      <c r="L203" s="19">
        <f t="shared" si="0"/>
        <v>990</v>
      </c>
      <c r="M203" s="8"/>
      <c r="N203" s="266"/>
    </row>
    <row r="204" spans="1:14" s="3" customFormat="1" ht="12.2" customHeight="1" x14ac:dyDescent="0.15">
      <c r="A204" s="1" t="s">
        <v>444</v>
      </c>
      <c r="B204" s="2" t="s">
        <v>341</v>
      </c>
      <c r="C204" s="2" t="s">
        <v>296</v>
      </c>
      <c r="D204" s="2" t="s">
        <v>431</v>
      </c>
      <c r="E204" s="6">
        <v>2300</v>
      </c>
      <c r="F204" s="18">
        <f>86822.85</f>
        <v>86822.85</v>
      </c>
      <c r="G204" s="18">
        <v>6682.05</v>
      </c>
      <c r="H204" s="18">
        <f>5400+767.96+28753.22+25.87+1277.82+108.61+1278</f>
        <v>37611.480000000003</v>
      </c>
      <c r="I204" s="18">
        <f>926.07+199.75</f>
        <v>1125.8200000000002</v>
      </c>
      <c r="J204" s="18"/>
      <c r="K204" s="18">
        <f>10407.85+2613.77</f>
        <v>13021.62</v>
      </c>
      <c r="L204" s="19">
        <f t="shared" si="0"/>
        <v>145263.82</v>
      </c>
      <c r="M204" s="8"/>
      <c r="N204" s="266"/>
    </row>
    <row r="205" spans="1:14" s="3" customFormat="1" ht="12.2" customHeight="1" x14ac:dyDescent="0.15">
      <c r="A205" s="1" t="s">
        <v>445</v>
      </c>
      <c r="B205" s="2" t="s">
        <v>341</v>
      </c>
      <c r="C205" s="2" t="s">
        <v>297</v>
      </c>
      <c r="D205" s="2" t="s">
        <v>431</v>
      </c>
      <c r="E205" s="6">
        <v>2400</v>
      </c>
      <c r="F205" s="18">
        <v>8475.9</v>
      </c>
      <c r="G205" s="18">
        <f>1416.23+2321.23+12602.03+9653.89</f>
        <v>25993.38</v>
      </c>
      <c r="H205" s="18"/>
      <c r="I205" s="18"/>
      <c r="J205" s="18"/>
      <c r="K205" s="18"/>
      <c r="L205" s="19">
        <f t="shared" si="0"/>
        <v>34469.279999999999</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3859.19</v>
      </c>
      <c r="G207" s="18">
        <f>258.9</f>
        <v>258.89999999999998</v>
      </c>
      <c r="H207" s="18">
        <f>4081.04+75+1770.77+1387.5+2513.75+1716.77</f>
        <v>11544.83</v>
      </c>
      <c r="I207" s="18">
        <f>319.15+1905.77+384.58+3989.48</f>
        <v>6598.98</v>
      </c>
      <c r="J207" s="18"/>
      <c r="K207" s="18"/>
      <c r="L207" s="19">
        <f t="shared" si="0"/>
        <v>22261.9</v>
      </c>
      <c r="M207" s="8"/>
      <c r="N207" s="266"/>
    </row>
    <row r="208" spans="1:14" s="3" customFormat="1" ht="12.2" customHeight="1" x14ac:dyDescent="0.15">
      <c r="A208" s="1" t="s">
        <v>448</v>
      </c>
      <c r="B208" s="2" t="s">
        <v>341</v>
      </c>
      <c r="C208" s="2" t="s">
        <v>300</v>
      </c>
      <c r="D208" s="2" t="s">
        <v>431</v>
      </c>
      <c r="E208" s="6">
        <v>2700</v>
      </c>
      <c r="F208" s="18"/>
      <c r="G208" s="18"/>
      <c r="H208" s="18">
        <f>7878.98+16515.48</f>
        <v>24394.46</v>
      </c>
      <c r="I208" s="18"/>
      <c r="J208" s="18"/>
      <c r="K208" s="18"/>
      <c r="L208" s="19">
        <f t="shared" si="0"/>
        <v>24394.46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214343.25</v>
      </c>
      <c r="G211" s="41">
        <f t="shared" si="1"/>
        <v>56722.250000000007</v>
      </c>
      <c r="H211" s="41">
        <f t="shared" si="1"/>
        <v>335469.63000000006</v>
      </c>
      <c r="I211" s="41">
        <f t="shared" si="1"/>
        <v>11025.539999999999</v>
      </c>
      <c r="J211" s="41">
        <f t="shared" si="1"/>
        <v>898.27</v>
      </c>
      <c r="K211" s="41">
        <f t="shared" si="1"/>
        <v>13021.62</v>
      </c>
      <c r="L211" s="41">
        <f t="shared" si="1"/>
        <v>631480.56000000006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f>189296.7</f>
        <v>189296.7</v>
      </c>
      <c r="I215" s="18"/>
      <c r="J215" s="18"/>
      <c r="K215" s="18"/>
      <c r="L215" s="19">
        <f>SUM(F215:K215)</f>
        <v>189296.7</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15646.56</v>
      </c>
      <c r="I226" s="18"/>
      <c r="J226" s="18"/>
      <c r="K226" s="18"/>
      <c r="L226" s="19">
        <f t="shared" si="2"/>
        <v>15646.56</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204943.26</v>
      </c>
      <c r="I229" s="41">
        <f>SUM(I215:I228)</f>
        <v>0</v>
      </c>
      <c r="J229" s="41">
        <f>SUM(J215:J228)</f>
        <v>0</v>
      </c>
      <c r="K229" s="41">
        <f t="shared" si="3"/>
        <v>0</v>
      </c>
      <c r="L229" s="41">
        <f t="shared" si="3"/>
        <v>204943.26</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f>409704.72+461</f>
        <v>410165.72</v>
      </c>
      <c r="I233" s="18"/>
      <c r="J233" s="18"/>
      <c r="K233" s="18"/>
      <c r="L233" s="19">
        <f>SUM(F233:K233)</f>
        <v>410165.72</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26948.5</v>
      </c>
      <c r="I244" s="18"/>
      <c r="J244" s="18"/>
      <c r="K244" s="18"/>
      <c r="L244" s="19">
        <f t="shared" si="4"/>
        <v>26948.5</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437114.22</v>
      </c>
      <c r="I247" s="41">
        <f t="shared" si="5"/>
        <v>0</v>
      </c>
      <c r="J247" s="41">
        <f t="shared" si="5"/>
        <v>0</v>
      </c>
      <c r="K247" s="41">
        <f t="shared" si="5"/>
        <v>0</v>
      </c>
      <c r="L247" s="41">
        <f t="shared" si="5"/>
        <v>437114.22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214343.25</v>
      </c>
      <c r="G257" s="41">
        <f t="shared" si="8"/>
        <v>56722.250000000007</v>
      </c>
      <c r="H257" s="41">
        <f t="shared" si="8"/>
        <v>977527.1100000001</v>
      </c>
      <c r="I257" s="41">
        <f t="shared" si="8"/>
        <v>11025.539999999999</v>
      </c>
      <c r="J257" s="41">
        <f t="shared" si="8"/>
        <v>898.27</v>
      </c>
      <c r="K257" s="41">
        <f t="shared" si="8"/>
        <v>13021.62</v>
      </c>
      <c r="L257" s="41">
        <f t="shared" si="8"/>
        <v>1273538.04</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7948.31</v>
      </c>
      <c r="L263" s="19">
        <f>SUM(F263:K263)</f>
        <v>7948.31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7948.31</v>
      </c>
      <c r="L270" s="41">
        <f t="shared" si="9"/>
        <v>7948.31</v>
      </c>
      <c r="N270" s="264"/>
    </row>
    <row r="271" spans="1:14" s="3" customFormat="1" ht="12.2" customHeight="1" thickTop="1" x14ac:dyDescent="0.2">
      <c r="A271" s="43" t="s">
        <v>464</v>
      </c>
      <c r="B271" s="40">
        <v>10</v>
      </c>
      <c r="C271" s="40">
        <v>18</v>
      </c>
      <c r="D271" s="39" t="s">
        <v>431</v>
      </c>
      <c r="E271" s="40"/>
      <c r="F271" s="42">
        <f t="shared" ref="F271:L271" si="11">F257+F270</f>
        <v>214343.25</v>
      </c>
      <c r="G271" s="42">
        <f t="shared" si="11"/>
        <v>56722.250000000007</v>
      </c>
      <c r="H271" s="42">
        <f t="shared" si="11"/>
        <v>977527.1100000001</v>
      </c>
      <c r="I271" s="42">
        <f t="shared" si="11"/>
        <v>11025.539999999999</v>
      </c>
      <c r="J271" s="42">
        <f t="shared" si="11"/>
        <v>898.27</v>
      </c>
      <c r="K271" s="42">
        <f t="shared" si="11"/>
        <v>20969.93</v>
      </c>
      <c r="L271" s="42">
        <f t="shared" si="11"/>
        <v>1281486.3500000001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3832.51</f>
        <v>3832.51</v>
      </c>
      <c r="G276" s="18"/>
      <c r="H276" s="18">
        <f>1560+425</f>
        <v>1985</v>
      </c>
      <c r="I276" s="18"/>
      <c r="J276" s="18"/>
      <c r="K276" s="18"/>
      <c r="L276" s="19">
        <f>SUM(F276:K276)</f>
        <v>5817.51</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0</v>
      </c>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3832.51</v>
      </c>
      <c r="G290" s="42">
        <f t="shared" si="13"/>
        <v>0</v>
      </c>
      <c r="H290" s="42">
        <f t="shared" si="13"/>
        <v>1985</v>
      </c>
      <c r="I290" s="42">
        <f t="shared" si="13"/>
        <v>0</v>
      </c>
      <c r="J290" s="42">
        <f t="shared" si="13"/>
        <v>0</v>
      </c>
      <c r="K290" s="42">
        <f t="shared" si="13"/>
        <v>0</v>
      </c>
      <c r="L290" s="41">
        <f t="shared" si="13"/>
        <v>5817.51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3832.51</v>
      </c>
      <c r="G338" s="41">
        <f t="shared" si="20"/>
        <v>0</v>
      </c>
      <c r="H338" s="41">
        <f t="shared" si="20"/>
        <v>1985</v>
      </c>
      <c r="I338" s="41">
        <f t="shared" si="20"/>
        <v>0</v>
      </c>
      <c r="J338" s="41">
        <f t="shared" si="20"/>
        <v>0</v>
      </c>
      <c r="K338" s="41">
        <f t="shared" si="20"/>
        <v>0</v>
      </c>
      <c r="L338" s="41">
        <f t="shared" si="20"/>
        <v>5817.51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3832.51</v>
      </c>
      <c r="G352" s="41">
        <f>G338</f>
        <v>0</v>
      </c>
      <c r="H352" s="41">
        <f>H338</f>
        <v>1985</v>
      </c>
      <c r="I352" s="41">
        <f>I338</f>
        <v>0</v>
      </c>
      <c r="J352" s="41">
        <f>J338</f>
        <v>0</v>
      </c>
      <c r="K352" s="47">
        <f>K338+K351</f>
        <v>0</v>
      </c>
      <c r="L352" s="41">
        <f>L338+L351</f>
        <v>5817.51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1168+16</f>
        <v>1184</v>
      </c>
      <c r="G358" s="18">
        <f>80.78</f>
        <v>80.78</v>
      </c>
      <c r="H358" s="18">
        <f>5978.5</f>
        <v>5978.5</v>
      </c>
      <c r="I358" s="18">
        <v>70.41</v>
      </c>
      <c r="J358" s="18"/>
      <c r="K358" s="18"/>
      <c r="L358" s="13">
        <f>SUM(F358:K358)</f>
        <v>7313.69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1184</v>
      </c>
      <c r="G362" s="47">
        <f t="shared" si="22"/>
        <v>80.78</v>
      </c>
      <c r="H362" s="47">
        <f t="shared" si="22"/>
        <v>5978.5</v>
      </c>
      <c r="I362" s="47">
        <f t="shared" si="22"/>
        <v>70.41</v>
      </c>
      <c r="J362" s="47">
        <f t="shared" si="22"/>
        <v>0</v>
      </c>
      <c r="K362" s="47">
        <f t="shared" si="22"/>
        <v>0</v>
      </c>
      <c r="L362" s="47">
        <f t="shared" si="22"/>
        <v>7313.69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I358</f>
        <v>70.41</v>
      </c>
      <c r="G368" s="63"/>
      <c r="H368" s="63"/>
      <c r="I368" s="56">
        <f>SUM(F368:H368)</f>
        <v>70.41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70.41</v>
      </c>
      <c r="G369" s="47">
        <f>SUM(G367:G368)</f>
        <v>0</v>
      </c>
      <c r="H369" s="47">
        <f>SUM(H367:H368)</f>
        <v>0</v>
      </c>
      <c r="I369" s="47">
        <f>SUM(I367:I368)</f>
        <v>70.41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270.88</v>
      </c>
      <c r="I396" s="18"/>
      <c r="J396" s="24" t="s">
        <v>288</v>
      </c>
      <c r="K396" s="24" t="s">
        <v>288</v>
      </c>
      <c r="L396" s="56">
        <f t="shared" si="26"/>
        <v>270.88</v>
      </c>
      <c r="M396" s="8"/>
      <c r="N396" s="266"/>
    </row>
    <row r="397" spans="1:14" s="3" customFormat="1" ht="12.2" customHeight="1" x14ac:dyDescent="0.15">
      <c r="A397" s="79" t="s">
        <v>515</v>
      </c>
      <c r="B397" s="2" t="s">
        <v>381</v>
      </c>
      <c r="C397" s="6">
        <v>10</v>
      </c>
      <c r="D397" s="2" t="s">
        <v>432</v>
      </c>
      <c r="E397" s="6"/>
      <c r="F397" s="18"/>
      <c r="G397" s="18"/>
      <c r="H397" s="18">
        <f>2065.19</f>
        <v>2065.19</v>
      </c>
      <c r="I397" s="18"/>
      <c r="J397" s="24" t="s">
        <v>288</v>
      </c>
      <c r="K397" s="24" t="s">
        <v>288</v>
      </c>
      <c r="L397" s="56">
        <f t="shared" si="26"/>
        <v>2065.19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1031.37+175.09+95.2</f>
        <v>1301.6599999999999</v>
      </c>
      <c r="I400" s="18"/>
      <c r="J400" s="24" t="s">
        <v>288</v>
      </c>
      <c r="K400" s="24" t="s">
        <v>288</v>
      </c>
      <c r="L400" s="56">
        <f t="shared" si="26"/>
        <v>1301.6599999999999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3637.73</v>
      </c>
      <c r="I401" s="47">
        <f>SUM(I395:I400)</f>
        <v>0</v>
      </c>
      <c r="J401" s="45" t="s">
        <v>288</v>
      </c>
      <c r="K401" s="45" t="s">
        <v>288</v>
      </c>
      <c r="L401" s="47">
        <f>SUM(L395:L400)</f>
        <v>3637.73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3637.73</v>
      </c>
      <c r="I408" s="47">
        <f>I393+I401+I407</f>
        <v>0</v>
      </c>
      <c r="J408" s="24" t="s">
        <v>288</v>
      </c>
      <c r="K408" s="24" t="s">
        <v>288</v>
      </c>
      <c r="L408" s="47">
        <f>L393+L401+L407</f>
        <v>3637.73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f>20000</f>
        <v>20000</v>
      </c>
      <c r="L423" s="56">
        <f t="shared" si="29"/>
        <v>20000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f>97079.69</f>
        <v>97079.69</v>
      </c>
      <c r="L426" s="56">
        <f t="shared" si="29"/>
        <v>97079.69</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117079.69</v>
      </c>
      <c r="L427" s="47">
        <f t="shared" si="30"/>
        <v>117079.69</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117079.69</v>
      </c>
      <c r="L434" s="47">
        <f t="shared" si="32"/>
        <v>117079.69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f>172341.72</f>
        <v>172341.72</v>
      </c>
      <c r="H439" s="18"/>
      <c r="I439" s="56">
        <f t="shared" ref="I439:I445" si="33">SUM(F439:H439)</f>
        <v>172341.72</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172341.72</v>
      </c>
      <c r="H446" s="13">
        <f>SUM(H439:H445)</f>
        <v>0</v>
      </c>
      <c r="I446" s="13">
        <f>SUM(I439:I445)</f>
        <v>172341.72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f>172341.72</f>
        <v>172341.72</v>
      </c>
      <c r="H459" s="18"/>
      <c r="I459" s="56">
        <f t="shared" si="34"/>
        <v>172341.72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172341.72</v>
      </c>
      <c r="H460" s="83">
        <f>SUM(H454:H459)</f>
        <v>0</v>
      </c>
      <c r="I460" s="83">
        <f>SUM(I454:I459)</f>
        <v>172341.72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172341.72</v>
      </c>
      <c r="H461" s="42">
        <f>H452+H460</f>
        <v>0</v>
      </c>
      <c r="I461" s="42">
        <f>I452+I460</f>
        <v>172341.72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94948.59</v>
      </c>
      <c r="G465" s="18">
        <v>-16316.59</v>
      </c>
      <c r="H465" s="18">
        <v>0</v>
      </c>
      <c r="I465" s="18"/>
      <c r="J465" s="18">
        <v>285783.67999999999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1336195.17</v>
      </c>
      <c r="G468" s="18">
        <f>G193</f>
        <v>10170.280000000001</v>
      </c>
      <c r="H468" s="18">
        <f>H193</f>
        <v>5817.51</v>
      </c>
      <c r="I468" s="18"/>
      <c r="J468" s="18">
        <f>L408</f>
        <v>3637.73</v>
      </c>
      <c r="K468" s="24" t="s">
        <v>288</v>
      </c>
      <c r="L468" s="24" t="s">
        <v>288</v>
      </c>
      <c r="N468" s="265"/>
    </row>
    <row r="469" spans="1:14" s="52" customFormat="1" ht="12.2" customHeight="1" x14ac:dyDescent="0.2">
      <c r="A469" s="93" t="s">
        <v>611</v>
      </c>
      <c r="B469" s="75">
        <v>19</v>
      </c>
      <c r="C469" s="80">
        <v>3</v>
      </c>
      <c r="D469" s="2" t="s">
        <v>432</v>
      </c>
      <c r="E469" s="80"/>
      <c r="F469" s="18"/>
      <c r="G469" s="18">
        <v>13460</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1336195.17</v>
      </c>
      <c r="G470" s="53">
        <f>SUM(G468:G469)</f>
        <v>23630.28</v>
      </c>
      <c r="H470" s="53">
        <f>SUM(H468:H469)</f>
        <v>5817.51</v>
      </c>
      <c r="I470" s="53">
        <f>SUM(I468:I469)</f>
        <v>0</v>
      </c>
      <c r="J470" s="53">
        <f>SUM(J468:J469)</f>
        <v>3637.73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1281486.3500000001</v>
      </c>
      <c r="G472" s="18">
        <f>L362</f>
        <v>7313.69</v>
      </c>
      <c r="H472" s="18">
        <f>L338</f>
        <v>5817.51</v>
      </c>
      <c r="I472" s="18"/>
      <c r="J472" s="18">
        <f>L434</f>
        <v>117079.69</v>
      </c>
      <c r="K472" s="24" t="s">
        <v>288</v>
      </c>
      <c r="L472" s="24" t="s">
        <v>288</v>
      </c>
      <c r="N472" s="265"/>
    </row>
    <row r="473" spans="1:14" s="52" customFormat="1" ht="12.2" customHeight="1" x14ac:dyDescent="0.2">
      <c r="A473" s="93" t="s">
        <v>613</v>
      </c>
      <c r="B473" s="75">
        <v>19</v>
      </c>
      <c r="C473" s="80">
        <v>6</v>
      </c>
      <c r="D473" s="2" t="s">
        <v>432</v>
      </c>
      <c r="E473" s="80"/>
      <c r="F473" s="18">
        <v>175640.88</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1457127.23</v>
      </c>
      <c r="G474" s="53">
        <f>SUM(G472:G473)</f>
        <v>7313.69</v>
      </c>
      <c r="H474" s="53">
        <f>SUM(H472:H473)</f>
        <v>5817.51</v>
      </c>
      <c r="I474" s="53">
        <f>SUM(I472:I473)</f>
        <v>0</v>
      </c>
      <c r="J474" s="53">
        <f>SUM(J472:J473)</f>
        <v>117079.69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-25983.469999999972</v>
      </c>
      <c r="G476" s="53">
        <f>(G465+G470)- G474</f>
        <v>0</v>
      </c>
      <c r="H476" s="53">
        <f>(H465+H470)- H474</f>
        <v>0</v>
      </c>
      <c r="I476" s="53">
        <f>(I465+I470)- I474</f>
        <v>0</v>
      </c>
      <c r="J476" s="53">
        <f>(J465+J470)- J474</f>
        <v>172341.71999999997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1610</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1610</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
        <v>11308.87</v>
      </c>
      <c r="G521" s="18">
        <f>G198</f>
        <v>519.34</v>
      </c>
      <c r="H521" s="18">
        <f>H198</f>
        <v>105692.01000000001</v>
      </c>
      <c r="I521" s="18"/>
      <c r="J521" s="18"/>
      <c r="K521" s="18"/>
      <c r="L521" s="88">
        <f>SUM(F521:K521)</f>
        <v>117520.22000000002</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11308.87</v>
      </c>
      <c r="G524" s="108">
        <f t="shared" ref="G524:L524" si="36">SUM(G521:G523)</f>
        <v>519.34</v>
      </c>
      <c r="H524" s="108">
        <f t="shared" si="36"/>
        <v>105692.01000000001</v>
      </c>
      <c r="I524" s="108">
        <f t="shared" si="36"/>
        <v>0</v>
      </c>
      <c r="J524" s="108">
        <f t="shared" si="36"/>
        <v>0</v>
      </c>
      <c r="K524" s="108">
        <f t="shared" si="36"/>
        <v>0</v>
      </c>
      <c r="L524" s="89">
        <f t="shared" si="36"/>
        <v>117520.22000000002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f>H202</f>
        <v>1995</v>
      </c>
      <c r="I526" s="18"/>
      <c r="J526" s="18"/>
      <c r="K526" s="18"/>
      <c r="L526" s="88">
        <f>SUM(F526:K526)</f>
        <v>1995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1995</v>
      </c>
      <c r="I529" s="89">
        <f t="shared" si="37"/>
        <v>0</v>
      </c>
      <c r="J529" s="89">
        <f t="shared" si="37"/>
        <v>0</v>
      </c>
      <c r="K529" s="89">
        <f t="shared" si="37"/>
        <v>0</v>
      </c>
      <c r="L529" s="89">
        <f t="shared" si="37"/>
        <v>1995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11308.87</v>
      </c>
      <c r="G545" s="89">
        <f t="shared" ref="G545:L545" si="41">G524+G529+G534+G539+G544</f>
        <v>519.34</v>
      </c>
      <c r="H545" s="89">
        <f t="shared" si="41"/>
        <v>107687.01000000001</v>
      </c>
      <c r="I545" s="89">
        <f t="shared" si="41"/>
        <v>0</v>
      </c>
      <c r="J545" s="89">
        <f t="shared" si="41"/>
        <v>0</v>
      </c>
      <c r="K545" s="89">
        <f t="shared" si="41"/>
        <v>0</v>
      </c>
      <c r="L545" s="89">
        <f t="shared" si="41"/>
        <v>119515.22000000002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117520.22000000002</v>
      </c>
      <c r="G549" s="87">
        <f>L526</f>
        <v>1995</v>
      </c>
      <c r="H549" s="87">
        <f>L531</f>
        <v>0</v>
      </c>
      <c r="I549" s="87">
        <f>L536</f>
        <v>0</v>
      </c>
      <c r="J549" s="87">
        <f>L541</f>
        <v>0</v>
      </c>
      <c r="K549" s="87">
        <f>SUM(F549:J549)</f>
        <v>119515.22000000002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117520.22000000002</v>
      </c>
      <c r="G552" s="89">
        <f t="shared" si="42"/>
        <v>1995</v>
      </c>
      <c r="H552" s="89">
        <f t="shared" si="42"/>
        <v>0</v>
      </c>
      <c r="I552" s="89">
        <f t="shared" si="42"/>
        <v>0</v>
      </c>
      <c r="J552" s="89">
        <f t="shared" si="42"/>
        <v>0</v>
      </c>
      <c r="K552" s="89">
        <f t="shared" si="42"/>
        <v>119515.22000000002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f>48846</f>
        <v>48846</v>
      </c>
      <c r="G575" s="18">
        <v>189296.7</v>
      </c>
      <c r="H575" s="18">
        <v>409704.72</v>
      </c>
      <c r="I575" s="87">
        <f>SUM(F575:H575)</f>
        <v>647847.41999999993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f>102448.57</f>
        <v>102448.57</v>
      </c>
      <c r="G578" s="18"/>
      <c r="H578" s="18">
        <v>461</v>
      </c>
      <c r="I578" s="87">
        <f t="shared" si="47"/>
        <v>102909.57</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f>11044.31</f>
        <v>11044.31</v>
      </c>
      <c r="G579" s="18"/>
      <c r="H579" s="18"/>
      <c r="I579" s="87">
        <f t="shared" si="47"/>
        <v>11044.31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16515.48</v>
      </c>
      <c r="I591" s="18">
        <v>15646.56</v>
      </c>
      <c r="J591" s="18">
        <v>26948.5</v>
      </c>
      <c r="K591" s="104">
        <f t="shared" ref="K591:K597" si="48">SUM(H591:J591)</f>
        <v>59110.54</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7878.98</v>
      </c>
      <c r="I595" s="18"/>
      <c r="J595" s="18"/>
      <c r="K595" s="104">
        <f t="shared" si="48"/>
        <v>7878.98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24394.46</v>
      </c>
      <c r="I598" s="108">
        <f>SUM(I591:I597)</f>
        <v>15646.56</v>
      </c>
      <c r="J598" s="108">
        <f>SUM(J591:J597)</f>
        <v>26948.5</v>
      </c>
      <c r="K598" s="108">
        <f>SUM(K591:K597)</f>
        <v>66989.52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J197</f>
        <v>898.27</v>
      </c>
      <c r="I604" s="18"/>
      <c r="J604" s="18"/>
      <c r="K604" s="104">
        <f>SUM(H604:J604)</f>
        <v>898.27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898.27</v>
      </c>
      <c r="I605" s="108">
        <f>SUM(I602:I604)</f>
        <v>0</v>
      </c>
      <c r="J605" s="108">
        <f>SUM(J602:J604)</f>
        <v>0</v>
      </c>
      <c r="K605" s="108">
        <f>SUM(K602:K604)</f>
        <v>898.27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15447.82</v>
      </c>
      <c r="H617" s="109">
        <f>SUM(F52)</f>
        <v>15447.82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11599</v>
      </c>
      <c r="H619" s="109">
        <f>SUM(H52)</f>
        <v>11599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172341.72</v>
      </c>
      <c r="H621" s="109">
        <f>SUM(J52)</f>
        <v>172341.72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-25983.47</v>
      </c>
      <c r="H622" s="109">
        <f>F476</f>
        <v>-25983.469999999972</v>
      </c>
      <c r="I622" s="121" t="s">
        <v>101</v>
      </c>
      <c r="J622" s="109">
        <f t="shared" ref="J622:J655" si="50">G622-H622</f>
        <v>-2.9103830456733704E-11</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172341.72</v>
      </c>
      <c r="H626" s="109">
        <f>J476</f>
        <v>172341.71999999997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1336195.17</v>
      </c>
      <c r="H627" s="104">
        <f>SUM(F468)</f>
        <v>1336195.17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10170.280000000001</v>
      </c>
      <c r="H628" s="104">
        <f>SUM(G468)</f>
        <v>10170.280000000001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5817.51</v>
      </c>
      <c r="H629" s="104">
        <f>SUM(H468)</f>
        <v>5817.51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3637.73</v>
      </c>
      <c r="H631" s="104">
        <f>SUM(J468)</f>
        <v>3637.73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1281486.3500000001</v>
      </c>
      <c r="H632" s="104">
        <f>SUM(F472)</f>
        <v>1281486.3500000001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5817.51</v>
      </c>
      <c r="H633" s="104">
        <f>SUM(H472)</f>
        <v>5817.51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70.41</v>
      </c>
      <c r="H634" s="104">
        <f>I369</f>
        <v>70.41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7313.69</v>
      </c>
      <c r="H635" s="104">
        <f>SUM(G472)</f>
        <v>7313.69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3637.73</v>
      </c>
      <c r="H637" s="164">
        <f>SUM(J468)</f>
        <v>3637.73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117079.69</v>
      </c>
      <c r="H638" s="164">
        <f>SUM(J472)</f>
        <v>117079.69</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172341.72</v>
      </c>
      <c r="H640" s="104">
        <f>SUM(G461)</f>
        <v>172341.72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172341.72</v>
      </c>
      <c r="H642" s="104">
        <f>SUM(I461)</f>
        <v>172341.72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3637.73</v>
      </c>
      <c r="H644" s="104">
        <f>H408</f>
        <v>3637.73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3637.73</v>
      </c>
      <c r="H646" s="104">
        <f>L408</f>
        <v>3637.73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66989.52</v>
      </c>
      <c r="H647" s="104">
        <f>L208+L226+L244</f>
        <v>66989.51999999999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898.27</v>
      </c>
      <c r="H648" s="104">
        <f>(J257+J338)-(J255+J336)</f>
        <v>898.27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24394.46</v>
      </c>
      <c r="H649" s="104">
        <f>H598</f>
        <v>24394.46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15646.56</v>
      </c>
      <c r="H650" s="104">
        <f>I598</f>
        <v>15646.56</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26948.5</v>
      </c>
      <c r="H651" s="104">
        <f>J598</f>
        <v>26948.5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7948.31</v>
      </c>
      <c r="H652" s="104">
        <f>K263+K345</f>
        <v>7948.31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644611.76</v>
      </c>
      <c r="G660" s="19">
        <f>(L229+L309+L359)</f>
        <v>204943.26</v>
      </c>
      <c r="H660" s="19">
        <f>(L247+L328+L360)</f>
        <v>437114.22</v>
      </c>
      <c r="I660" s="19">
        <f>SUM(F660:H660)</f>
        <v>1286669.24</v>
      </c>
      <c r="J660" s="13"/>
      <c r="K660" s="13"/>
      <c r="L660" s="13"/>
      <c r="M660" s="9"/>
    </row>
    <row r="661" spans="1:13" s="3" customFormat="1" ht="12.2" customHeight="1" x14ac:dyDescent="0.2">
      <c r="A661" s="1" t="s">
        <v>127</v>
      </c>
      <c r="F661" s="19">
        <f>(L358/IF(SUM(L358:L360)=0,1,SUM(L358:L360))*(SUM(G97:G110)))</f>
        <v>2221.9699999999998</v>
      </c>
      <c r="G661" s="19">
        <f>(L359/IF(SUM(L358:L360)=0,1,SUM(L358:L360))*(SUM(G97:G110)))</f>
        <v>0</v>
      </c>
      <c r="H661" s="19">
        <f>(L360/IF(SUM(L358:L360)=0,1,SUM(L358:L360))*(SUM(G97:G110)))</f>
        <v>0</v>
      </c>
      <c r="I661" s="19">
        <f>SUM(F661:H661)</f>
        <v>2221.9699999999998</v>
      </c>
      <c r="J661"/>
      <c r="K661" s="13"/>
      <c r="L661" s="13"/>
      <c r="M661" s="9"/>
    </row>
    <row r="662" spans="1:13" s="3" customFormat="1" ht="12.2" customHeight="1" x14ac:dyDescent="0.2">
      <c r="A662" s="1" t="s">
        <v>128</v>
      </c>
      <c r="F662" s="19">
        <f>(L208+L287)-(J208+J287)</f>
        <v>24394.46</v>
      </c>
      <c r="G662" s="19">
        <f>(L226+L306)-(J226+J306)</f>
        <v>15646.56</v>
      </c>
      <c r="H662" s="19">
        <f>(L244+L325)-(J244+J325)</f>
        <v>26948.5</v>
      </c>
      <c r="I662" s="19">
        <f>SUM(F662:H662)</f>
        <v>66989.51999999999</v>
      </c>
      <c r="J662"/>
      <c r="K662" s="13"/>
      <c r="L662" s="13"/>
      <c r="M662" s="8"/>
    </row>
    <row r="663" spans="1:13" s="3" customFormat="1" ht="12.2" customHeight="1" x14ac:dyDescent="0.15">
      <c r="A663" s="198" t="s">
        <v>129</v>
      </c>
      <c r="B663" s="169"/>
      <c r="C663" s="169"/>
      <c r="D663" s="169"/>
      <c r="E663" s="169"/>
      <c r="F663" s="199">
        <f>SUM(F575:F587)+SUM(H602:H604)+SUM(L611)</f>
        <v>163237.15</v>
      </c>
      <c r="G663" s="199">
        <f>SUM(G575:G587)+SUM(I602:I604)+L612</f>
        <v>189296.7</v>
      </c>
      <c r="H663" s="199">
        <f>SUM(H575:H587)+SUM(J602:J604)+L613</f>
        <v>410165.72</v>
      </c>
      <c r="I663" s="19">
        <f>SUM(F663:H663)</f>
        <v>762699.57</v>
      </c>
      <c r="J663" s="13"/>
      <c r="K663" s="13"/>
      <c r="L663" s="13"/>
      <c r="M663" s="9"/>
    </row>
    <row r="664" spans="1:13" s="3" customFormat="1" ht="12.2" customHeight="1" x14ac:dyDescent="0.15">
      <c r="A664" s="1" t="s">
        <v>130</v>
      </c>
      <c r="F664" s="19">
        <f>F660-SUM(F661:F663)</f>
        <v>454758.18000000005</v>
      </c>
      <c r="G664" s="19">
        <f>G660-SUM(G661:G663)</f>
        <v>0</v>
      </c>
      <c r="H664" s="19">
        <f>H660-SUM(H661:H663)</f>
        <v>0</v>
      </c>
      <c r="I664" s="19">
        <f>I660-SUM(I661:I663)</f>
        <v>454758.18000000005</v>
      </c>
      <c r="J664" s="13"/>
      <c r="K664" s="13"/>
      <c r="L664" s="13"/>
      <c r="M664" s="9"/>
    </row>
    <row r="665" spans="1:13" s="3" customFormat="1" ht="12.2" customHeight="1" x14ac:dyDescent="0.2">
      <c r="A665" s="1" t="s">
        <v>131</v>
      </c>
      <c r="F665" s="246">
        <v>31.5</v>
      </c>
      <c r="G665" s="247"/>
      <c r="H665" s="247"/>
      <c r="I665" s="19">
        <f>SUM(F665:H665)</f>
        <v>31.5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14436.77</v>
      </c>
      <c r="G667" s="19" t="e">
        <f>ROUND(G664/G665,2)</f>
        <v>#DIV/0!</v>
      </c>
      <c r="H667" s="19" t="e">
        <f>ROUND(H664/H665,2)</f>
        <v>#DIV/0!</v>
      </c>
      <c r="I667" s="19">
        <f>ROUND(I664/I665,2)</f>
        <v>14436.77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14436.77</v>
      </c>
      <c r="G672" s="19" t="e">
        <f>ROUND((G664+G669)/(G665+G670),2)</f>
        <v>#DIV/0!</v>
      </c>
      <c r="H672" s="19" t="e">
        <f>ROUND((H664+H669)/(H665+H670),2)</f>
        <v>#DIV/0!</v>
      </c>
      <c r="I672" s="19">
        <f>ROUND((I664+I669)/(I665+I670),2)</f>
        <v>14436.77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C12"/>
    </sheetView>
  </sheetViews>
  <sheetFormatPr defaultColWidth="8.83203125" defaultRowHeight="11.25" x14ac:dyDescent="0.2"/>
  <cols>
    <col min="1" max="1" width="26.83203125" customWidth="1"/>
    <col min="2" max="2" width="33.83203125" customWidth="1"/>
    <col min="3" max="3" width="29.5" customWidth="1"/>
  </cols>
  <sheetData>
    <row r="1" spans="1:3" x14ac:dyDescent="0.2">
      <c r="A1" s="233" t="s">
        <v>781</v>
      </c>
      <c r="B1" s="232" t="str">
        <f>'DOE25'!A2</f>
        <v>Croydon</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107708.95</v>
      </c>
      <c r="C9" s="229">
        <f>'DOE25'!G197+'DOE25'!G215+'DOE25'!G233+'DOE25'!G276+'DOE25'!G295+'DOE25'!G314</f>
        <v>23268.58</v>
      </c>
    </row>
    <row r="10" spans="1:3" x14ac:dyDescent="0.2">
      <c r="A10" t="s">
        <v>775</v>
      </c>
      <c r="B10" s="240">
        <v>73245.539999999994</v>
      </c>
      <c r="C10" s="240">
        <v>15543.411440000002</v>
      </c>
    </row>
    <row r="11" spans="1:3" x14ac:dyDescent="0.2">
      <c r="A11" t="s">
        <v>776</v>
      </c>
      <c r="B11" s="240">
        <v>20573.41</v>
      </c>
      <c r="C11" s="240">
        <v>4607.1788400000005</v>
      </c>
    </row>
    <row r="12" spans="1:3" x14ac:dyDescent="0.2">
      <c r="A12" t="s">
        <v>777</v>
      </c>
      <c r="B12" s="240">
        <v>13890</v>
      </c>
      <c r="C12" s="323">
        <v>3117.9897199999996</v>
      </c>
    </row>
    <row r="13" spans="1:3" x14ac:dyDescent="0.2">
      <c r="A13" t="str">
        <f>IF(B9=B13,IF(C9=C13,"Check Total OK","Check Total Error"),"Check Total Error")</f>
        <v>Check Total OK</v>
      </c>
      <c r="B13" s="231">
        <f>SUM(B10:B12)</f>
        <v>107708.95</v>
      </c>
      <c r="C13" s="231">
        <f>SUM(C10:C12)</f>
        <v>23268.58</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11308.87</v>
      </c>
      <c r="C18" s="229">
        <f>'DOE25'!G198+'DOE25'!G216+'DOE25'!G234+'DOE25'!G277+'DOE25'!G296+'DOE25'!G315</f>
        <v>519.34</v>
      </c>
    </row>
    <row r="19" spans="1:3" x14ac:dyDescent="0.2">
      <c r="A19" t="s">
        <v>775</v>
      </c>
      <c r="B19" s="240">
        <f>+B18</f>
        <v>11308.87</v>
      </c>
      <c r="C19" s="240">
        <f>+C18</f>
        <v>519.34</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11308.87</v>
      </c>
      <c r="C22" s="231">
        <f>SUM(C19:C21)</f>
        <v>519.34</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7" activePane="bottomLeft" state="frozen"/>
      <selection activeCell="F46" sqref="F46"/>
      <selection pane="bottomLeft" activeCell="O6" sqref="O6"/>
    </sheetView>
  </sheetViews>
  <sheetFormatPr defaultColWidth="8.83203125" defaultRowHeight="11.25" x14ac:dyDescent="0.2"/>
  <cols>
    <col min="1" max="1" width="10.83203125" customWidth="1"/>
    <col min="2" max="2" width="41.1640625" customWidth="1"/>
    <col min="3" max="3" width="13.5" bestFit="1" customWidth="1"/>
    <col min="4" max="5" width="17.83203125" customWidth="1"/>
    <col min="6" max="6" width="21.1640625" customWidth="1"/>
    <col min="7" max="7" width="15.5" customWidth="1"/>
    <col min="8" max="8" width="12.83203125" customWidth="1"/>
    <col min="9" max="9" width="13.83203125" customWidth="1"/>
  </cols>
  <sheetData>
    <row r="1" spans="1:9" x14ac:dyDescent="0.2">
      <c r="A1" s="326" t="s">
        <v>894</v>
      </c>
      <c r="B1" s="330"/>
      <c r="C1" s="330"/>
      <c r="D1" s="330"/>
      <c r="E1" s="330"/>
      <c r="F1" s="330"/>
      <c r="G1" s="330"/>
      <c r="H1" s="330"/>
      <c r="I1" s="181"/>
    </row>
    <row r="2" spans="1:9" x14ac:dyDescent="0.2">
      <c r="A2" s="33" t="s">
        <v>713</v>
      </c>
      <c r="B2" s="260" t="str">
        <f>'DOE25'!A2</f>
        <v>Croydon</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1001568.52</v>
      </c>
      <c r="D5" s="20">
        <f>SUM('DOE25'!L197:L200)+SUM('DOE25'!L215:L218)+SUM('DOE25'!L233:L236)-F5-G5-H5</f>
        <v>1000670.25</v>
      </c>
      <c r="E5" s="243"/>
      <c r="F5" s="244"/>
      <c r="G5" s="53">
        <f>SUM('DOE25'!J197:J200)+SUM('DOE25'!J215:J218)+SUM('DOE25'!J233:J236)</f>
        <v>898.27</v>
      </c>
      <c r="H5" s="53">
        <f>SUM('DOE25'!K197:K200)+SUM('DOE25'!K215:K218)+SUM('DOE25'!K233:K236)</f>
        <v>0</v>
      </c>
      <c r="I5" s="256"/>
    </row>
    <row r="6" spans="1:9" x14ac:dyDescent="0.2">
      <c r="A6" s="32">
        <v>2100</v>
      </c>
      <c r="B6" t="s">
        <v>796</v>
      </c>
      <c r="C6" s="276">
        <f t="shared" si="0"/>
        <v>1995</v>
      </c>
      <c r="D6" s="20">
        <f>'DOE25'!L202+'DOE25'!L220+'DOE25'!L238-F6-G6-H6</f>
        <v>1995</v>
      </c>
      <c r="E6" s="243"/>
      <c r="F6" s="244"/>
      <c r="G6" s="53">
        <f>'DOE25'!J202+'DOE25'!J220+'DOE25'!J238</f>
        <v>0</v>
      </c>
      <c r="H6" s="53">
        <f>'DOE25'!K202+'DOE25'!K220+'DOE25'!K238</f>
        <v>0</v>
      </c>
      <c r="I6" s="256"/>
    </row>
    <row r="7" spans="1:9" x14ac:dyDescent="0.2">
      <c r="A7" s="32">
        <v>2200</v>
      </c>
      <c r="B7" t="s">
        <v>821</v>
      </c>
      <c r="C7" s="276">
        <f t="shared" si="0"/>
        <v>990</v>
      </c>
      <c r="D7" s="20">
        <f>'DOE25'!L203+'DOE25'!L221+'DOE25'!L239-F7-G7-H7</f>
        <v>990</v>
      </c>
      <c r="E7" s="243"/>
      <c r="F7" s="244"/>
      <c r="G7" s="53">
        <f>'DOE25'!J203+'DOE25'!J221+'DOE25'!J239</f>
        <v>0</v>
      </c>
      <c r="H7" s="53">
        <f>'DOE25'!K203+'DOE25'!K221+'DOE25'!K239</f>
        <v>0</v>
      </c>
      <c r="I7" s="256"/>
    </row>
    <row r="8" spans="1:9" x14ac:dyDescent="0.2">
      <c r="A8" s="32">
        <v>2300</v>
      </c>
      <c r="B8" t="s">
        <v>797</v>
      </c>
      <c r="C8" s="276">
        <f t="shared" si="0"/>
        <v>145263.82</v>
      </c>
      <c r="D8" s="243"/>
      <c r="E8" s="20">
        <f>'DOE25'!L204+'DOE25'!L222+'DOE25'!L240-F8-G8-H8-D9-D11</f>
        <v>132242.20000000001</v>
      </c>
      <c r="F8" s="244"/>
      <c r="G8" s="53">
        <f>'DOE25'!J204+'DOE25'!J222+'DOE25'!J240</f>
        <v>0</v>
      </c>
      <c r="H8" s="53">
        <f>'DOE25'!K204+'DOE25'!K222+'DOE25'!K240</f>
        <v>13021.62</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34469.279999999999</v>
      </c>
      <c r="D12" s="20">
        <f>'DOE25'!L205+'DOE25'!L223+'DOE25'!L241-F12-G12-H12</f>
        <v>34469.279999999999</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22261.9</v>
      </c>
      <c r="D14" s="20">
        <f>'DOE25'!L207+'DOE25'!L225+'DOE25'!L243-F14-G14-H14</f>
        <v>22261.9</v>
      </c>
      <c r="E14" s="243"/>
      <c r="F14" s="244"/>
      <c r="G14" s="53">
        <f>'DOE25'!J207+'DOE25'!J225+'DOE25'!J243</f>
        <v>0</v>
      </c>
      <c r="H14" s="53">
        <f>'DOE25'!K207+'DOE25'!K225+'DOE25'!K243</f>
        <v>0</v>
      </c>
      <c r="I14" s="256"/>
    </row>
    <row r="15" spans="1:9" x14ac:dyDescent="0.2">
      <c r="A15" s="32">
        <v>2700</v>
      </c>
      <c r="B15" t="s">
        <v>799</v>
      </c>
      <c r="C15" s="276">
        <f t="shared" si="0"/>
        <v>66989.51999999999</v>
      </c>
      <c r="D15" s="20">
        <f>'DOE25'!L208+'DOE25'!L226+'DOE25'!L244-F15-G15-H15</f>
        <v>66989.51999999999</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7313.69</v>
      </c>
      <c r="D29" s="284">
        <f>'DOE25'!L358+'DOE25'!L359+'DOE25'!L360-'DOE25'!I367-F29-G29-H29</f>
        <v>7313.69</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5817.51</v>
      </c>
      <c r="D31" s="20">
        <f>'DOE25'!L290+'DOE25'!L309+'DOE25'!L328+'DOE25'!L333+'DOE25'!L334+'DOE25'!L335-F31-G31-H31</f>
        <v>5817.51</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1140507.1499999999</v>
      </c>
      <c r="E33" s="245">
        <f t="shared" si="1"/>
        <v>132242.20000000001</v>
      </c>
      <c r="F33" s="245">
        <f t="shared" si="1"/>
        <v>0</v>
      </c>
      <c r="G33" s="245">
        <f t="shared" si="1"/>
        <v>898.27</v>
      </c>
      <c r="H33" s="245">
        <f t="shared" si="1"/>
        <v>13021.62</v>
      </c>
      <c r="I33" s="245">
        <f t="shared" si="1"/>
        <v>0</v>
      </c>
    </row>
    <row r="35" spans="1:9" ht="12" thickBot="1" x14ac:dyDescent="0.25">
      <c r="B35" s="251" t="s">
        <v>831</v>
      </c>
      <c r="D35" s="252">
        <f>E33</f>
        <v>132242.20000000001</v>
      </c>
      <c r="E35" s="248"/>
    </row>
    <row r="36" spans="1:9" ht="12" thickTop="1" x14ac:dyDescent="0.2">
      <c r="B36" t="s">
        <v>810</v>
      </c>
      <c r="D36" s="20">
        <f>D33</f>
        <v>1140507.1499999999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4"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D38" sqref="D38"/>
    </sheetView>
  </sheetViews>
  <sheetFormatPr defaultColWidth="8.83203125" defaultRowHeight="11.25" x14ac:dyDescent="0.2"/>
  <cols>
    <col min="1" max="1" width="35.83203125" customWidth="1"/>
    <col min="2" max="2" width="22.1640625" customWidth="1"/>
    <col min="3" max="3" width="22" customWidth="1"/>
    <col min="4" max="5" width="14.83203125" customWidth="1"/>
    <col min="6" max="6" width="12.83203125" customWidth="1"/>
    <col min="7" max="7" width="23.83203125" customWidth="1"/>
    <col min="8" max="8" width="19.1640625" customWidth="1"/>
    <col min="9" max="9" width="42.1640625" customWidth="1"/>
    <col min="13" max="13" width="11.83203125" customWidth="1"/>
    <col min="14" max="14" width="19.5" style="32" customWidth="1"/>
    <col min="15" max="15" width="19.5" customWidth="1"/>
    <col min="16" max="16" width="31.83203125" customWidth="1"/>
    <col min="17" max="17" width="16.83203125" customWidth="1"/>
  </cols>
  <sheetData>
    <row r="1" spans="1:18" x14ac:dyDescent="0.2">
      <c r="A1" s="126" t="s">
        <v>912</v>
      </c>
      <c r="B1" s="126" t="s">
        <v>913</v>
      </c>
      <c r="C1" s="126"/>
      <c r="D1" s="322" t="s">
        <v>1609</v>
      </c>
      <c r="E1" s="126"/>
      <c r="F1" s="126"/>
      <c r="G1" s="126"/>
      <c r="H1" s="126"/>
    </row>
    <row r="2" spans="1:18" ht="12" thickBot="1" x14ac:dyDescent="0.25">
      <c r="A2" s="295" t="str">
        <f>'DOE25'!A2</f>
        <v>Croydon</v>
      </c>
      <c r="B2" s="126">
        <f>'DOE25'!B2</f>
        <v>117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637298.07000000007</v>
      </c>
      <c r="G4" s="303">
        <f>'DOE25'!L211+'DOE25'!L290</f>
        <v>637298.07000000007</v>
      </c>
      <c r="H4" s="304">
        <f>F4-G4</f>
        <v>0</v>
      </c>
      <c r="I4" s="310" t="str">
        <f>IF(H4=0,"","Does not match DOE25 page 7 and 11 Totals!!")</f>
        <v/>
      </c>
      <c r="N4"/>
    </row>
    <row r="5" spans="1:18" x14ac:dyDescent="0.2">
      <c r="A5" s="21" t="s">
        <v>1013</v>
      </c>
      <c r="B5" s="305">
        <f>IFERROR(VLOOKUP(A5,'School Tables'!$C$3:$D$368,2,FALSE),"")</f>
        <v>21960</v>
      </c>
      <c r="C5" s="297" t="str">
        <f>IFERROR(INDEX('School Tables'!$B$3:$B$368,MATCH('School Level Expenditures'!B5,'School Tables'!$D$3:$D$368,0)),"")</f>
        <v>Croydon</v>
      </c>
      <c r="D5" s="294">
        <f>+'DOE25'!L211</f>
        <v>631480.56000000006</v>
      </c>
      <c r="E5" s="294">
        <f>+'DOE25'!L290</f>
        <v>5817.51</v>
      </c>
      <c r="F5" s="313">
        <f>D5+E5</f>
        <v>637298.07000000007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204943.26</v>
      </c>
      <c r="G24" s="303">
        <f>'DOE25'!L229+'DOE25'!L309</f>
        <v>204943.26</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204943.26</v>
      </c>
      <c r="E25" s="294"/>
      <c r="F25" s="308">
        <f>D25+E25</f>
        <v>204943.26</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437114.22</v>
      </c>
      <c r="G36" s="303">
        <f>'DOE25'!L247+'DOE25'!L328</f>
        <v>437114.22</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437114.22</v>
      </c>
      <c r="E37" s="294"/>
      <c r="F37" s="308">
        <f>D37+E37</f>
        <v>437114.22</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ColWidth="8.83203125" defaultRowHeight="11.25" x14ac:dyDescent="0.2"/>
  <cols>
    <col min="1" max="1" width="52.83203125" customWidth="1"/>
    <col min="2" max="2" width="16.83203125" customWidth="1"/>
    <col min="3" max="3" width="19" customWidth="1"/>
    <col min="4" max="4" width="19.5" customWidth="1"/>
    <col min="5" max="5" width="20.832031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Croydon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15237.27</v>
      </c>
      <c r="D8" s="95">
        <f>'DOE25'!G9</f>
        <v>0</v>
      </c>
      <c r="E8" s="95">
        <f>'DOE25'!H9</f>
        <v>11599</v>
      </c>
      <c r="F8" s="95">
        <f>'DOE25'!I9</f>
        <v>0</v>
      </c>
      <c r="G8" s="95">
        <f>'DOE25'!J9</f>
        <v>172341.72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210.55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15447.82</v>
      </c>
      <c r="D18" s="41">
        <f>SUM(D8:D17)</f>
        <v>0</v>
      </c>
      <c r="E18" s="41">
        <f>SUM(E8:E17)</f>
        <v>11599</v>
      </c>
      <c r="F18" s="41">
        <f>SUM(F8:F17)</f>
        <v>0</v>
      </c>
      <c r="G18" s="41">
        <f>SUM(G8:G17)</f>
        <v>172341.72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11599</v>
      </c>
      <c r="D21" s="95">
        <f>'DOE25'!G22</f>
        <v>0</v>
      </c>
      <c r="E21" s="95">
        <f>'DOE25'!H22</f>
        <v>0</v>
      </c>
      <c r="F21" s="95">
        <f>'DOE25'!I22</f>
        <v>0</v>
      </c>
      <c r="G21" s="95">
        <f>'DOE25'!J22</f>
        <v>0</v>
      </c>
      <c r="H21" s="124"/>
      <c r="I21" s="124"/>
    </row>
    <row r="22" spans="1:9" x14ac:dyDescent="0.2">
      <c r="A22" s="1" t="s">
        <v>151</v>
      </c>
      <c r="B22" s="6">
        <v>410</v>
      </c>
      <c r="C22" s="95">
        <f>'DOE25'!F23</f>
        <v>22894.35</v>
      </c>
      <c r="D22" s="95">
        <f>'DOE25'!G23</f>
        <v>0</v>
      </c>
      <c r="E22" s="95">
        <f>'DOE25'!H23</f>
        <v>0</v>
      </c>
      <c r="F22" s="95">
        <f>'DOE25'!I23</f>
        <v>0</v>
      </c>
      <c r="G22" s="95">
        <f>'DOE25'!J23</f>
        <v>0</v>
      </c>
      <c r="H22" s="124"/>
      <c r="I22" s="124"/>
    </row>
    <row r="23" spans="1:9" x14ac:dyDescent="0.2">
      <c r="A23" s="1" t="s">
        <v>152</v>
      </c>
      <c r="B23" s="6">
        <v>420</v>
      </c>
      <c r="C23" s="95">
        <f>'DOE25'!F24</f>
        <v>1907.37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5030.57</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11599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41431.29</v>
      </c>
      <c r="D31" s="41">
        <f>SUM(D21:D30)</f>
        <v>0</v>
      </c>
      <c r="E31" s="41">
        <f>SUM(E21:E30)</f>
        <v>11599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210.55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172341.72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-26194.02</v>
      </c>
      <c r="D49" s="24" t="s">
        <v>288</v>
      </c>
      <c r="E49" s="24" t="s">
        <v>288</v>
      </c>
      <c r="F49" s="24" t="s">
        <v>288</v>
      </c>
      <c r="G49" s="24" t="s">
        <v>288</v>
      </c>
      <c r="H49" s="124"/>
      <c r="I49" s="124"/>
    </row>
    <row r="50" spans="1:9" ht="12.75" thickTop="1" thickBot="1" x14ac:dyDescent="0.25">
      <c r="A50" s="38" t="s">
        <v>884</v>
      </c>
      <c r="B50" s="48"/>
      <c r="C50" s="41">
        <f>SUM(C34:C49)</f>
        <v>-25983.47</v>
      </c>
      <c r="D50" s="41">
        <f>SUM(D34:D49)</f>
        <v>0</v>
      </c>
      <c r="E50" s="41">
        <f>SUM(E34:E49)</f>
        <v>0</v>
      </c>
      <c r="F50" s="41">
        <f>SUM(F34:F49)</f>
        <v>0</v>
      </c>
      <c r="G50" s="41">
        <f>SUM(G34:G49)</f>
        <v>172341.72</v>
      </c>
      <c r="H50" s="124"/>
      <c r="I50" s="124"/>
    </row>
    <row r="51" spans="1:9" ht="12" thickTop="1" x14ac:dyDescent="0.2">
      <c r="A51" s="38" t="s">
        <v>885</v>
      </c>
      <c r="B51" s="2"/>
      <c r="C51" s="41">
        <f>C50+C31</f>
        <v>15447.82</v>
      </c>
      <c r="D51" s="41">
        <f>D50+D31</f>
        <v>0</v>
      </c>
      <c r="E51" s="41">
        <f>E50+E31</f>
        <v>11599</v>
      </c>
      <c r="F51" s="41">
        <f>F50+F31</f>
        <v>0</v>
      </c>
      <c r="G51" s="41">
        <f>G50+G31</f>
        <v>172341.72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700299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3637.73</v>
      </c>
      <c r="H59"/>
      <c r="I59"/>
    </row>
    <row r="60" spans="1:9" x14ac:dyDescent="0.2">
      <c r="A60" s="1" t="s">
        <v>170</v>
      </c>
      <c r="B60" s="118" t="s">
        <v>171</v>
      </c>
      <c r="C60" s="24" t="s">
        <v>288</v>
      </c>
      <c r="D60" s="95">
        <f>'DOE25'!G97</f>
        <v>2221.9699999999998</v>
      </c>
      <c r="E60" s="24" t="s">
        <v>288</v>
      </c>
      <c r="F60" s="24" t="s">
        <v>288</v>
      </c>
      <c r="G60" s="24" t="s">
        <v>288</v>
      </c>
      <c r="H60"/>
      <c r="I60"/>
    </row>
    <row r="61" spans="1:9" ht="12" thickBot="1" x14ac:dyDescent="0.25">
      <c r="A61" s="1" t="s">
        <v>172</v>
      </c>
      <c r="B61" s="118" t="s">
        <v>173</v>
      </c>
      <c r="C61" s="95">
        <f>SUM('DOE25'!F98:F110)</f>
        <v>28.12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28.12</v>
      </c>
      <c r="D62" s="130">
        <f>SUM(D57:D61)</f>
        <v>2221.9699999999998</v>
      </c>
      <c r="E62" s="130">
        <f>SUM(E57:E61)</f>
        <v>0</v>
      </c>
      <c r="F62" s="130">
        <f>SUM(F57:F61)</f>
        <v>0</v>
      </c>
      <c r="G62" s="130">
        <f>SUM(G57:G61)</f>
        <v>3637.73</v>
      </c>
      <c r="H62"/>
      <c r="I62"/>
    </row>
    <row r="63" spans="1:9" ht="12" thickTop="1" x14ac:dyDescent="0.2">
      <c r="A63" s="29" t="s">
        <v>175</v>
      </c>
      <c r="B63" s="6"/>
      <c r="C63" s="22">
        <f>C56+C62</f>
        <v>700327.12</v>
      </c>
      <c r="D63" s="22">
        <f>D56+D62</f>
        <v>2221.9699999999998</v>
      </c>
      <c r="E63" s="22">
        <f>E56+E62</f>
        <v>0</v>
      </c>
      <c r="F63" s="22">
        <f>F56+F62</f>
        <v>0</v>
      </c>
      <c r="G63" s="22">
        <f>G56+G62</f>
        <v>3637.73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314955.36</v>
      </c>
      <c r="D66" s="24" t="s">
        <v>288</v>
      </c>
      <c r="E66" s="24" t="s">
        <v>288</v>
      </c>
      <c r="F66" s="24" t="s">
        <v>288</v>
      </c>
      <c r="G66" s="24" t="s">
        <v>288</v>
      </c>
      <c r="H66"/>
      <c r="I66"/>
    </row>
    <row r="67" spans="1:9" x14ac:dyDescent="0.2">
      <c r="A67" s="1" t="s">
        <v>770</v>
      </c>
      <c r="B67" s="6">
        <v>3112</v>
      </c>
      <c r="C67" s="95">
        <f>'DOE25'!F118</f>
        <v>180579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495534.36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4400</v>
      </c>
      <c r="D74" s="24"/>
      <c r="E74" s="24"/>
      <c r="F74" s="24"/>
      <c r="G74" s="24"/>
      <c r="H74"/>
      <c r="I74"/>
    </row>
    <row r="75" spans="1:9" x14ac:dyDescent="0.2">
      <c r="A75" s="1" t="s">
        <v>256</v>
      </c>
      <c r="B75" s="6">
        <v>3230</v>
      </c>
      <c r="C75" s="95">
        <f>'DOE25'!F126</f>
        <v>18620.53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23020.53</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518554.89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233.47</v>
      </c>
      <c r="D88" s="95">
        <f>SUM('DOE25'!G153:G161)</f>
        <v>0</v>
      </c>
      <c r="E88" s="95">
        <f>SUM('DOE25'!H153:H161)</f>
        <v>5817.51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233.47</v>
      </c>
      <c r="D91" s="131">
        <f>SUM(D85:D90)</f>
        <v>0</v>
      </c>
      <c r="E91" s="131">
        <f>SUM(E85:E90)</f>
        <v>5817.51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7948.31</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117079.69</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117079.69</v>
      </c>
      <c r="D103" s="86">
        <f>SUM(D93:D102)</f>
        <v>7948.31</v>
      </c>
      <c r="E103" s="86">
        <f>SUM(E93:E102)</f>
        <v>0</v>
      </c>
      <c r="F103" s="86">
        <f>SUM(F93:F102)</f>
        <v>0</v>
      </c>
      <c r="G103" s="86">
        <f>SUM(G93:G102)</f>
        <v>0</v>
      </c>
    </row>
    <row r="104" spans="1:7" ht="12.75" thickTop="1" thickBot="1" x14ac:dyDescent="0.25">
      <c r="A104" s="33" t="s">
        <v>761</v>
      </c>
      <c r="C104" s="86">
        <f>C63+C81+C91+C103</f>
        <v>1336195.17</v>
      </c>
      <c r="D104" s="86">
        <f>D63+D81+D91+D103</f>
        <v>10170.280000000001</v>
      </c>
      <c r="E104" s="86">
        <f>E63+E81+E91+E103</f>
        <v>5817.51</v>
      </c>
      <c r="F104" s="86">
        <f>F63+F81+F91+F103</f>
        <v>0</v>
      </c>
      <c r="G104" s="86">
        <f>G63+G81+G103</f>
        <v>3637.73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884048.3</v>
      </c>
      <c r="D109" s="24" t="s">
        <v>288</v>
      </c>
      <c r="E109" s="95">
        <f>('DOE25'!L276)+('DOE25'!L295)+('DOE25'!L314)</f>
        <v>5817.51</v>
      </c>
      <c r="F109" s="24" t="s">
        <v>288</v>
      </c>
      <c r="G109" s="24" t="s">
        <v>288</v>
      </c>
    </row>
    <row r="110" spans="1:7" x14ac:dyDescent="0.2">
      <c r="A110" t="s">
        <v>198</v>
      </c>
      <c r="B110" s="32" t="s">
        <v>199</v>
      </c>
      <c r="C110" s="95">
        <f>('DOE25'!L198)+('DOE25'!L216)+('DOE25'!L234)</f>
        <v>117520.22000000002</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1001568.52</v>
      </c>
      <c r="D115" s="86">
        <f>SUM(D109:D114)</f>
        <v>0</v>
      </c>
      <c r="E115" s="86">
        <f>SUM(E109:E114)</f>
        <v>5817.51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1995</v>
      </c>
      <c r="D118" s="24" t="s">
        <v>288</v>
      </c>
      <c r="E118" s="95">
        <f>+('DOE25'!L281)+('DOE25'!L300)+('DOE25'!L319)</f>
        <v>0</v>
      </c>
      <c r="F118" s="24" t="s">
        <v>288</v>
      </c>
      <c r="G118" s="24" t="s">
        <v>288</v>
      </c>
    </row>
    <row r="119" spans="1:7" x14ac:dyDescent="0.2">
      <c r="A119" t="s">
        <v>208</v>
      </c>
      <c r="B119" s="32" t="s">
        <v>209</v>
      </c>
      <c r="C119" s="95">
        <f>('DOE25'!L203)+('DOE25'!L221)+('DOE25'!L239)</f>
        <v>990</v>
      </c>
      <c r="D119" s="24" t="s">
        <v>288</v>
      </c>
      <c r="E119" s="95">
        <f>+('DOE25'!L282)+('DOE25'!L301)+('DOE25'!L320)</f>
        <v>0</v>
      </c>
      <c r="F119" s="24" t="s">
        <v>288</v>
      </c>
      <c r="G119" s="24" t="s">
        <v>288</v>
      </c>
    </row>
    <row r="120" spans="1:7" x14ac:dyDescent="0.2">
      <c r="A120" t="s">
        <v>210</v>
      </c>
      <c r="B120" s="32" t="s">
        <v>211</v>
      </c>
      <c r="C120" s="95">
        <f>('DOE25'!L204)+('DOE25'!L222)+('DOE25'!L240)</f>
        <v>145263.82</v>
      </c>
      <c r="D120" s="24" t="s">
        <v>288</v>
      </c>
      <c r="E120" s="95">
        <f>+('DOE25'!L283)+('DOE25'!L302)+('DOE25'!L321)</f>
        <v>0</v>
      </c>
      <c r="F120" s="24" t="s">
        <v>288</v>
      </c>
      <c r="G120" s="24" t="s">
        <v>288</v>
      </c>
    </row>
    <row r="121" spans="1:7" x14ac:dyDescent="0.2">
      <c r="A121" t="s">
        <v>212</v>
      </c>
      <c r="B121" s="32" t="s">
        <v>213</v>
      </c>
      <c r="C121" s="95">
        <f>('DOE25'!L205)+('DOE25'!L223)+('DOE25'!L241)</f>
        <v>34469.279999999999</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22261.9</v>
      </c>
      <c r="D123" s="24" t="s">
        <v>288</v>
      </c>
      <c r="E123" s="95">
        <f>+('DOE25'!L286)+('DOE25'!L305)+('DOE25'!L324)</f>
        <v>0</v>
      </c>
      <c r="F123" s="24" t="s">
        <v>288</v>
      </c>
      <c r="G123" s="24" t="s">
        <v>288</v>
      </c>
    </row>
    <row r="124" spans="1:7" x14ac:dyDescent="0.2">
      <c r="A124" t="s">
        <v>218</v>
      </c>
      <c r="B124" s="32" t="s">
        <v>219</v>
      </c>
      <c r="C124" s="95">
        <f>('DOE25'!L208)+('DOE25'!L226)+('DOE25'!L244+'DOE25'!L254)</f>
        <v>66989.51999999999</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7313.69</v>
      </c>
      <c r="E127" s="24" t="s">
        <v>288</v>
      </c>
      <c r="F127" s="24" t="s">
        <v>288</v>
      </c>
      <c r="G127" s="24" t="s">
        <v>288</v>
      </c>
    </row>
    <row r="128" spans="1:7" ht="12.75" thickTop="1" thickBot="1" x14ac:dyDescent="0.25">
      <c r="A128" s="33" t="s">
        <v>226</v>
      </c>
      <c r="C128" s="86">
        <f>SUM(C118:C127)</f>
        <v>271969.52</v>
      </c>
      <c r="D128" s="86">
        <f>SUM(D118:D127)</f>
        <v>7313.69</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117079.69</v>
      </c>
    </row>
    <row r="135" spans="1:7" x14ac:dyDescent="0.2">
      <c r="A135" t="s">
        <v>233</v>
      </c>
      <c r="B135" s="32" t="s">
        <v>234</v>
      </c>
      <c r="C135" s="95">
        <f>'DOE25'!L263</f>
        <v>7948.31</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3637.73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-3637.73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7948.3100000000013</v>
      </c>
      <c r="D144" s="141">
        <f>SUM(D130:D143)</f>
        <v>0</v>
      </c>
      <c r="E144" s="141">
        <f>SUM(E130:E143)</f>
        <v>0</v>
      </c>
      <c r="F144" s="141">
        <f>SUM(F130:F143)</f>
        <v>0</v>
      </c>
      <c r="G144" s="141">
        <f>SUM(G130:G143)</f>
        <v>117079.69</v>
      </c>
    </row>
    <row r="145" spans="1:9" ht="12.75" thickTop="1" thickBot="1" x14ac:dyDescent="0.25">
      <c r="A145" s="33" t="s">
        <v>244</v>
      </c>
      <c r="C145" s="86">
        <f>(C115+C128+C144)</f>
        <v>1281486.3500000001</v>
      </c>
      <c r="D145" s="86">
        <f>(D115+D128+D144)</f>
        <v>7313.69</v>
      </c>
      <c r="E145" s="86">
        <f>(E115+E128+E144)</f>
        <v>5817.51</v>
      </c>
      <c r="F145" s="86">
        <f>(F115+F128+F144)</f>
        <v>0</v>
      </c>
      <c r="G145" s="86">
        <f>(G115+G128+G144)</f>
        <v>117079.69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ColWidth="8.83203125" defaultRowHeight="11.25" x14ac:dyDescent="0.2"/>
  <cols>
    <col min="1" max="1" width="14.1640625" customWidth="1"/>
    <col min="2" max="2" width="49" bestFit="1" customWidth="1"/>
    <col min="3" max="3" width="12.1640625" bestFit="1" customWidth="1"/>
    <col min="4" max="4" width="10.1640625" customWidth="1"/>
  </cols>
  <sheetData>
    <row r="1" spans="1:4" ht="18" x14ac:dyDescent="0.25">
      <c r="A1" s="332" t="s">
        <v>736</v>
      </c>
      <c r="B1" s="332"/>
      <c r="C1" s="332"/>
      <c r="D1" s="332"/>
    </row>
    <row r="2" spans="1:4" x14ac:dyDescent="0.2">
      <c r="A2" s="187" t="s">
        <v>713</v>
      </c>
      <c r="B2" s="186" t="str">
        <f>'DOE25'!A2</f>
        <v>Croydon</v>
      </c>
    </row>
    <row r="3" spans="1:4" x14ac:dyDescent="0.2">
      <c r="B3" s="188" t="s">
        <v>1602</v>
      </c>
    </row>
    <row r="4" spans="1:4" x14ac:dyDescent="0.2">
      <c r="B4" t="s">
        <v>61</v>
      </c>
      <c r="C4" s="179">
        <f>IF('DOE25'!F665+'DOE25'!F670=0,0,ROUND('DOE25'!F672,0))</f>
        <v>14437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14437</v>
      </c>
    </row>
    <row r="9" spans="1:4" x14ac:dyDescent="0.2">
      <c r="A9" s="187" t="s">
        <v>94</v>
      </c>
      <c r="B9" s="188" t="s">
        <v>1603</v>
      </c>
      <c r="C9" s="181" t="s">
        <v>720</v>
      </c>
      <c r="D9" s="181" t="s">
        <v>721</v>
      </c>
    </row>
    <row r="10" spans="1:4" x14ac:dyDescent="0.2">
      <c r="A10">
        <v>1100</v>
      </c>
      <c r="B10" t="s">
        <v>702</v>
      </c>
      <c r="C10" s="179">
        <f>ROUND('DOE25'!L197+'DOE25'!L215+'DOE25'!L233+'DOE25'!L276+'DOE25'!L295+'DOE25'!L314,0)</f>
        <v>889866</v>
      </c>
      <c r="D10" s="182">
        <f>ROUND((C10/$C$28)*100,1)</f>
        <v>69.3</v>
      </c>
    </row>
    <row r="11" spans="1:4" x14ac:dyDescent="0.2">
      <c r="A11">
        <v>1200</v>
      </c>
      <c r="B11" t="s">
        <v>703</v>
      </c>
      <c r="C11" s="179">
        <f>ROUND('DOE25'!L198+'DOE25'!L216+'DOE25'!L234+'DOE25'!L277+'DOE25'!L296+'DOE25'!L315,0)</f>
        <v>117520</v>
      </c>
      <c r="D11" s="182">
        <f>ROUND((C11/$C$28)*100,1)</f>
        <v>9.1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1995</v>
      </c>
      <c r="D15" s="182">
        <f t="shared" ref="D15:D27" si="0">ROUND((C15/$C$28)*100,1)</f>
        <v>0.2</v>
      </c>
    </row>
    <row r="16" spans="1:4" x14ac:dyDescent="0.2">
      <c r="A16">
        <v>2200</v>
      </c>
      <c r="B16" t="s">
        <v>707</v>
      </c>
      <c r="C16" s="179">
        <f>ROUND('DOE25'!L203+'DOE25'!L221+'DOE25'!L239+'DOE25'!L282+'DOE25'!L301+'DOE25'!L320,0)</f>
        <v>990</v>
      </c>
      <c r="D16" s="182">
        <f t="shared" si="0"/>
        <v>0.1</v>
      </c>
    </row>
    <row r="17" spans="1:4" x14ac:dyDescent="0.2">
      <c r="A17" s="183" t="s">
        <v>723</v>
      </c>
      <c r="B17" t="s">
        <v>738</v>
      </c>
      <c r="C17" s="179">
        <f>ROUND('DOE25'!L204+'DOE25'!L209+'DOE25'!L222+'DOE25'!L227+'DOE25'!L240+'DOE25'!L245+'DOE25'!L283+'DOE25'!L288+'DOE25'!L302+'DOE25'!L307+'DOE25'!L321+'DOE25'!L326,0)</f>
        <v>145264</v>
      </c>
      <c r="D17" s="182">
        <f t="shared" si="0"/>
        <v>11.3</v>
      </c>
    </row>
    <row r="18" spans="1:4" x14ac:dyDescent="0.2">
      <c r="A18">
        <v>2400</v>
      </c>
      <c r="B18" t="s">
        <v>711</v>
      </c>
      <c r="C18" s="179">
        <f>ROUND('DOE25'!L205+'DOE25'!L223+'DOE25'!L241+'DOE25'!L284+'DOE25'!L303+'DOE25'!L322,0)</f>
        <v>34469</v>
      </c>
      <c r="D18" s="182">
        <f t="shared" si="0"/>
        <v>2.7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22262</v>
      </c>
      <c r="D20" s="182">
        <f t="shared" si="0"/>
        <v>1.7</v>
      </c>
    </row>
    <row r="21" spans="1:4" x14ac:dyDescent="0.2">
      <c r="A21">
        <v>2700</v>
      </c>
      <c r="B21" t="s">
        <v>710</v>
      </c>
      <c r="C21" s="179">
        <f>ROUND('DOE25'!L208+'DOE25'!L226+'DOE25'!L244+'DOE25'!L287+'DOE25'!L306+'DOE25'!L325,0)</f>
        <v>66990</v>
      </c>
      <c r="D21" s="182">
        <f t="shared" si="0"/>
        <v>5.2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5092.0300000000007</v>
      </c>
      <c r="D27" s="182">
        <f t="shared" si="0"/>
        <v>0.4</v>
      </c>
    </row>
    <row r="28" spans="1:4" x14ac:dyDescent="0.2">
      <c r="B28" s="187" t="s">
        <v>719</v>
      </c>
      <c r="C28" s="180">
        <f>SUM(C10:C27)</f>
        <v>1284448.03</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1284448.03</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700299</v>
      </c>
      <c r="D35" s="182">
        <f t="shared" ref="D35:D40" si="1">ROUND((C35/$C$41)*100,1)</f>
        <v>57</v>
      </c>
    </row>
    <row r="36" spans="1:4" x14ac:dyDescent="0.2">
      <c r="B36" s="185" t="s">
        <v>739</v>
      </c>
      <c r="C36" s="179">
        <f>SUM('DOE25'!F112:J112)-SUM('DOE25'!G97:G110)+('DOE25'!F174+'DOE25'!F175+'DOE25'!I174+'DOE25'!I175)-C35</f>
        <v>3665.8499999999767</v>
      </c>
      <c r="D36" s="182">
        <f t="shared" si="1"/>
        <v>0.3</v>
      </c>
    </row>
    <row r="37" spans="1:4" x14ac:dyDescent="0.2">
      <c r="A37" s="183" t="s">
        <v>835</v>
      </c>
      <c r="B37" s="185" t="s">
        <v>728</v>
      </c>
      <c r="C37" s="179">
        <f>ROUND('DOE25'!F117+'DOE25'!F118,0)</f>
        <v>495534</v>
      </c>
      <c r="D37" s="182">
        <f t="shared" si="1"/>
        <v>40.299999999999997</v>
      </c>
    </row>
    <row r="38" spans="1:4" x14ac:dyDescent="0.2">
      <c r="A38" s="183" t="s">
        <v>734</v>
      </c>
      <c r="B38" s="185" t="s">
        <v>729</v>
      </c>
      <c r="C38" s="179">
        <f>ROUND(SUM('DOE25'!F140:J140)-SUM('DOE25'!F117:F119),0)</f>
        <v>23021</v>
      </c>
      <c r="D38" s="182">
        <f t="shared" si="1"/>
        <v>1.9</v>
      </c>
    </row>
    <row r="39" spans="1:4" x14ac:dyDescent="0.2">
      <c r="A39">
        <v>4000</v>
      </c>
      <c r="B39" s="185" t="s">
        <v>730</v>
      </c>
      <c r="C39" s="179">
        <f>ROUND('DOE25'!F169+'DOE25'!G169+'DOE25'!H169+'DOE25'!I169,0)</f>
        <v>6051</v>
      </c>
      <c r="D39" s="182">
        <f t="shared" si="1"/>
        <v>0.5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1228570.8500000001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4" sqref="C14:M14"/>
    </sheetView>
  </sheetViews>
  <sheetFormatPr defaultColWidth="8.83203125" defaultRowHeight="11.25" x14ac:dyDescent="0.2"/>
  <cols>
    <col min="1" max="1" width="10.16406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Croydon</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t="s">
        <v>286</v>
      </c>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t="s">
        <v>286</v>
      </c>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t="s">
        <v>286</v>
      </c>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ColWidth="8.83203125" defaultRowHeight="11.25" x14ac:dyDescent="0.2"/>
  <cols>
    <col min="2" max="2" width="54.1640625" bestFit="1" customWidth="1"/>
    <col min="3" max="3" width="53.83203125" bestFit="1" customWidth="1"/>
    <col min="4" max="4" width="10.1640625" customWidth="1"/>
    <col min="5" max="5" width="13.1640625" customWidth="1"/>
    <col min="8" max="8" width="41.83203125" bestFit="1" customWidth="1"/>
    <col min="9" max="9" width="43.1640625" bestFit="1" customWidth="1"/>
    <col min="11" max="11" width="13.83203125" customWidth="1"/>
    <col min="14" max="14" width="41.83203125" bestFit="1" customWidth="1"/>
    <col min="15" max="15" width="51.16406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2019-11-20T13:54:19Z</cp:lastPrinted>
  <dcterms:created xsi:type="dcterms:W3CDTF">1997-12-04T19:04:30Z</dcterms:created>
  <dcterms:modified xsi:type="dcterms:W3CDTF">2019-11-22T14:33:11Z</dcterms:modified>
</cp:coreProperties>
</file>