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18870" windowHeight="7725"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 i="14" l="1"/>
  <c r="D25" i="14" l="1"/>
  <c r="D7" i="14"/>
  <c r="I604" i="1" l="1"/>
  <c r="H604" i="1"/>
  <c r="F473" i="1"/>
  <c r="F472" i="1"/>
  <c r="J227" i="1"/>
  <c r="J209" i="1"/>
  <c r="D6" i="14" l="1"/>
  <c r="D5" i="14"/>
  <c r="E7" i="14"/>
  <c r="E6" i="14"/>
  <c r="E5" i="14"/>
  <c r="E8" i="14"/>
  <c r="D11" i="13" l="1"/>
  <c r="D9" i="13"/>
  <c r="I468" i="1" l="1"/>
  <c r="H380" i="1" l="1"/>
  <c r="G380" i="1"/>
  <c r="F380" i="1"/>
  <c r="H379" i="1"/>
  <c r="H49" i="1" l="1"/>
  <c r="H472" i="1"/>
  <c r="G319" i="1"/>
  <c r="F319" i="1"/>
  <c r="G300" i="1"/>
  <c r="F300" i="1"/>
  <c r="G281" i="1"/>
  <c r="F281" i="1"/>
  <c r="G333" i="1" l="1"/>
  <c r="F333" i="1"/>
  <c r="G12" i="1" l="1"/>
  <c r="G40" i="1"/>
  <c r="G472" i="1"/>
  <c r="J321" i="1" l="1"/>
  <c r="J604" i="1"/>
  <c r="I602" i="1"/>
  <c r="G13" i="1" l="1"/>
  <c r="H538" i="1" l="1"/>
  <c r="H537" i="1"/>
  <c r="H536" i="1"/>
  <c r="B39" i="12"/>
  <c r="C39" i="12"/>
  <c r="F15" i="13"/>
  <c r="F16" i="13"/>
  <c r="F8" i="13"/>
  <c r="F14" i="13"/>
  <c r="F29" i="13"/>
  <c r="F6" i="13"/>
  <c r="H468" i="1" l="1"/>
  <c r="G97" i="1" l="1"/>
  <c r="F468" i="1"/>
  <c r="C37" i="12" l="1"/>
  <c r="C38" i="12"/>
  <c r="C28" i="12"/>
  <c r="C30" i="12"/>
  <c r="C19" i="12"/>
  <c r="C21" i="12"/>
  <c r="C20" i="12"/>
  <c r="C12" i="12"/>
  <c r="C11" i="12"/>
  <c r="C10" i="12"/>
  <c r="B37" i="12"/>
  <c r="B38" i="12"/>
  <c r="B28" i="12"/>
  <c r="B30" i="12"/>
  <c r="B19" i="12"/>
  <c r="B21" i="12"/>
  <c r="B20" i="12"/>
  <c r="B12" i="12"/>
  <c r="B11" i="12"/>
  <c r="B10" i="12"/>
  <c r="H101" i="1"/>
  <c r="H66" i="1"/>
  <c r="H98" i="1"/>
  <c r="H102" i="1"/>
  <c r="H135" i="1"/>
  <c r="H131" i="1"/>
  <c r="H159" i="1"/>
  <c r="H157" i="1"/>
  <c r="H156" i="1"/>
  <c r="H155" i="1"/>
  <c r="H154" i="1"/>
  <c r="G158" i="1"/>
  <c r="G161" i="1"/>
  <c r="G132" i="1"/>
  <c r="F118" i="1"/>
  <c r="F57" i="1"/>
  <c r="F68" i="1"/>
  <c r="F69" i="1"/>
  <c r="F59" i="1"/>
  <c r="F83" i="1"/>
  <c r="F64" i="1"/>
  <c r="F63" i="1"/>
  <c r="F185" i="1"/>
  <c r="F160" i="1"/>
  <c r="F145" i="1"/>
  <c r="F146" i="1"/>
  <c r="F128" i="1"/>
  <c r="F127" i="1"/>
  <c r="F120" i="1"/>
  <c r="F126" i="1"/>
  <c r="F123" i="1"/>
  <c r="F125" i="1"/>
  <c r="F117" i="1"/>
  <c r="F74" i="1"/>
  <c r="F70" i="1"/>
  <c r="I613" i="1" l="1"/>
  <c r="G611" i="1"/>
  <c r="F611" i="1"/>
  <c r="H584" i="1"/>
  <c r="H582" i="1"/>
  <c r="H579" i="1"/>
  <c r="G582" i="1"/>
  <c r="G579" i="1"/>
  <c r="F582" i="1"/>
  <c r="F579" i="1"/>
  <c r="H542" i="1"/>
  <c r="H541" i="1"/>
  <c r="G613" i="1"/>
  <c r="F613" i="1"/>
  <c r="I227" i="1"/>
  <c r="H208" i="1" l="1"/>
  <c r="I332" i="1"/>
  <c r="G332" i="1"/>
  <c r="F332" i="1"/>
  <c r="H332" i="1"/>
  <c r="J332" i="1"/>
  <c r="K245" i="1" l="1"/>
  <c r="K227" i="1"/>
  <c r="K209" i="1"/>
  <c r="K265" i="1"/>
  <c r="K264" i="1"/>
  <c r="K263" i="1"/>
  <c r="I240" i="1"/>
  <c r="H240" i="1"/>
  <c r="G240" i="1"/>
  <c r="J245" i="1"/>
  <c r="I245" i="1"/>
  <c r="H244" i="1"/>
  <c r="H243" i="1"/>
  <c r="I233" i="1"/>
  <c r="H245" i="1"/>
  <c r="F240" i="1"/>
  <c r="K240" i="1"/>
  <c r="J240" i="1"/>
  <c r="G245" i="1"/>
  <c r="F245" i="1"/>
  <c r="G244" i="1"/>
  <c r="F244" i="1"/>
  <c r="I243" i="1"/>
  <c r="J243" i="1"/>
  <c r="I239" i="1"/>
  <c r="K239" i="1"/>
  <c r="J239" i="1"/>
  <c r="H239" i="1"/>
  <c r="G239" i="1"/>
  <c r="F239" i="1"/>
  <c r="I238" i="1"/>
  <c r="H238" i="1"/>
  <c r="I236" i="1"/>
  <c r="H236" i="1"/>
  <c r="G236" i="1"/>
  <c r="F236" i="1"/>
  <c r="I234" i="1"/>
  <c r="H234" i="1"/>
  <c r="G234" i="1"/>
  <c r="F234" i="1"/>
  <c r="K234" i="1"/>
  <c r="J234" i="1"/>
  <c r="H233" i="1"/>
  <c r="G233" i="1"/>
  <c r="F233" i="1"/>
  <c r="I222" i="1"/>
  <c r="H222" i="1"/>
  <c r="G222" i="1"/>
  <c r="H226" i="1"/>
  <c r="H225" i="1"/>
  <c r="I215" i="1"/>
  <c r="F222" i="1"/>
  <c r="K222" i="1"/>
  <c r="J222" i="1"/>
  <c r="G227" i="1"/>
  <c r="F227" i="1"/>
  <c r="H227" i="1"/>
  <c r="G226" i="1"/>
  <c r="F226" i="1"/>
  <c r="I225" i="1"/>
  <c r="J225" i="1"/>
  <c r="I221" i="1"/>
  <c r="K221" i="1"/>
  <c r="J221" i="1"/>
  <c r="H221" i="1"/>
  <c r="G221" i="1"/>
  <c r="F221" i="1"/>
  <c r="H220" i="1"/>
  <c r="I218" i="1"/>
  <c r="H218" i="1"/>
  <c r="G218" i="1"/>
  <c r="F218" i="1"/>
  <c r="I216" i="1"/>
  <c r="H216" i="1"/>
  <c r="G216" i="1"/>
  <c r="F216" i="1"/>
  <c r="K216" i="1"/>
  <c r="J216" i="1"/>
  <c r="H215" i="1"/>
  <c r="G215" i="1"/>
  <c r="F215" i="1"/>
  <c r="I204" i="1"/>
  <c r="H204" i="1"/>
  <c r="G204" i="1"/>
  <c r="I209" i="1"/>
  <c r="H207" i="1"/>
  <c r="I197" i="1"/>
  <c r="I276" i="1"/>
  <c r="F204" i="1"/>
  <c r="K204" i="1"/>
  <c r="J204" i="1"/>
  <c r="G209" i="1"/>
  <c r="F209" i="1"/>
  <c r="H209" i="1"/>
  <c r="G208" i="1"/>
  <c r="F208" i="1"/>
  <c r="I207" i="1"/>
  <c r="J207" i="1"/>
  <c r="I203" i="1"/>
  <c r="K203" i="1"/>
  <c r="J203" i="1"/>
  <c r="H203" i="1"/>
  <c r="G203" i="1"/>
  <c r="F203" i="1"/>
  <c r="H202" i="1"/>
  <c r="I283" i="1" l="1"/>
  <c r="H283" i="1"/>
  <c r="G283" i="1"/>
  <c r="F283" i="1"/>
  <c r="J283" i="1"/>
  <c r="K288" i="1"/>
  <c r="I282" i="1"/>
  <c r="H282" i="1"/>
  <c r="G282" i="1"/>
  <c r="F282" i="1"/>
  <c r="H281" i="1"/>
  <c r="H302" i="1"/>
  <c r="G302" i="1"/>
  <c r="F302" i="1"/>
  <c r="I301" i="1"/>
  <c r="H301" i="1"/>
  <c r="G301" i="1"/>
  <c r="F301" i="1"/>
  <c r="H300" i="1"/>
  <c r="I296" i="1"/>
  <c r="H296" i="1"/>
  <c r="G296" i="1"/>
  <c r="F296" i="1"/>
  <c r="J296" i="1"/>
  <c r="I295" i="1"/>
  <c r="G295" i="1"/>
  <c r="F295" i="1"/>
  <c r="K307" i="1"/>
  <c r="I302" i="1"/>
  <c r="J302" i="1"/>
  <c r="I200" i="1"/>
  <c r="H200" i="1"/>
  <c r="G200" i="1"/>
  <c r="F200" i="1"/>
  <c r="I198" i="1"/>
  <c r="H198" i="1"/>
  <c r="G198" i="1"/>
  <c r="F198" i="1"/>
  <c r="K198" i="1"/>
  <c r="J198" i="1"/>
  <c r="H197" i="1"/>
  <c r="G197" i="1"/>
  <c r="F197" i="1"/>
  <c r="I321" i="1"/>
  <c r="H321" i="1"/>
  <c r="G321" i="1"/>
  <c r="F321" i="1"/>
  <c r="J319" i="1"/>
  <c r="K326" i="1"/>
  <c r="J315" i="1"/>
  <c r="I315" i="1"/>
  <c r="H315" i="1"/>
  <c r="G315" i="1"/>
  <c r="F315" i="1"/>
  <c r="K333" i="1"/>
  <c r="H333" i="1"/>
  <c r="J333" i="1"/>
  <c r="I333" i="1"/>
  <c r="I320" i="1"/>
  <c r="H320" i="1"/>
  <c r="G322" i="1"/>
  <c r="F322" i="1"/>
  <c r="I319" i="1"/>
  <c r="H319" i="1"/>
  <c r="J300" i="1"/>
  <c r="G303" i="1"/>
  <c r="F303" i="1"/>
  <c r="I300" i="1"/>
  <c r="J281" i="1"/>
  <c r="J277" i="1"/>
  <c r="I277" i="1"/>
  <c r="H277" i="1"/>
  <c r="G277" i="1"/>
  <c r="F277" i="1"/>
  <c r="G284" i="1"/>
  <c r="F284" i="1"/>
  <c r="I281" i="1"/>
  <c r="G320" i="1"/>
  <c r="K316" i="1"/>
  <c r="I316" i="1"/>
  <c r="H316" i="1"/>
  <c r="K320" i="1"/>
  <c r="F320" i="1"/>
  <c r="J316" i="1"/>
  <c r="G316" i="1"/>
  <c r="F316" i="1"/>
  <c r="I317" i="1"/>
  <c r="I279" i="1"/>
  <c r="G279" i="1"/>
  <c r="F279" i="1"/>
  <c r="H276" i="1"/>
  <c r="G276" i="1"/>
  <c r="F276" i="1"/>
  <c r="G238" i="1" l="1"/>
  <c r="F238" i="1"/>
  <c r="H241" i="1"/>
  <c r="I244" i="1"/>
  <c r="K241" i="1"/>
  <c r="I241" i="1"/>
  <c r="G241" i="1"/>
  <c r="F241" i="1"/>
  <c r="K236" i="1"/>
  <c r="J236" i="1"/>
  <c r="G235" i="1"/>
  <c r="F235" i="1"/>
  <c r="K235" i="1"/>
  <c r="I235" i="1"/>
  <c r="H235" i="1"/>
  <c r="J233" i="1"/>
  <c r="G223" i="1"/>
  <c r="F223" i="1"/>
  <c r="K223" i="1"/>
  <c r="I223" i="1"/>
  <c r="H223" i="1"/>
  <c r="G220" i="1"/>
  <c r="F220" i="1"/>
  <c r="J220" i="1"/>
  <c r="I220" i="1"/>
  <c r="K218" i="1"/>
  <c r="J215" i="1"/>
  <c r="J197" i="1"/>
  <c r="H205" i="1"/>
  <c r="G205" i="1"/>
  <c r="F205" i="1"/>
  <c r="K205" i="1"/>
  <c r="I205" i="1"/>
  <c r="G202" i="1"/>
  <c r="F202" i="1"/>
  <c r="I20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H662" i="1" s="1"/>
  <c r="G17" i="13"/>
  <c r="H17" i="13"/>
  <c r="L251" i="1"/>
  <c r="G18" i="13"/>
  <c r="H18" i="13"/>
  <c r="L252" i="1"/>
  <c r="D18" i="13" s="1"/>
  <c r="C18" i="13" s="1"/>
  <c r="G19" i="13"/>
  <c r="H19" i="13"/>
  <c r="L253" i="1"/>
  <c r="D19" i="13" s="1"/>
  <c r="C19" i="13" s="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E123" i="2" s="1"/>
  <c r="L306" i="1"/>
  <c r="L307" i="1"/>
  <c r="L314" i="1"/>
  <c r="L315" i="1"/>
  <c r="L316" i="1"/>
  <c r="E111" i="2" s="1"/>
  <c r="L317" i="1"/>
  <c r="L319" i="1"/>
  <c r="L320" i="1"/>
  <c r="L321" i="1"/>
  <c r="L322" i="1"/>
  <c r="L323" i="1"/>
  <c r="L324" i="1"/>
  <c r="L325" i="1"/>
  <c r="L326" i="1"/>
  <c r="L333" i="1"/>
  <c r="E114" i="2" s="1"/>
  <c r="L334" i="1"/>
  <c r="L335" i="1"/>
  <c r="L260" i="1"/>
  <c r="C131" i="2" s="1"/>
  <c r="L261" i="1"/>
  <c r="C132" i="2" s="1"/>
  <c r="L341" i="1"/>
  <c r="L342" i="1"/>
  <c r="E132" i="2" s="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G112" i="1" s="1"/>
  <c r="H79" i="1"/>
  <c r="H94" i="1"/>
  <c r="H111" i="1"/>
  <c r="I111" i="1"/>
  <c r="I112" i="1" s="1"/>
  <c r="J111" i="1"/>
  <c r="J112" i="1" s="1"/>
  <c r="F121" i="1"/>
  <c r="F136" i="1"/>
  <c r="G121" i="1"/>
  <c r="G136" i="1"/>
  <c r="H121" i="1"/>
  <c r="H136" i="1"/>
  <c r="H140" i="1" s="1"/>
  <c r="I121" i="1"/>
  <c r="I136" i="1"/>
  <c r="J121" i="1"/>
  <c r="J136" i="1"/>
  <c r="F147" i="1"/>
  <c r="F162" i="1"/>
  <c r="G147" i="1"/>
  <c r="G162" i="1"/>
  <c r="H147" i="1"/>
  <c r="H162" i="1"/>
  <c r="I147" i="1"/>
  <c r="I162" i="1"/>
  <c r="L250" i="1"/>
  <c r="C113" i="2" s="1"/>
  <c r="L332" i="1"/>
  <c r="L254" i="1"/>
  <c r="L268" i="1"/>
  <c r="L269" i="1"/>
  <c r="L349" i="1"/>
  <c r="L350" i="1"/>
  <c r="E143" i="2" s="1"/>
  <c r="I665" i="1"/>
  <c r="I670"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L537" i="1"/>
  <c r="I550"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8" i="2" s="1"/>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E31" i="2" s="1"/>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C58" i="2"/>
  <c r="E58" i="2"/>
  <c r="C59" i="2"/>
  <c r="D59" i="2"/>
  <c r="E59" i="2"/>
  <c r="F59" i="2"/>
  <c r="D60" i="2"/>
  <c r="C61" i="2"/>
  <c r="D61" i="2"/>
  <c r="E61" i="2"/>
  <c r="F61" i="2"/>
  <c r="C66" i="2"/>
  <c r="C67" i="2"/>
  <c r="C69" i="2"/>
  <c r="D69" i="2"/>
  <c r="D70" i="2" s="1"/>
  <c r="D81"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3" i="2"/>
  <c r="D115" i="2"/>
  <c r="F115" i="2"/>
  <c r="G115" i="2"/>
  <c r="F128" i="2"/>
  <c r="G128" i="2"/>
  <c r="C130"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G503" i="1"/>
  <c r="C164" i="2" s="1"/>
  <c r="H503" i="1"/>
  <c r="D164" i="2" s="1"/>
  <c r="I503" i="1"/>
  <c r="E164" i="2" s="1"/>
  <c r="J503" i="1"/>
  <c r="F164" i="2" s="1"/>
  <c r="F19" i="1"/>
  <c r="G617" i="1" s="1"/>
  <c r="G19" i="1"/>
  <c r="G618" i="1" s="1"/>
  <c r="H19" i="1"/>
  <c r="G619" i="1" s="1"/>
  <c r="I19" i="1"/>
  <c r="F32" i="1"/>
  <c r="F52" i="1" s="1"/>
  <c r="G32" i="1"/>
  <c r="G52" i="1" s="1"/>
  <c r="H618" i="1" s="1"/>
  <c r="H32" i="1"/>
  <c r="I32" i="1"/>
  <c r="H617" i="1"/>
  <c r="H51" i="1"/>
  <c r="H52" i="1" s="1"/>
  <c r="H619" i="1" s="1"/>
  <c r="I51" i="1"/>
  <c r="I52" i="1" s="1"/>
  <c r="H620" i="1" s="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I446" i="1"/>
  <c r="F452" i="1"/>
  <c r="G452" i="1"/>
  <c r="H452" i="1"/>
  <c r="F460" i="1"/>
  <c r="G460" i="1"/>
  <c r="H460" i="1"/>
  <c r="F461" i="1"/>
  <c r="G461" i="1"/>
  <c r="H461" i="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I545" i="1" s="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G565" i="1"/>
  <c r="H565" i="1"/>
  <c r="H571" i="1" s="1"/>
  <c r="I565" i="1"/>
  <c r="J565" i="1"/>
  <c r="J571" i="1" s="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25" i="1"/>
  <c r="H627" i="1"/>
  <c r="H628" i="1"/>
  <c r="H629" i="1"/>
  <c r="H630" i="1"/>
  <c r="H631" i="1"/>
  <c r="H632" i="1"/>
  <c r="H633" i="1"/>
  <c r="H635" i="1"/>
  <c r="H636" i="1"/>
  <c r="H637" i="1"/>
  <c r="H638" i="1"/>
  <c r="H639" i="1"/>
  <c r="G640" i="1"/>
  <c r="J640" i="1" s="1"/>
  <c r="H640" i="1"/>
  <c r="G641" i="1"/>
  <c r="H641" i="1"/>
  <c r="J641" i="1" s="1"/>
  <c r="G642" i="1"/>
  <c r="G643" i="1"/>
  <c r="H643" i="1"/>
  <c r="G644" i="1"/>
  <c r="J644" i="1" s="1"/>
  <c r="G645" i="1"/>
  <c r="J645" i="1" s="1"/>
  <c r="H645" i="1"/>
  <c r="G650" i="1"/>
  <c r="G651" i="1"/>
  <c r="G652" i="1"/>
  <c r="H652" i="1"/>
  <c r="G653" i="1"/>
  <c r="H653" i="1"/>
  <c r="G654" i="1"/>
  <c r="H654" i="1"/>
  <c r="H655" i="1"/>
  <c r="F192" i="1"/>
  <c r="L351" i="1"/>
  <c r="G157" i="2"/>
  <c r="G156" i="2"/>
  <c r="G62" i="2"/>
  <c r="J617" i="1"/>
  <c r="L427" i="1"/>
  <c r="J639" i="1"/>
  <c r="L433" i="1"/>
  <c r="L419" i="1"/>
  <c r="I169" i="1"/>
  <c r="J643" i="1"/>
  <c r="J476" i="1"/>
  <c r="H626" i="1" s="1"/>
  <c r="J140" i="1"/>
  <c r="F571" i="1"/>
  <c r="L401" i="1"/>
  <c r="C139" i="2" s="1"/>
  <c r="L560" i="1"/>
  <c r="G192" i="1"/>
  <c r="J655" i="1"/>
  <c r="I571" i="1"/>
  <c r="G36" i="2"/>
  <c r="I476" i="1" l="1"/>
  <c r="H625" i="1" s="1"/>
  <c r="J625" i="1" s="1"/>
  <c r="H476" i="1"/>
  <c r="H624" i="1" s="1"/>
  <c r="J624" i="1" s="1"/>
  <c r="L256" i="1"/>
  <c r="I369" i="1"/>
  <c r="H634" i="1" s="1"/>
  <c r="J634" i="1" s="1"/>
  <c r="K605" i="1"/>
  <c r="G648" i="1" s="1"/>
  <c r="J623" i="1"/>
  <c r="D31" i="2"/>
  <c r="D18" i="2"/>
  <c r="K545" i="1"/>
  <c r="K551" i="1"/>
  <c r="F476" i="1"/>
  <c r="H622" i="1" s="1"/>
  <c r="J622" i="1" s="1"/>
  <c r="C32" i="10"/>
  <c r="L529" i="1"/>
  <c r="G552" i="1"/>
  <c r="H112" i="1"/>
  <c r="H193" i="1" s="1"/>
  <c r="G629" i="1" s="1"/>
  <c r="J629" i="1" s="1"/>
  <c r="E78" i="2"/>
  <c r="E81" i="2" s="1"/>
  <c r="H169" i="1"/>
  <c r="D91" i="2"/>
  <c r="D62" i="2"/>
  <c r="D63" i="2" s="1"/>
  <c r="C70" i="2"/>
  <c r="L362" i="1"/>
  <c r="G635" i="1" s="1"/>
  <c r="J635" i="1" s="1"/>
  <c r="H661" i="1"/>
  <c r="G545" i="1"/>
  <c r="H552" i="1"/>
  <c r="J552" i="1"/>
  <c r="K550" i="1"/>
  <c r="H545" i="1"/>
  <c r="K598" i="1"/>
  <c r="G647" i="1" s="1"/>
  <c r="J651" i="1"/>
  <c r="L270" i="1"/>
  <c r="C125" i="2"/>
  <c r="E125" i="2"/>
  <c r="E124" i="2"/>
  <c r="G662" i="1"/>
  <c r="F662" i="1"/>
  <c r="E120" i="2"/>
  <c r="E121" i="2"/>
  <c r="F338" i="1"/>
  <c r="F352" i="1" s="1"/>
  <c r="E119" i="2"/>
  <c r="L309" i="1"/>
  <c r="E110" i="2"/>
  <c r="G338" i="1"/>
  <c r="G352" i="1" s="1"/>
  <c r="L247" i="1"/>
  <c r="A31" i="12"/>
  <c r="C12" i="10"/>
  <c r="C123" i="2"/>
  <c r="C119" i="2"/>
  <c r="C112" i="2"/>
  <c r="J257" i="1"/>
  <c r="J271" i="1" s="1"/>
  <c r="H257" i="1"/>
  <c r="H271" i="1" s="1"/>
  <c r="C11" i="10"/>
  <c r="F257" i="1"/>
  <c r="F271" i="1" s="1"/>
  <c r="C18" i="10"/>
  <c r="C17" i="10"/>
  <c r="A40" i="12"/>
  <c r="J545" i="1"/>
  <c r="D50" i="2"/>
  <c r="C26" i="10"/>
  <c r="C142" i="2"/>
  <c r="F112" i="1"/>
  <c r="L328" i="1"/>
  <c r="E122" i="2"/>
  <c r="E118" i="2"/>
  <c r="L290" i="1"/>
  <c r="D15" i="13"/>
  <c r="C15" i="13" s="1"/>
  <c r="C124" i="2"/>
  <c r="G649" i="1"/>
  <c r="J649" i="1" s="1"/>
  <c r="D6" i="13"/>
  <c r="C6" i="13" s="1"/>
  <c r="C118" i="2"/>
  <c r="C15" i="10"/>
  <c r="C111" i="2"/>
  <c r="E13" i="13"/>
  <c r="C13" i="13" s="1"/>
  <c r="C19" i="10"/>
  <c r="C122" i="2"/>
  <c r="L534" i="1"/>
  <c r="C114" i="2"/>
  <c r="C62" i="2"/>
  <c r="C63" i="2" s="1"/>
  <c r="E57" i="2"/>
  <c r="E62" i="2" s="1"/>
  <c r="E63" i="2" s="1"/>
  <c r="I549" i="1"/>
  <c r="L539" i="1"/>
  <c r="F130" i="2"/>
  <c r="F144" i="2" s="1"/>
  <c r="F145" i="2" s="1"/>
  <c r="F661" i="1"/>
  <c r="C25" i="10"/>
  <c r="C21" i="10"/>
  <c r="F169" i="1"/>
  <c r="C85" i="2"/>
  <c r="C91" i="2" s="1"/>
  <c r="L393" i="1"/>
  <c r="C138" i="2" s="1"/>
  <c r="C29" i="10"/>
  <c r="C13" i="10"/>
  <c r="E112" i="2"/>
  <c r="G661" i="1"/>
  <c r="D14" i="13"/>
  <c r="C14" i="13" s="1"/>
  <c r="C20" i="10"/>
  <c r="L211" i="1"/>
  <c r="C35" i="10"/>
  <c r="I25" i="13"/>
  <c r="H647" i="1"/>
  <c r="L614" i="1"/>
  <c r="I257" i="1"/>
  <c r="I271" i="1" s="1"/>
  <c r="K257" i="1"/>
  <c r="K271" i="1" s="1"/>
  <c r="G161" i="2"/>
  <c r="C121" i="2"/>
  <c r="C110" i="2"/>
  <c r="E85" i="2"/>
  <c r="C78" i="2"/>
  <c r="F552" i="1"/>
  <c r="G22" i="13"/>
  <c r="C22" i="13" s="1"/>
  <c r="K500" i="1"/>
  <c r="I460" i="1"/>
  <c r="I452" i="1"/>
  <c r="I461" i="1" s="1"/>
  <c r="H642" i="1" s="1"/>
  <c r="J642" i="1" s="1"/>
  <c r="H338" i="1"/>
  <c r="H352" i="1" s="1"/>
  <c r="B164" i="2"/>
  <c r="G164" i="2" s="1"/>
  <c r="K503" i="1"/>
  <c r="E109" i="2"/>
  <c r="L382" i="1"/>
  <c r="G636" i="1" s="1"/>
  <c r="J636" i="1" s="1"/>
  <c r="K338" i="1"/>
  <c r="K352" i="1" s="1"/>
  <c r="G257" i="1"/>
  <c r="G271" i="1" s="1"/>
  <c r="A13" i="12"/>
  <c r="D29" i="13"/>
  <c r="C29" i="13" s="1"/>
  <c r="D12" i="13"/>
  <c r="C12" i="13" s="1"/>
  <c r="D5" i="13"/>
  <c r="C5" i="13" s="1"/>
  <c r="E8" i="13"/>
  <c r="C8" i="13" s="1"/>
  <c r="L544" i="1"/>
  <c r="L524" i="1"/>
  <c r="J338" i="1"/>
  <c r="J352" i="1" s="1"/>
  <c r="D127" i="2"/>
  <c r="D128" i="2" s="1"/>
  <c r="D145" i="2" s="1"/>
  <c r="C120" i="2"/>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J193" i="1"/>
  <c r="G646" i="1" s="1"/>
  <c r="F104" i="2"/>
  <c r="G169" i="1"/>
  <c r="G140" i="1"/>
  <c r="F140" i="1"/>
  <c r="G63" i="2"/>
  <c r="J618" i="1"/>
  <c r="G42" i="2"/>
  <c r="G50" i="2" s="1"/>
  <c r="G51" i="2" s="1"/>
  <c r="J51" i="1"/>
  <c r="G16" i="2"/>
  <c r="J19" i="1"/>
  <c r="G621" i="1" s="1"/>
  <c r="G18" i="2"/>
  <c r="F545" i="1"/>
  <c r="H434" i="1"/>
  <c r="J620" i="1"/>
  <c r="J619" i="1"/>
  <c r="D103" i="2"/>
  <c r="I140" i="1"/>
  <c r="A22" i="12"/>
  <c r="J652" i="1"/>
  <c r="G571" i="1"/>
  <c r="I434" i="1"/>
  <c r="G434" i="1"/>
  <c r="I663" i="1"/>
  <c r="C27" i="10"/>
  <c r="D51" i="2" l="1"/>
  <c r="C36" i="10"/>
  <c r="E104" i="2"/>
  <c r="D104" i="2"/>
  <c r="C81" i="2"/>
  <c r="C104" i="2" s="1"/>
  <c r="C39" i="10"/>
  <c r="F193" i="1"/>
  <c r="G627" i="1" s="1"/>
  <c r="J627" i="1" s="1"/>
  <c r="L545" i="1"/>
  <c r="J647" i="1"/>
  <c r="I662" i="1"/>
  <c r="H660" i="1"/>
  <c r="H664" i="1" s="1"/>
  <c r="H667" i="1" s="1"/>
  <c r="G24" i="14"/>
  <c r="H24" i="14" s="1"/>
  <c r="I24" i="14" s="1"/>
  <c r="E128" i="2"/>
  <c r="L338" i="1"/>
  <c r="L352" i="1" s="1"/>
  <c r="G633" i="1" s="1"/>
  <c r="J633" i="1" s="1"/>
  <c r="H648" i="1"/>
  <c r="J648" i="1" s="1"/>
  <c r="G36" i="14"/>
  <c r="H36" i="14" s="1"/>
  <c r="I36" i="14" s="1"/>
  <c r="G660" i="1"/>
  <c r="G664" i="1" s="1"/>
  <c r="L257" i="1"/>
  <c r="L271" i="1" s="1"/>
  <c r="G632" i="1" s="1"/>
  <c r="J632" i="1" s="1"/>
  <c r="C128" i="2"/>
  <c r="C115" i="2"/>
  <c r="F660" i="1"/>
  <c r="F664" i="1" s="1"/>
  <c r="F667" i="1" s="1"/>
  <c r="I552" i="1"/>
  <c r="K549" i="1"/>
  <c r="K552" i="1" s="1"/>
  <c r="D31" i="13"/>
  <c r="C31" i="13" s="1"/>
  <c r="I661" i="1"/>
  <c r="I193" i="1"/>
  <c r="G630" i="1" s="1"/>
  <c r="J630" i="1" s="1"/>
  <c r="G104" i="2"/>
  <c r="G33" i="13"/>
  <c r="L408" i="1"/>
  <c r="C141" i="2"/>
  <c r="C144" i="2" s="1"/>
  <c r="E33" i="13"/>
  <c r="D35" i="13" s="1"/>
  <c r="G4" i="14"/>
  <c r="H4" i="14" s="1"/>
  <c r="I4" i="14" s="1"/>
  <c r="E115" i="2"/>
  <c r="C25" i="13"/>
  <c r="I33" i="13"/>
  <c r="C28" i="10"/>
  <c r="D23" i="10" s="1"/>
  <c r="C51" i="2"/>
  <c r="G631" i="1"/>
  <c r="J631" i="1" s="1"/>
  <c r="G193" i="1"/>
  <c r="G628" i="1" s="1"/>
  <c r="J628" i="1" s="1"/>
  <c r="G626" i="1"/>
  <c r="J626" i="1" s="1"/>
  <c r="J52" i="1"/>
  <c r="H621" i="1" s="1"/>
  <c r="J621" i="1" s="1"/>
  <c r="C38" i="10"/>
  <c r="H672" i="1" l="1"/>
  <c r="C6" i="10" s="1"/>
  <c r="E145" i="2"/>
  <c r="G672" i="1"/>
  <c r="C5" i="10" s="1"/>
  <c r="G667" i="1"/>
  <c r="C145" i="2"/>
  <c r="F672" i="1"/>
  <c r="C4" i="10" s="1"/>
  <c r="I660" i="1"/>
  <c r="I664" i="1" s="1"/>
  <c r="I672" i="1" s="1"/>
  <c r="C7" i="10" s="1"/>
  <c r="D25" i="10"/>
  <c r="G637" i="1"/>
  <c r="J637" i="1" s="1"/>
  <c r="H646" i="1"/>
  <c r="J646" i="1"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<sst xmlns="http://schemas.openxmlformats.org/spreadsheetml/2006/main" count="5508" uniqueCount="1610">
  <si>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</si>
  <si>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</si>
  <si>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</si>
  <si>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</si>
  <si>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</si>
  <si>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</si>
  <si>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</si>
  <si>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</si>
  <si>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</si>
  <si>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</si>
  <si>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</si>
  <si>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</si>
  <si>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</si>
  <si>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</si>
  <si>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</si>
  <si>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</si>
  <si>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</si>
  <si>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</si>
  <si>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</si>
  <si>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</si>
  <si>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</si>
  <si>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</si>
  <si>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</si>
  <si>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</si>
  <si>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</si>
  <si>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</si>
  <si>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</si>
  <si>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</si>
  <si>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</si>
  <si>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</si>
  <si>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</si>
  <si>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</si>
  <si>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</si>
  <si>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</si>
  <si>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</si>
  <si>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</si>
  <si>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</si>
  <si>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</si>
  <si>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</si>
  <si>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</si>
  <si>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</si>
  <si>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</si>
  <si>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</si>
  <si>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</si>
  <si>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</si>
  <si>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</si>
  <si>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</si>
  <si>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</si>
  <si>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</si>
  <si>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</si>
  <si>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</si>
  <si>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</si>
  <si>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</si>
  <si>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</si>
  <si>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</si>
  <si>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</si>
  <si>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</si>
  <si>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</si>
  <si>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</si>
  <si>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</si>
  <si>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</si>
  <si>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</si>
  <si>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</si>
  <si>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</si>
  <si>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</si>
  <si>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</si>
  <si>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</si>
  <si>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</si>
  <si>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</si>
  <si>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</si>
  <si>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</si>
  <si>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</si>
  <si>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</si>
  <si>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</si>
  <si>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</si>
  <si>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</si>
  <si>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</si>
  <si>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</si>
  <si>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</si>
  <si>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</si>
  <si>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</si>
  <si>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</si>
  <si>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</si>
  <si>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</si>
  <si>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</si>
  <si>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</si>
  <si>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</si>
  <si>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</si>
  <si>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</si>
  <si>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</si>
  <si>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</si>
  <si>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</si>
  <si>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</si>
  <si>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</si>
  <si>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</si>
  <si>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</si>
  <si>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</si>
  <si>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</si>
  <si>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</si>
  <si>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</si>
  <si>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</si>
  <si>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</si>
  <si>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</si>
  <si>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</si>
  <si>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</si>
  <si>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</si>
  <si>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</si>
  <si>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</si>
  <si>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</si>
  <si>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</si>
  <si>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</si>
  <si>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</si>
  <si>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</si>
  <si>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</si>
  <si>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</si>
  <si>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</si>
  <si>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</si>
  <si>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</si>
  <si>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</si>
  <si>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</si>
  <si>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</si>
  <si>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</si>
  <si>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</si>
  <si>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</si>
  <si>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</si>
  <si>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</si>
  <si>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</si>
  <si>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</si>
  <si>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</si>
  <si>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</si>
  <si>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</si>
  <si>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</si>
  <si>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</si>
  <si>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</si>
  <si>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</si>
  <si>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</si>
  <si>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</si>
  <si>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</si>
  <si>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</si>
  <si>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</si>
  <si>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</si>
  <si>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</si>
  <si>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</si>
  <si>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</si>
  <si>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</si>
  <si>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</si>
  <si>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</si>
  <si>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</si>
  <si>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</si>
  <si>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</si>
  <si>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</si>
  <si>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</si>
  <si>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</si>
  <si>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</si>
  <si>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</si>
  <si>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</si>
  <si>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</si>
  <si>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</si>
  <si>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</si>
  <si>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</si>
  <si>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</si>
  <si>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</si>
  <si>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</si>
  <si>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</si>
  <si>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</si>
  <si>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</si>
  <si>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</si>
  <si>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</si>
  <si>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</si>
  <si>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</si>
  <si>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</si>
  <si>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</si>
  <si>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</si>
  <si>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</si>
  <si>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</si>
  <si>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</si>
  <si>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</si>
  <si>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</si>
  <si>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</si>
  <si>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</si>
  <si>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</si>
  <si>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</si>
  <si>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</si>
  <si>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</si>
  <si>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</si>
  <si>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</si>
  <si>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</si>
  <si>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</si>
  <si>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</si>
  <si>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</si>
  <si>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</si>
  <si>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</si>
  <si>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</si>
  <si>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</si>
  <si>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</si>
  <si>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</si>
  <si>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</si>
  <si>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</si>
  <si>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</si>
  <si>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</si>
  <si>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</si>
  <si>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</si>
  <si>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</si>
  <si>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</si>
  <si>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</si>
  <si>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</si>
  <si>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</si>
  <si>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</si>
  <si>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</si>
  <si>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</si>
  <si>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</si>
  <si>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</si>
  <si>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</si>
  <si>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</si>
  <si>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</si>
  <si>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</si>
  <si>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</si>
  <si>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</si>
  <si>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</si>
  <si>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</si>
  <si>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</si>
  <si>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</si>
  <si>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</si>
  <si>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</si>
  <si>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</si>
  <si>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</si>
  <si>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</si>
  <si>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</si>
  <si>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</si>
  <si>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</si>
  <si>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</si>
  <si>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</si>
  <si>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</si>
  <si>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</si>
  <si>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</si>
  <si>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</si>
  <si>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</si>
  <si>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</si>
  <si>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</si>
  <si>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</si>
  <si>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</si>
  <si>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</si>
  <si>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</si>
  <si>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</si>
  <si>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</si>
  <si>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</si>
  <si>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</si>
  <si>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</si>
  <si>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</si>
  <si>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</si>
  <si>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</si>
  <si>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</si>
  <si>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</si>
  <si>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</si>
  <si>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</si>
  <si>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</si>
  <si>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</si>
  <si>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</si>
  <si>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</si>
  <si>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</si>
  <si>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</si>
  <si>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</si>
  <si>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</si>
  <si>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</si>
  <si>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</si>
  <si>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</si>
  <si>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</si>
  <si>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</si>
  <si>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</si>
  <si>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</si>
  <si>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</si>
  <si>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</si>
  <si>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</si>
  <si>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</si>
  <si>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</si>
  <si>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</si>
  <si>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</si>
  <si>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</si>
  <si>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</si>
  <si>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</si>
  <si>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</si>
  <si>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</si>
  <si>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</si>
  <si>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</si>
  <si>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</si>
  <si>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</si>
  <si>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</si>
  <si>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</si>
  <si>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</si>
  <si>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</si>
  <si>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</si>
  <si>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</si>
  <si>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</si>
  <si>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</si>
  <si>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</si>
  <si>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</si>
  <si>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</si>
  <si>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</si>
  <si>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</si>
  <si>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</si>
  <si>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</si>
  <si>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</si>
  <si>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</si>
  <si>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</si>
  <si>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</si>
  <si>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</si>
  <si>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</si>
  <si>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</si>
  <si>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</si>
  <si>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</si>
  <si>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</si>
  <si>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</si>
  <si>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</si>
  <si>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</si>
  <si>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</si>
  <si>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</si>
  <si>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</si>
  <si>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</si>
  <si>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</si>
  <si>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</si>
  <si>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</si>
  <si>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</si>
  <si>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</si>
  <si>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</si>
  <si>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</si>
  <si>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</si>
  <si>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</si>
  <si>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</si>
  <si>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</si>
  <si>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</si>
  <si>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</si>
  <si>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</si>
  <si>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</si>
  <si>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</si>
  <si>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</si>
  <si>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</si>
  <si>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</si>
  <si>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</si>
  <si>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</si>
  <si>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</si>
  <si>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</si>
  <si>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</si>
  <si>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</si>
  <si>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</si>
  <si>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</si>
  <si>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</si>
  <si>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</si>
  <si>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</si>
  <si>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</si>
  <si>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</si>
  <si>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</si>
  <si>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</si>
  <si>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</si>
  <si>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</si>
  <si>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</si>
  <si>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</si>
  <si>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</si>
  <si>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</si>
  <si>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</si>
  <si>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</si>
  <si>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</si>
  <si>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</si>
  <si>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</si>
  <si>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</si>
  <si>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</si>
  <si>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</si>
  <si>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</si>
  <si>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</si>
  <si>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</si>
  <si>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</si>
  <si>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</si>
  <si>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</si>
  <si>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</si>
  <si>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</si>
  <si>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</si>
  <si>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</si>
  <si>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</si>
  <si>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</si>
  <si>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</si>
  <si>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</si>
  <si>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</si>
  <si>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</si>
  <si>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</si>
  <si>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</si>
  <si>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</si>
  <si>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</si>
  <si>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</si>
  <si>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</si>
  <si>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</si>
  <si>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</si>
  <si>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</si>
  <si>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</si>
  <si>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</si>
  <si>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</si>
  <si>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</si>
  <si>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</si>
  <si>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</si>
  <si>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</si>
  <si>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</si>
  <si>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</si>
  <si>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</si>
  <si>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</si>
  <si>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</si>
  <si>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</si>
  <si>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</si>
  <si>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</si>
  <si>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</si>
  <si>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</si>
  <si>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</si>
  <si>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</si>
  <si>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</si>
  <si>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</si>
  <si>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</si>
  <si>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</si>
  <si>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</si>
  <si>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</si>
  <si>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</si>
  <si>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</si>
  <si>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</si>
  <si>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</si>
  <si>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</si>
  <si>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</si>
  <si>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</si>
  <si>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</si>
  <si>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</si>
  <si>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</si>
  <si>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</si>
  <si>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</si>
  <si>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</si>
  <si>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</si>
  <si>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</si>
  <si>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</si>
  <si>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</si>
  <si>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</si>
  <si>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</si>
  <si>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</si>
  <si>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</si>
  <si>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</si>
  <si>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</si>
  <si>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</si>
  <si>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</si>
  <si>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</si>
  <si>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</si>
  <si>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</si>
  <si>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</si>
  <si>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</si>
  <si>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</si>
  <si>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</si>
  <si>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</si>
  <si>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</si>
  <si>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</si>
  <si>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</si>
  <si>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</si>
  <si>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</si>
  <si>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</si>
  <si>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</si>
  <si>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</si>
  <si>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</si>
  <si>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</si>
  <si>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</si>
  <si>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</si>
  <si>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</si>
  <si>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</si>
  <si>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</si>
  <si>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</si>
  <si>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</si>
  <si>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</si>
  <si>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</si>
  <si>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</si>
  <si>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</si>
  <si>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</si>
  <si>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</si>
  <si>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</si>
  <si>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</si>
  <si>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</si>
  <si>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</si>
  <si>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</si>
  <si>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</si>
  <si>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</si>
  <si>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</si>
  <si>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</si>
  <si>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</si>
  <si>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</si>
  <si>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</si>
  <si>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</si>
  <si>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</si>
  <si>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</si>
  <si>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</si>
  <si>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</si>
  <si>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</si>
  <si>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</si>
  <si>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</si>
  <si>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</si>
  <si>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</si>
  <si>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</si>
  <si>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</si>
  <si>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</si>
  <si>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</si>
  <si>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</si>
  <si>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</si>
  <si>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</si>
  <si>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</si>
  <si>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</si>
  <si>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</si>
  <si>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</si>
  <si>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</si>
  <si>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</si>
  <si>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</si>
  <si>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</si>
  <si>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</si>
  <si>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</si>
  <si>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</si>
  <si>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</si>
  <si>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</si>
  <si>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</si>
  <si>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</si>
  <si>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</si>
  <si>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</si>
  <si>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</si>
  <si>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</si>
  <si>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</si>
  <si>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</si>
  <si>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</si>
  <si>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</si>
  <si>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</si>
  <si>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</si>
  <si>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</si>
  <si>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</si>
  <si>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</si>
  <si>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</si>
  <si>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</si>
  <si>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</si>
  <si>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</si>
  <si>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</si>
  <si>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</si>
  <si>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</si>
  <si>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</si>
  <si>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</si>
  <si>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</si>
  <si>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</si>
  <si>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</si>
  <si>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</si>
  <si>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</si>
  <si>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</si>
  <si>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</si>
  <si>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</si>
  <si>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</si>
  <si>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</si>
  <si>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</si>
  <si>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</si>
  <si>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</si>
  <si>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</si>
  <si>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</si>
  <si>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</si>
  <si>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</si>
  <si>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</si>
  <si>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</si>
  <si>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</si>
  <si>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</si>
  <si>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</si>
  <si>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</si>
  <si>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</si>
  <si>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</si>
  <si>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</si>
  <si>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</si>
  <si>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</si>
  <si>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</si>
  <si>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</si>
  <si>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</si>
  <si>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</si>
  <si>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</si>
  <si>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</si>
  <si>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</si>
  <si>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</si>
  <si>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</si>
  <si>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</si>
  <si>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</si>
  <si>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</si>
  <si>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</si>
  <si>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</si>
  <si>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</si>
  <si>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</si>
  <si>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</si>
  <si>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</si>
  <si>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</si>
  <si>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</si>
  <si>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</si>
  <si>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</si>
  <si>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</si>
  <si>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</si>
  <si>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</si>
  <si>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</si>
  <si>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</si>
  <si>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</si>
  <si>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</si>
  <si>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</si>
  <si>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</si>
  <si>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</si>
  <si>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</si>
  <si>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</si>
  <si>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</si>
  <si>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</si>
  <si>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</si>
  <si>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</si>
  <si>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</si>
  <si>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</si>
  <si>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</si>
  <si>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</si>
  <si>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</si>
  <si>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</si>
  <si>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</si>
  <si>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</si>
  <si>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</si>
  <si>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</si>
  <si>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</si>
  <si>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</si>
  <si>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</si>
  <si>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</si>
  <si>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</si>
  <si>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</si>
  <si>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</si>
  <si>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</si>
  <si>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</si>
  <si>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</si>
  <si>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</si>
  <si>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</si>
  <si>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</si>
  <si>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</si>
  <si>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</si>
  <si>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</si>
  <si>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</si>
  <si>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</si>
  <si>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</si>
  <si>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</si>
  <si>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</si>
  <si>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</si>
  <si>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</si>
  <si>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</si>
  <si>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</si>
  <si>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</si>
  <si>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</si>
  <si>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</si>
  <si>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</si>
  <si>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</si>
  <si>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</si>
  <si>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</si>
  <si>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</si>
  <si>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</si>
  <si>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</si>
  <si>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</si>
  <si>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</si>
  <si>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</si>
  <si>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</si>
  <si>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</si>
  <si>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</si>
  <si>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</si>
  <si>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</si>
  <si>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</si>
  <si>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</si>
  <si>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</si>
  <si>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</si>
  <si>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</si>
  <si>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</si>
  <si>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</si>
  <si>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</si>
  <si>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</si>
  <si>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</si>
  <si>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</si>
  <si>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</si>
  <si>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</si>
  <si>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</si>
  <si>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</si>
  <si>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</si>
  <si>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</si>
  <si>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</si>
  <si>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</si>
  <si>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</si>
  <si>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</si>
  <si>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</si>
  <si>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</si>
  <si>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</si>
  <si>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</si>
  <si>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</si>
  <si>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</si>
  <si>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</si>
  <si>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</si>
  <si>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</si>
  <si>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</si>
  <si>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</si>
  <si>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</si>
  <si>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</si>
  <si>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</si>
  <si>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</si>
  <si>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</si>
  <si>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</si>
  <si>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</si>
  <si>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</si>
  <si>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</si>
  <si>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</si>
  <si>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</si>
  <si>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</si>
  <si>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</si>
  <si>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</si>
  <si>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</si>
  <si>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</si>
  <si>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</si>
  <si>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</si>
  <si>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</si>
  <si>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</si>
  <si>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</si>
  <si>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</si>
  <si>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</si>
  <si>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</si>
  <si>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</si>
  <si>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</si>
  <si>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</si>
  <si>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</si>
  <si>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</si>
  <si>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</si>
  <si>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</si>
  <si>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</si>
  <si>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</si>
  <si>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</si>
  <si>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</si>
  <si>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</si>
  <si>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</si>
  <si>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</si>
  <si>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</si>
  <si>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</si>
  <si>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</si>
  <si>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</si>
  <si>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</si>
  <si>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</si>
  <si>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</si>
  <si>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</si>
  <si>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</si>
  <si>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</si>
  <si>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</si>
  <si>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</si>
  <si>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</si>
  <si>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</si>
  <si>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</si>
  <si>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</si>
  <si>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</si>
  <si>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</si>
  <si>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</si>
  <si>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</si>
  <si>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</si>
  <si>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</si>
  <si>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</si>
  <si>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</si>
  <si>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</si>
  <si>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</si>
  <si>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</si>
  <si>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</si>
  <si>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</si>
  <si>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</si>
  <si>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</si>
  <si>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</si>
  <si>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</si>
  <si>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</si>
  <si>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</si>
  <si>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</si>
  <si>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</si>
  <si>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</si>
  <si>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</si>
  <si>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</si>
  <si>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</si>
  <si>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</si>
  <si>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</si>
  <si>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</si>
  <si>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</si>
  <si>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</si>
  <si>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</si>
  <si>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</si>
  <si>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</si>
  <si>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</si>
  <si>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</si>
  <si>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</si>
  <si>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</si>
  <si>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</si>
  <si>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</si>
  <si>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</si>
  <si>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</si>
  <si>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</si>
  <si>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</si>
  <si>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</si>
  <si>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</si>
  <si>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</si>
  <si>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</si>
  <si>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</si>
  <si>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</si>
  <si>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</si>
  <si>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</si>
  <si>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</si>
  <si>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</si>
  <si>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</si>
  <si>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</si>
  <si>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</si>
  <si>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</si>
  <si>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</si>
  <si>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</si>
  <si>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</si>
  <si>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</si>
  <si>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</si>
  <si>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</si>
  <si>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</si>
  <si>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</si>
  <si>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</si>
  <si>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</si>
  <si>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</si>
  <si>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</si>
  <si>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</si>
  <si>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</si>
  <si>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</si>
  <si>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</si>
  <si>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</si>
  <si>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</si>
  <si>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</si>
  <si>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</si>
  <si>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</si>
  <si>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</si>
  <si>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</si>
  <si>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</si>
  <si>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</si>
  <si>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</si>
  <si>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</si>
  <si>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</si>
  <si>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</si>
  <si>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</si>
  <si>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</si>
  <si>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</si>
  <si>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</si>
  <si>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</si>
  <si>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</si>
  <si>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</si>
  <si>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</si>
  <si>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</si>
  <si>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</si>
  <si>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</si>
  <si>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</si>
  <si>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</si>
  <si>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</si>
  <si>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</si>
  <si>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</si>
  <si>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</si>
  <si>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</si>
  <si>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</si>
  <si>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</si>
  <si>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</si>
  <si>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</si>
  <si>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</si>
  <si>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</si>
  <si>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</si>
  <si>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</si>
  <si>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</si>
  <si>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</si>
  <si>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</si>
  <si>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</si>
  <si>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</si>
  <si>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</si>
  <si>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</si>
  <si>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</si>
  <si>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</si>
  <si>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</si>
  <si>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</si>
  <si>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</si>
  <si>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</si>
  <si>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</si>
  <si>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</si>
  <si>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</si>
  <si>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</si>
  <si>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</si>
  <si>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</si>
  <si>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</si>
  <si>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</si>
  <si>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</si>
  <si>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</si>
  <si>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</si>
  <si>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</si>
  <si>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</si>
  <si>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</si>
  <si>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</si>
  <si>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</si>
  <si>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</si>
  <si>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</si>
  <si>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</si>
  <si>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</si>
  <si>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</si>
  <si>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</si>
  <si>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</si>
  <si>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</si>
  <si>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</si>
  <si>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</si>
  <si>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</si>
  <si>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</si>
  <si>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</si>
  <si>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</si>
  <si>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</si>
  <si>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</si>
  <si>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</si>
  <si>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</si>
  <si>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</si>
  <si>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</si>
  <si>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</si>
  <si>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</si>
  <si>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</si>
  <si>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</si>
  <si>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</si>
  <si>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</si>
  <si>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</si>
  <si>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</si>
  <si>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</si>
  <si>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</si>
  <si>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</si>
  <si>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</si>
  <si>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</si>
  <si>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</si>
  <si>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</si>
  <si>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</si>
  <si>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</si>
  <si>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</si>
  <si>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</si>
  <si>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</si>
  <si>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</si>
  <si>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</si>
  <si>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</si>
  <si>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</si>
  <si>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</si>
  <si>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</si>
  <si>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</si>
  <si>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</si>
  <si>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</si>
  <si>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</si>
  <si>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</si>
  <si>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</si>
  <si>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</si>
  <si>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</si>
  <si>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</si>
  <si>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</si>
  <si>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</si>
  <si>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</si>
  <si>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</si>
  <si>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</si>
  <si>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</si>
  <si>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</si>
  <si>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</si>
  <si>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</si>
  <si>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</si>
  <si>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</si>
  <si>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</si>
  <si>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</si>
  <si>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</si>
  <si>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</si>
  <si>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</si>
  <si>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</si>
  <si>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</si>
  <si>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</si>
  <si>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</si>
  <si>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</si>
  <si>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</si>
  <si>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</si>
  <si>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</si>
  <si>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</si>
  <si>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</si>
  <si>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</si>
  <si>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</si>
  <si>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</si>
  <si>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</si>
  <si>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</si>
  <si>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</si>
  <si>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</si>
  <si>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</si>
  <si>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</si>
  <si>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</si>
  <si>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</si>
  <si>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</si>
  <si>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</si>
  <si>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</si>
  <si>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</si>
  <si>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</si>
  <si>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</si>
  <si>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</si>
  <si>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</si>
  <si>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</si>
  <si>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</si>
  <si>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</si>
  <si>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</si>
  <si>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</si>
  <si>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</si>
  <si>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</si>
  <si>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</si>
  <si>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</si>
  <si>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</si>
  <si>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</si>
  <si>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</si>
  <si>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</si>
  <si>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</si>
  <si>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</si>
  <si>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</si>
  <si>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</si>
  <si>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</si>
  <si>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</si>
  <si>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</si>
  <si>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</si>
  <si>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</si>
  <si>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</si>
  <si>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</si>
  <si>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</si>
  <si>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</si>
  <si>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</si>
  <si>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</si>
  <si>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</si>
  <si>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</si>
  <si>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</si>
  <si>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</si>
  <si>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</si>
  <si>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</si>
  <si>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</si>
  <si>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</si>
  <si>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</si>
  <si>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</si>
  <si>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</si>
  <si>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</si>
  <si>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</si>
  <si>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</si>
  <si>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</si>
  <si>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</si>
  <si>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</si>
  <si>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</si>
  <si>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</si>
  <si>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</si>
  <si>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</si>
  <si>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</si>
  <si>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</si>
  <si>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</si>
  <si>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</si>
  <si>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</si>
  <si>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</si>
  <si>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</si>
  <si>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</si>
  <si>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</si>
  <si>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</si>
  <si>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</si>
  <si>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</si>
  <si>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</si>
  <si>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</si>
  <si>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</si>
  <si>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</si>
  <si>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</si>
  <si>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</si>
  <si>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</si>
  <si>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</si>
  <si>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</si>
  <si>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</si>
  <si>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</si>
  <si>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</si>
  <si>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</si>
  <si>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</si>
  <si>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</si>
  <si>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</si>
  <si>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</si>
  <si>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</si>
  <si>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</si>
  <si>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</si>
  <si>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</si>
  <si>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</si>
  <si>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</si>
  <si>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</si>
  <si>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</si>
  <si>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</si>
  <si>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</si>
  <si>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</si>
  <si>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</si>
  <si>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</si>
  <si>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</si>
  <si>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</si>
  <si>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</si>
  <si>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</si>
  <si>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</si>
  <si>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</si>
  <si>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</si>
  <si>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</si>
  <si>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</si>
  <si>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</si>
  <si>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</si>
  <si>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</si>
  <si>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</si>
  <si>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</si>
  <si>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</si>
  <si>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</si>
  <si>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</si>
  <si>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</si>
  <si>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</si>
  <si>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</si>
  <si>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</si>
  <si>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</si>
  <si>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</si>
  <si>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</si>
  <si>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</si>
  <si>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</si>
  <si>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</si>
  <si>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</si>
  <si>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</si>
  <si>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</si>
  <si>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</si>
  <si>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</si>
  <si>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</si>
  <si>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</si>
  <si>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</si>
  <si>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</si>
  <si>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</si>
  <si>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</si>
  <si>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</si>
  <si>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</si>
  <si>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</si>
  <si>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</si>
  <si>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</si>
  <si>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</si>
  <si>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</si>
  <si>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</si>
  <si>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</si>
  <si>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</si>
  <si>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</si>
  <si>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</si>
  <si>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</si>
  <si>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</si>
  <si>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</si>
  <si>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</si>
  <si>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</si>
  <si>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</si>
  <si>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</si>
  <si>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</si>
  <si>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</si>
  <si>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</si>
  <si>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</si>
  <si>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</si>
  <si>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</si>
  <si>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</si>
  <si>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</si>
  <si>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</si>
  <si>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</si>
  <si>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</si>
  <si>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</si>
  <si>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</si>
  <si>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</si>
  <si>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</si>
  <si>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</si>
  <si>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</si>
  <si>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</si>
  <si>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</si>
  <si>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</si>
  <si>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</si>
  <si>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</si>
  <si>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</si>
  <si>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</si>
  <si>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</si>
  <si>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</si>
  <si>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</si>
  <si>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</si>
  <si>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</si>
  <si>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</si>
  <si>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</si>
  <si>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</si>
  <si>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</si>
  <si>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</si>
  <si>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</si>
  <si>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</si>
  <si>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</si>
  <si>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</si>
  <si>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</si>
  <si>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</si>
  <si>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</si>
  <si>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</si>
  <si>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</si>
  <si>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</si>
  <si>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</si>
  <si>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</si>
  <si>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</si>
  <si>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</si>
  <si>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</si>
  <si>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</si>
  <si>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</si>
  <si>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</si>
  <si>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</si>
  <si>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</si>
  <si>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</si>
  <si>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</si>
  <si>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</si>
  <si>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</si>
  <si>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</si>
  <si>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</si>
  <si>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</si>
  <si>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</si>
  <si>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</si>
  <si>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</si>
  <si>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</si>
  <si>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</si>
  <si>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</si>
  <si>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</si>
  <si>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</si>
  <si>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</si>
  <si>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</si>
  <si>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</si>
  <si>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</si>
  <si>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</si>
  <si>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</si>
  <si>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</si>
  <si>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</si>
  <si>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</si>
  <si>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</si>
  <si>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</si>
  <si>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</si>
  <si>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</si>
  <si>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</si>
  <si>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</si>
  <si>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</si>
  <si>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</si>
  <si>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</si>
  <si>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</si>
  <si>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</si>
  <si>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</si>
  <si>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</si>
  <si>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</si>
  <si>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</si>
  <si>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</si>
  <si>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</si>
  <si>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</si>
  <si>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</si>
  <si>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</si>
  <si>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</si>
  <si>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</si>
  <si>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</si>
  <si>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</si>
  <si>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</si>
  <si>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</si>
  <si>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</si>
  <si>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</si>
  <si>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</si>
  <si>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</si>
  <si>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</si>
  <si>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</si>
  <si>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</si>
  <si>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</si>
  <si>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</si>
  <si>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</si>
  <si>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</si>
  <si>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</si>
  <si>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</si>
  <si>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</si>
  <si>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</si>
  <si>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</si>
  <si>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</si>
  <si>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</si>
  <si>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</si>
  <si>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</si>
  <si>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</si>
  <si>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</si>
  <si>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</si>
  <si>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</si>
  <si>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</si>
  <si>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</si>
  <si>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</si>
  <si>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</si>
  <si>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</si>
  <si>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</si>
  <si>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</si>
  <si>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</si>
  <si>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</si>
  <si>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</si>
  <si>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</si>
  <si>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</si>
  <si>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</si>
  <si>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</si>
  <si>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</si>
  <si>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</si>
  <si>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</si>
  <si>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</si>
  <si>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</si>
  <si>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</si>
  <si>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</si>
  <si>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</si>
  <si>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</si>
  <si>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</si>
  <si>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</si>
  <si>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</si>
  <si>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</si>
  <si>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</si>
  <si>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</si>
  <si>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</si>
  <si>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</si>
  <si>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</si>
  <si>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</si>
  <si>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</si>
  <si>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</si>
  <si>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</si>
  <si>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</si>
  <si>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</si>
  <si>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</si>
  <si>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</si>
  <si>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</si>
  <si>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</si>
  <si>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</si>
  <si>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</si>
  <si>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</si>
  <si>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</si>
  <si>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</si>
  <si>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</si>
  <si>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</si>
  <si>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</si>
  <si>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</si>
  <si>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</si>
  <si>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</si>
  <si>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</si>
  <si>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</si>
  <si>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</si>
  <si>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</si>
  <si>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</si>
  <si>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</si>
  <si>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</si>
  <si>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</si>
  <si>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</si>
  <si>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</si>
  <si>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</si>
  <si>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</si>
  <si>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</si>
  <si>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</si>
  <si>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</si>
  <si>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</si>
  <si>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</si>
  <si>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</si>
  <si>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</si>
  <si>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</si>
  <si>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</si>
  <si>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</si>
  <si>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</si>
  <si>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</si>
  <si>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</si>
  <si>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</si>
  <si>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</si>
  <si>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</si>
  <si>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</si>
  <si>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</si>
  <si>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</si>
  <si>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</si>
  <si>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</si>
  <si>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</si>
  <si>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</si>
  <si>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</si>
  <si>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</si>
  <si>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</si>
  <si>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</si>
  <si>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</si>
  <si>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</si>
  <si>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</si>
  <si>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</si>
  <si>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</si>
  <si>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</si>
  <si>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</si>
  <si>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</si>
  <si>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</si>
  <si>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</si>
  <si>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</si>
  <si>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</si>
  <si>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</si>
  <si>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</si>
  <si>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</si>
  <si>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</si>
  <si>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</si>
  <si>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</si>
  <si>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</si>
  <si>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</si>
  <si>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</si>
  <si>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</si>
  <si>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</si>
  <si>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</si>
  <si>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</si>
  <si>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</si>
  <si>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</si>
  <si>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</si>
  <si>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</si>
  <si>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</si>
  <si>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</si>
  <si>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</si>
  <si>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</si>
  <si>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</si>
  <si>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</si>
  <si>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</si>
  <si>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</si>
  <si>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</si>
  <si>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</si>
  <si>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</si>
  <si>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</si>
  <si>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</si>
  <si>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</si>
  <si>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</si>
  <si>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</si>
  <si>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</si>
  <si>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</si>
  <si>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</si>
  <si>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</si>
  <si>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</si>
  <si>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</si>
  <si>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</si>
  <si>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</si>
  <si>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</si>
  <si>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</si>
  <si>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</si>
  <si>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</si>
  <si>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</si>
  <si>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</si>
  <si>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</si>
  <si>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</si>
  <si>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</si>
  <si>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</si>
  <si>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</si>
  <si>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</si>
  <si>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</si>
  <si>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</si>
  <si>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</si>
  <si>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</si>
  <si>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</si>
  <si>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</si>
  <si>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</si>
  <si>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</si>
  <si>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</si>
  <si>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</si>
  <si>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</si>
  <si>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</si>
  <si>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</si>
  <si>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</si>
  <si>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</si>
  <si>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</si>
  <si>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</si>
  <si>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</si>
  <si>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</si>
  <si>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</si>
  <si>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</si>
  <si>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</si>
  <si>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</si>
  <si>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</si>
  <si>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</si>
  <si>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</si>
  <si>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</si>
  <si>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</si>
  <si>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</si>
  <si>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</si>
  <si>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</si>
  <si>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</si>
  <si>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</si>
  <si>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</si>
  <si>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</si>
  <si>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</si>
  <si>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</si>
  <si>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</si>
  <si>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</si>
  <si>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</si>
  <si>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</si>
  <si>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</si>
  <si>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</si>
  <si>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</si>
  <si>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</si>
  <si>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</si>
  <si>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</si>
  <si>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</si>
  <si>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</si>
  <si>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</si>
  <si>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</si>
  <si>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</si>
  <si>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</si>
  <si>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</si>
  <si>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</si>
  <si>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</si>
  <si>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</si>
  <si>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</si>
  <si>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</si>
  <si>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</si>
  <si>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</si>
  <si>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</si>
  <si>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</si>
  <si>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</si>
  <si>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</si>
  <si>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</si>
  <si>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</si>
  <si>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</si>
  <si>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</si>
  <si>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</si>
  <si>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</si>
  <si>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</si>
  <si>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</si>
  <si>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</si>
  <si>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</si>
  <si>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</si>
  <si>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</si>
  <si>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</si>
  <si>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</si>
  <si>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</si>
  <si>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</si>
  <si>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</si>
  <si>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</si>
  <si>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</si>
  <si>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</si>
  <si>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</si>
  <si>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</si>
  <si>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</si>
  <si>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</si>
  <si>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</si>
  <si>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</si>
  <si>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</si>
  <si>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</si>
  <si>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</si>
  <si>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</si>
  <si>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</si>
  <si>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</si>
  <si>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</si>
  <si>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</si>
  <si>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</si>
  <si>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</si>
  <si>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</si>
  <si>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</si>
  <si>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</si>
  <si>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</si>
  <si>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</si>
  <si>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</si>
  <si>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</si>
  <si>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</si>
  <si>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</si>
  <si>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</si>
  <si>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</si>
  <si>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</si>
  <si>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</si>
  <si>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</si>
  <si>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</si>
  <si>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</si>
  <si>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</si>
  <si>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</si>
  <si>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</si>
  <si>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</si>
  <si>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</si>
  <si>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</si>
  <si>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</si>
  <si>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</si>
  <si>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</si>
  <si>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</si>
  <si>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</si>
  <si>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</si>
  <si>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</si>
  <si>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</si>
  <si>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</si>
  <si>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</si>
  <si>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</si>
  <si>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</si>
  <si>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</si>
  <si>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</si>
  <si>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</si>
  <si>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</si>
  <si>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</si>
  <si>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</si>
  <si>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</si>
  <si>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</si>
  <si>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</si>
  <si>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</si>
  <si>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</si>
  <si>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</si>
  <si>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</si>
  <si>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</si>
  <si>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</si>
  <si>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</si>
  <si>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</si>
  <si>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</si>
  <si>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</si>
  <si>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</si>
  <si>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</si>
  <si>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</si>
  <si>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</si>
  <si>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</si>
  <si>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</si>
  <si>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</si>
  <si>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</si>
  <si>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</si>
  <si>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</si>
  <si>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</si>
  <si>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</si>
  <si>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</si>
  <si>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</si>
  <si>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</si>
  <si>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</si>
  <si>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</si>
  <si>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</si>
  <si>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</si>
  <si>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</si>
  <si>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</si>
  <si>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</si>
  <si>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</si>
  <si>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</si>
  <si>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</si>
  <si>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</si>
  <si>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</si>
  <si>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</si>
  <si>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</si>
  <si>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</si>
  <si>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</si>
  <si>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</si>
  <si>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</si>
  <si>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</si>
  <si>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</si>
  <si>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</si>
  <si>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</si>
  <si>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</si>
  <si>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Dover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</si>
</sst>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30" zoomScaleNormal="130" workbookViewId="0">
      <pane xSplit="5" ySplit="3" topLeftCell="F65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141</v>
      </c>
      <c r="C2" s="21">
        <v>141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7201.69</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f>437837.92+587542.98-3951.15-35642.02</f>
        <v>985787.72999999986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f>40488.34-2980.46</f>
        <v>37507.879999999997</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20116.95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v>619617.82999999996</v>
      </c>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1050614.2499999998</v>
      </c>
      <c r="H19" s="41">
        <f>SUM(H9:H18)</f>
        <v>619617.82999999996</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669220.25</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v>301.91000000000003</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v>644.77</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47062.94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717229.87000000011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20116.95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326795.12-35642.02-78209.28+26487.86</f>
        <v>239431.67999999999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36420.089999999997</v>
      </c>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v>73835.75</v>
      </c>
      <c r="H49" s="18">
        <f>535153.61+48044.13</f>
        <v>583197.74</v>
      </c>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333384.38</v>
      </c>
      <c r="H51" s="41">
        <f>SUM(H35:H50)</f>
        <v>619617.82999999996</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1050614.25</v>
      </c>
      <c r="H52" s="41">
        <f>H51+H32</f>
        <v>619617.82999999996</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37509751</f>
        <v>37509751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f>539.97+80500.79+1200</f>
        <v>82240.759999999995</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37591991.759999998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9282</f>
        <v>9282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f>4220+1500</f>
        <v>5720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f>108857.38</f>
        <v>108857.38</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61017.21+2389543.63+1198233.93+1549</f>
        <v>3650343.7699999996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319842.62+112019.83</f>
        <v>431862.45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93492.36</f>
        <v>93492.36</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f>55296.28</f>
        <v>55296.28</v>
      </c>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4245996.8599999994</v>
      </c>
      <c r="G79" s="45" t="s">
        <v>288</v>
      </c>
      <c r="H79" s="41">
        <f>SUM(H63:H78)</f>
        <v>108857.38</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f>15845.86+52228.64</f>
        <v>68074.5</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68074.5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245549.26+498572.82+79974.71+295.81+25164.6+6823.76-79974.71</f>
        <v>776406.25000000012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f>220.17+9145.41+4010.05+18154.94+5829.45+11405.54+18941.92</f>
        <v>67707.48</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f>159391.1</f>
        <v>159391.1</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403.6+3829.87+0.49+4106.29+4251.76+870</f>
        <v>13462.01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776406.25000000012</v>
      </c>
      <c r="H111" s="41">
        <f>SUM(H96:H110)</f>
        <v>240560.59000000003</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41906063.119999997</v>
      </c>
      <c r="G112" s="41">
        <f>G60+G111</f>
        <v>776406.25000000012</v>
      </c>
      <c r="H112" s="41">
        <f>H60+H79+H94+H111</f>
        <v>349417.97000000003</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9007444.29</f>
        <v>9007444.2899999991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6945209</f>
        <v>6945209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20697.59</f>
        <v>20697.59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15973350.879999999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f>581114.3</f>
        <v>581114.30000000005</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f>295107.34</f>
        <v>295107.34000000003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430742.6</f>
        <v>430742.6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312762.2</f>
        <v>312762.2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1556</f>
        <v>1556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f>324056.21+53798.28+15620.18+158207.81</f>
        <v>551682.48</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21606.02</f>
        <v>21606.02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122284.33</f>
        <v>122284.33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1621282.4400000002</v>
      </c>
      <c r="G136" s="41">
        <f>SUM(G123:G135)</f>
        <v>21606.02</v>
      </c>
      <c r="H136" s="41">
        <f>SUM(H123:H135)</f>
        <v>673966.80999999994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17594633.32</v>
      </c>
      <c r="G140" s="41">
        <f>G121+SUM(G136:G137)</f>
        <v>21606.02</v>
      </c>
      <c r="H140" s="41">
        <f>H121+SUM(H136:H139)</f>
        <v>673966.80999999994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f>9798.38</f>
        <v>9798.3799999999992</v>
      </c>
      <c r="G145" s="18"/>
      <c r="H145" s="18">
        <v>2700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f>49195.59</f>
        <v>49195.59</v>
      </c>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58993.969999999994</v>
      </c>
      <c r="G147" s="41">
        <f>SUM(G145:G146)</f>
        <v>0</v>
      </c>
      <c r="H147" s="41">
        <f>SUM(H145:H146)</f>
        <v>2700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776194.24</f>
        <v>776194.24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178798.83</f>
        <v>178798.83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17719.86+101342.29+5963.6</f>
        <v>125025.75</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199779.21+80094.52+13513.23+5727.44</f>
        <v>299114.39999999997</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580940.53+28899.26</f>
        <v>609839.79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917676.54</f>
        <v>917676.54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564157.4</f>
        <v>564157.4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f>82251.2</f>
        <v>82251.199999999997</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564157.4</v>
      </c>
      <c r="G162" s="41">
        <f>SUM(G150:G161)</f>
        <v>692090.99</v>
      </c>
      <c r="H162" s="41">
        <f>SUM(H150:H161)</f>
        <v>2296809.7599999998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623151.37</v>
      </c>
      <c r="G169" s="41">
        <f>G147+G162+SUM(G163:G168)</f>
        <v>692090.99</v>
      </c>
      <c r="H169" s="41">
        <f>H147+H162+SUM(H163:H168)</f>
        <v>2299509.7599999998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15128030.970000001</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15128030.970000001</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79974.710000000006</v>
      </c>
      <c r="H179" s="18">
        <v>14572.44</v>
      </c>
      <c r="I179" s="18">
        <v>165000</v>
      </c>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79974.710000000006</v>
      </c>
      <c r="H183" s="41">
        <f>SUM(H179:H182)</f>
        <v>14572.44</v>
      </c>
      <c r="I183" s="41">
        <f>SUM(I179:I182)</f>
        <v>165000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f>330220.14</f>
        <v>330220.14</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330220.14</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330220.14</v>
      </c>
      <c r="G192" s="41">
        <f>G183+SUM(G188:G191)</f>
        <v>79974.710000000006</v>
      </c>
      <c r="H192" s="41">
        <f>+H183+SUM(H188:H191)</f>
        <v>14572.44</v>
      </c>
      <c r="I192" s="41">
        <f>I177+I183+SUM(I188:I191)</f>
        <v>15293030.970000001</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60454067.949999996</v>
      </c>
      <c r="G193" s="47">
        <f>G112+G140+G169+G192</f>
        <v>1570077.9700000002</v>
      </c>
      <c r="H193" s="47">
        <f>H112+H140+H169+H192</f>
        <v>3337466.98</v>
      </c>
      <c r="I193" s="47">
        <f>I112+I140+I169+I192</f>
        <v>15293030.970000001</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4394196.98+25052.4+1075989.05+4143+76052.63</f>
        <v>5575434.0600000005</v>
      </c>
      <c r="G197" s="18">
        <f>1294703.49+47866.17+327882.38+702600.48+309774.17+8867.31+79241.6+136051.32+48551.76</f>
        <v>2955538.6799999997</v>
      </c>
      <c r="H197" s="18">
        <f>289+3457.41</f>
        <v>3746.41</v>
      </c>
      <c r="I197" s="18">
        <f>42891.87+71079.4+290.79+109.92+132.15+6696.13+5371.12</f>
        <v>126571.37999999998</v>
      </c>
      <c r="J197" s="18">
        <f>1024.26+2408.73+3131.13</f>
        <v>6564.12</v>
      </c>
      <c r="K197" s="18"/>
      <c r="L197" s="19">
        <f>SUM(F197:K197)</f>
        <v>8667854.6500000004</v>
      </c>
      <c r="M197" s="8"/>
      <c r="N197" s="266"/>
    </row>
    <row r="198" spans="1:14" s="3" customFormat="1" ht="12.2" customHeight="1" x14ac:dyDescent="0.15">
      <c r="A198" s="1" t="s">
        <v>439</v>
      </c>
      <c r="B198" s="2" t="s">
        <v>341</v>
      </c>
      <c r="C198" s="2" t="s">
        <v>291</v>
      </c>
      <c r="D198" s="2" t="s">
        <v>431</v>
      </c>
      <c r="E198" s="6">
        <v>1200</v>
      </c>
      <c r="F198" s="18">
        <f>1947449.56+15297.8+293163.42+1065.79+131530.52+131355.81</f>
        <v>2519862.9000000004</v>
      </c>
      <c r="G198" s="18">
        <f>378001.63+12069.78+143841.98+133766.68+78889.86+2600.94+21590.9+32383.12+48138.25+61828.94</f>
        <v>913112.08000000007</v>
      </c>
      <c r="H198" s="18">
        <f>109036.25+95170.42+284479.85+368054.84+36384.15+51.31</f>
        <v>893176.82000000007</v>
      </c>
      <c r="I198" s="18">
        <f>1561.93+82+100.07+6826.2+5835.22+191.26</f>
        <v>14596.680000000002</v>
      </c>
      <c r="J198" s="18">
        <f>7027.12</f>
        <v>7027.12</v>
      </c>
      <c r="K198" s="18">
        <f>11294.25</f>
        <v>11294.25</v>
      </c>
      <c r="L198" s="19">
        <f>SUM(F198:K198)</f>
        <v>4359069.8500000006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2388+2456+3465.81+2374.6</f>
        <v>10684.41</v>
      </c>
      <c r="G200" s="18">
        <f>182.68+414.55+187.86+261.1+63.35+249.38+285.57+424.25</f>
        <v>2068.7399999999998</v>
      </c>
      <c r="H200" s="18">
        <f>664.85</f>
        <v>664.85</v>
      </c>
      <c r="I200" s="18">
        <f>156.48+20.24+668.97</f>
        <v>845.69</v>
      </c>
      <c r="J200" s="18"/>
      <c r="K200" s="18"/>
      <c r="L200" s="19">
        <f>SUM(F200:K200)</f>
        <v>14263.69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221154.97+253095.97+75995+217870.12+954+175418</f>
        <v>944488.05999999994</v>
      </c>
      <c r="G202" s="18">
        <f>81813.14+2747.9+16526.97+38393.48+104630.76+3113.04+18491.61+43549.85+26296.62+866.98+5685.03+13192.69+65397.74+1807.04+16311.06+33044.16+78889.86+2600.94+12559.46+30452.54</f>
        <v>596370.86999999988</v>
      </c>
      <c r="H202" s="18">
        <f>805.94+19204.02+1185+127.41+72078.84+67647.84+108441.21</f>
        <v>269490.26</v>
      </c>
      <c r="I202" s="18">
        <f>1658.29+1838.7</f>
        <v>3496.99</v>
      </c>
      <c r="J202" s="18"/>
      <c r="K202" s="18"/>
      <c r="L202" s="19">
        <f t="shared" ref="L202:L208" si="0">SUM(F202:K202)</f>
        <v>1813846.1799999997</v>
      </c>
      <c r="M202" s="8"/>
      <c r="N202" s="266"/>
    </row>
    <row r="203" spans="1:14" s="3" customFormat="1" ht="12.2" customHeight="1" x14ac:dyDescent="0.15">
      <c r="A203" s="1" t="s">
        <v>443</v>
      </c>
      <c r="B203" s="2" t="s">
        <v>341</v>
      </c>
      <c r="C203" s="2" t="s">
        <v>295</v>
      </c>
      <c r="D203" s="2" t="s">
        <v>431</v>
      </c>
      <c r="E203" s="6">
        <v>2200</v>
      </c>
      <c r="F203" s="18">
        <f>2240+177400+617+65454.97+7517.45+15141.98+7486.4</f>
        <v>275857.80000000005</v>
      </c>
      <c r="G203" s="18">
        <f>171.37+388.86+10241+55507.23+1880.62+13119.24+30903.61+3143+25722.29+6369.15+2813.31+2570.44</f>
        <v>152830.12</v>
      </c>
      <c r="H203" s="18">
        <f>5463.5+8.72+418.8</f>
        <v>5891.02</v>
      </c>
      <c r="I203" s="18">
        <f>45710.9+3490.4+11496.04+1177.81+129.28+3301.23+820.97+6991.99</f>
        <v>73118.62000000001</v>
      </c>
      <c r="J203" s="18">
        <f>192.44</f>
        <v>192.44</v>
      </c>
      <c r="K203" s="18">
        <f>8.73+257.91</f>
        <v>266.64000000000004</v>
      </c>
      <c r="L203" s="19">
        <f t="shared" si="0"/>
        <v>508156.64000000007</v>
      </c>
      <c r="M203" s="8"/>
      <c r="N203" s="266"/>
    </row>
    <row r="204" spans="1:14" s="3" customFormat="1" ht="12.2" customHeight="1" x14ac:dyDescent="0.15">
      <c r="A204" s="1" t="s">
        <v>444</v>
      </c>
      <c r="B204" s="2" t="s">
        <v>341</v>
      </c>
      <c r="C204" s="2" t="s">
        <v>296</v>
      </c>
      <c r="D204" s="2" t="s">
        <v>431</v>
      </c>
      <c r="E204" s="6">
        <v>2300</v>
      </c>
      <c r="F204" s="18">
        <f>2512.8+184579.22+1769.32</f>
        <v>188861.34</v>
      </c>
      <c r="G204" s="18">
        <f>192.27+90889.97+447.5+725.92</f>
        <v>92255.66</v>
      </c>
      <c r="H204" s="18">
        <f>48220+10630.42+109785.69+39870.11+261.75+1745</f>
        <v>210512.96999999997</v>
      </c>
      <c r="I204" s="18">
        <f>4734.29+108.89+872.5</f>
        <v>5715.68</v>
      </c>
      <c r="J204" s="18">
        <f>113.84</f>
        <v>113.84</v>
      </c>
      <c r="K204" s="18">
        <f>6351.78</f>
        <v>6351.78</v>
      </c>
      <c r="L204" s="19">
        <f t="shared" si="0"/>
        <v>503811.27</v>
      </c>
      <c r="M204" s="8"/>
      <c r="N204" s="266"/>
    </row>
    <row r="205" spans="1:14" s="3" customFormat="1" ht="12.2" customHeight="1" x14ac:dyDescent="0.15">
      <c r="A205" s="1" t="s">
        <v>445</v>
      </c>
      <c r="B205" s="2" t="s">
        <v>341</v>
      </c>
      <c r="C205" s="2" t="s">
        <v>297</v>
      </c>
      <c r="D205" s="2" t="s">
        <v>431</v>
      </c>
      <c r="E205" s="6">
        <v>2400</v>
      </c>
      <c r="F205" s="18">
        <f>701850.24+4875+34863.8</f>
        <v>741589.04</v>
      </c>
      <c r="G205" s="18">
        <f>169982.23+8657.03+53314.16+111827.66+30+2667.32</f>
        <v>346478.4</v>
      </c>
      <c r="H205" s="18">
        <f>389+3350+536.32</f>
        <v>4275.32</v>
      </c>
      <c r="I205" s="18">
        <f>955.29</f>
        <v>955.29</v>
      </c>
      <c r="J205" s="18"/>
      <c r="K205" s="18">
        <f>4448</f>
        <v>4448</v>
      </c>
      <c r="L205" s="19">
        <f t="shared" si="0"/>
        <v>1097746.05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f>450+7432+12009.01+3312+21884.25+150+2516.98+4140.58+532+1640+1038273.34+105077.27+25912.13</f>
        <v>1223329.5599999998</v>
      </c>
      <c r="I207" s="18">
        <f>95715.59+203261.42+976.56+61.69</f>
        <v>300015.26</v>
      </c>
      <c r="J207" s="18">
        <f>8472.85</f>
        <v>8472.85</v>
      </c>
      <c r="K207" s="18"/>
      <c r="L207" s="19">
        <f t="shared" si="0"/>
        <v>1531817.67</v>
      </c>
      <c r="M207" s="8"/>
      <c r="N207" s="266"/>
    </row>
    <row r="208" spans="1:14" s="3" customFormat="1" ht="12.2" customHeight="1" x14ac:dyDescent="0.15">
      <c r="A208" s="1" t="s">
        <v>448</v>
      </c>
      <c r="B208" s="2" t="s">
        <v>341</v>
      </c>
      <c r="C208" s="2" t="s">
        <v>300</v>
      </c>
      <c r="D208" s="2" t="s">
        <v>431</v>
      </c>
      <c r="E208" s="6">
        <v>2700</v>
      </c>
      <c r="F208" s="18">
        <f>1485+2953.27</f>
        <v>4438.2700000000004</v>
      </c>
      <c r="G208" s="18">
        <f>518.21+430.42</f>
        <v>948.63000000000011</v>
      </c>
      <c r="H208" s="18">
        <f>30670.89+214904.96+534712.22+41394.01+24.23</f>
        <v>821706.30999999994</v>
      </c>
      <c r="I208" s="18"/>
      <c r="J208" s="18"/>
      <c r="K208" s="18"/>
      <c r="L208" s="19">
        <f t="shared" si="0"/>
        <v>827093.21</v>
      </c>
      <c r="M208" s="8"/>
      <c r="N208" s="266"/>
    </row>
    <row r="209" spans="1:14" s="3" customFormat="1" ht="12.2" customHeight="1" x14ac:dyDescent="0.15">
      <c r="A209" s="1" t="s">
        <v>449</v>
      </c>
      <c r="B209" s="2" t="s">
        <v>341</v>
      </c>
      <c r="C209" s="2" t="s">
        <v>343</v>
      </c>
      <c r="D209" s="2" t="s">
        <v>431</v>
      </c>
      <c r="E209" s="6">
        <v>2800</v>
      </c>
      <c r="F209" s="18">
        <f>124245.3+16094.05</f>
        <v>140339.35</v>
      </c>
      <c r="G209" s="18">
        <f>60108-273.76+44313.47+2946.7</f>
        <v>107094.40999999999</v>
      </c>
      <c r="H209" s="18">
        <f>39020.66</f>
        <v>39020.660000000003</v>
      </c>
      <c r="I209" s="18">
        <f>69410.36+139.6</f>
        <v>69549.960000000006</v>
      </c>
      <c r="J209" s="18">
        <f>23461.22+181177.87+21565.37</f>
        <v>226204.46</v>
      </c>
      <c r="K209" s="18">
        <f>1118.89</f>
        <v>1118.8900000000001</v>
      </c>
      <c r="L209" s="19">
        <f>SUM(F209:K209)</f>
        <v>583327.7300000001</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10401555.230000002</v>
      </c>
      <c r="G211" s="41">
        <f t="shared" si="1"/>
        <v>5166697.5900000008</v>
      </c>
      <c r="H211" s="41">
        <f t="shared" si="1"/>
        <v>3471814.18</v>
      </c>
      <c r="I211" s="41">
        <f t="shared" si="1"/>
        <v>594865.54999999993</v>
      </c>
      <c r="J211" s="41">
        <f t="shared" si="1"/>
        <v>248574.83</v>
      </c>
      <c r="K211" s="41">
        <f t="shared" si="1"/>
        <v>23479.559999999998</v>
      </c>
      <c r="L211" s="41">
        <f t="shared" si="1"/>
        <v>19906986.940000001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3641142.94+21264.5+64067.26</f>
        <v>3726474.6999999997</v>
      </c>
      <c r="G215" s="18">
        <f>1065737.5+35580+271437.36+608476.61+40900.33</f>
        <v>2022131.7999999998</v>
      </c>
      <c r="H215" s="18">
        <f>2151.53+33.06+2912.54</f>
        <v>5097.13</v>
      </c>
      <c r="I215" s="18">
        <f>40244.67+16331.27+2515.8+5640.86+4524.67</f>
        <v>69257.27</v>
      </c>
      <c r="J215" s="18">
        <f>303.6+2501.19+749.46</f>
        <v>3554.25</v>
      </c>
      <c r="K215" s="18"/>
      <c r="L215" s="19">
        <f>SUM(F215:K215)</f>
        <v>5826515.1499999994</v>
      </c>
      <c r="M215" s="8"/>
      <c r="N215" s="266"/>
    </row>
    <row r="216" spans="1:14" s="3" customFormat="1" ht="12.2" customHeight="1" x14ac:dyDescent="0.15">
      <c r="A216" s="1" t="s">
        <v>439</v>
      </c>
      <c r="B216" s="2" t="s">
        <v>346</v>
      </c>
      <c r="C216" s="2" t="s">
        <v>291</v>
      </c>
      <c r="D216" s="2" t="s">
        <v>431</v>
      </c>
      <c r="E216" s="6">
        <v>1200</v>
      </c>
      <c r="F216" s="18">
        <f>1493252.29+6940+110802.22+110655.03</f>
        <v>1721649.54</v>
      </c>
      <c r="G216" s="18">
        <f>226739.34+8558.59+110298.59+133194.25+40551.99+52085.13</f>
        <v>571427.89</v>
      </c>
      <c r="H216" s="18">
        <f>49840+1193645.16+92122.39+90+30650.26+43.22</f>
        <v>1366391.0299999998</v>
      </c>
      <c r="I216" s="18">
        <f>3966.36+5750.44+4915.63+161.11</f>
        <v>14793.54</v>
      </c>
      <c r="J216" s="18">
        <f>774.64+5919.69</f>
        <v>6694.33</v>
      </c>
      <c r="K216" s="18">
        <f>9514.35</f>
        <v>9514.35</v>
      </c>
      <c r="L216" s="19">
        <f>SUM(F216:K216)</f>
        <v>3690470.68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7313+20038+2000.38</f>
        <v>29351.38</v>
      </c>
      <c r="G218" s="18">
        <f>559.43+1269.55+1532.75+1192.98+357.39</f>
        <v>4912.1000000000004</v>
      </c>
      <c r="H218" s="18">
        <f>5538+2246+560.07</f>
        <v>8344.07</v>
      </c>
      <c r="I218" s="18">
        <f>718.85+563.55</f>
        <v>1282.4000000000001</v>
      </c>
      <c r="J218" s="18"/>
      <c r="K218" s="18">
        <f>1245</f>
        <v>1245</v>
      </c>
      <c r="L218" s="19">
        <f>SUM(F218:K218)</f>
        <v>45134.950000000004</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308290.18+1317+151705.22+60060+51962+26856.8</f>
        <v>600191.20000000007</v>
      </c>
      <c r="G220" s="18">
        <f>108355.69+3368.46+22738.9+51163.63+866.98+11538.96+23311.66+19479.98+496.9+4411.75+10426.44+26240.04+865.14+3718.62+9020.67+2054.43</f>
        <v>298058.25</v>
      </c>
      <c r="H220" s="18">
        <f>46640+6401.33+615+16852.8+91351.62</f>
        <v>161860.75</v>
      </c>
      <c r="I220" s="18">
        <f>269.03+1483.79</f>
        <v>1752.82</v>
      </c>
      <c r="J220" s="18">
        <f>99</f>
        <v>99</v>
      </c>
      <c r="K220" s="18"/>
      <c r="L220" s="19">
        <f t="shared" ref="L220:L226" si="2">SUM(F220:K220)</f>
        <v>1061962.0200000003</v>
      </c>
      <c r="M220" s="8"/>
      <c r="N220" s="266"/>
    </row>
    <row r="221" spans="1:14" s="3" customFormat="1" ht="12.2" customHeight="1" x14ac:dyDescent="0.15">
      <c r="A221" s="1" t="s">
        <v>443</v>
      </c>
      <c r="B221" s="2" t="s">
        <v>346</v>
      </c>
      <c r="C221" s="2" t="s">
        <v>295</v>
      </c>
      <c r="D221" s="2" t="s">
        <v>431</v>
      </c>
      <c r="E221" s="6">
        <v>2200</v>
      </c>
      <c r="F221" s="18">
        <f>14825+44391+55139.72+6332.75+12755.71+6306.59</f>
        <v>139750.76999999999</v>
      </c>
      <c r="G221" s="18">
        <f>1134.14+2573.62+34394.8+3396.08+7706.37+1053.36+21668.63+5365.41+2369.95+2165.35</f>
        <v>81827.710000000021</v>
      </c>
      <c r="H221" s="18">
        <f>4612.96+7.35+352.8</f>
        <v>4973.1100000000006</v>
      </c>
      <c r="I221" s="18">
        <f>14450.79+985.69+8497.41+99.94+412.58+108.91+2780.98+691.59+5890.1</f>
        <v>33917.99</v>
      </c>
      <c r="J221" s="18">
        <f>162.11</f>
        <v>162.11000000000001</v>
      </c>
      <c r="K221" s="18">
        <f>7.35+217.27</f>
        <v>224.62</v>
      </c>
      <c r="L221" s="19">
        <f t="shared" si="2"/>
        <v>260856.31</v>
      </c>
      <c r="M221" s="8"/>
      <c r="N221" s="266"/>
    </row>
    <row r="222" spans="1:14" s="3" customFormat="1" ht="12.2" customHeight="1" x14ac:dyDescent="0.15">
      <c r="A222" s="1" t="s">
        <v>444</v>
      </c>
      <c r="B222" s="2" t="s">
        <v>346</v>
      </c>
      <c r="C222" s="2" t="s">
        <v>296</v>
      </c>
      <c r="D222" s="2" t="s">
        <v>431</v>
      </c>
      <c r="E222" s="6">
        <v>2300</v>
      </c>
      <c r="F222" s="18">
        <f>2116.8+155490.81+1490.49</f>
        <v>159098.09999999998</v>
      </c>
      <c r="G222" s="18">
        <f>161.97+76566.34+376.98+611.52</f>
        <v>77716.81</v>
      </c>
      <c r="H222" s="18">
        <f>40183+8955.14+92484.22+33586.85+220.5+1470</f>
        <v>176899.71</v>
      </c>
      <c r="I222" s="18">
        <f>3988.2+91.73+735</f>
        <v>4814.93</v>
      </c>
      <c r="J222" s="18">
        <f>95.9</f>
        <v>95.9</v>
      </c>
      <c r="K222" s="18">
        <f>5350.78</f>
        <v>5350.78</v>
      </c>
      <c r="L222" s="19">
        <f t="shared" si="2"/>
        <v>423976.23000000004</v>
      </c>
      <c r="M222" s="8"/>
      <c r="N222" s="266"/>
    </row>
    <row r="223" spans="1:14" s="3" customFormat="1" ht="12.2" customHeight="1" x14ac:dyDescent="0.15">
      <c r="A223" s="1" t="s">
        <v>445</v>
      </c>
      <c r="B223" s="2" t="s">
        <v>346</v>
      </c>
      <c r="C223" s="2" t="s">
        <v>297</v>
      </c>
      <c r="D223" s="2" t="s">
        <v>431</v>
      </c>
      <c r="E223" s="6">
        <v>2400</v>
      </c>
      <c r="F223" s="18">
        <f>407382+3750+19092.5</f>
        <v>430224.5</v>
      </c>
      <c r="G223" s="18">
        <f>125840.55+5988.48+30384.91+57079.7+90+1460.83</f>
        <v>220844.47</v>
      </c>
      <c r="H223" s="18">
        <f>758.2</f>
        <v>758.2</v>
      </c>
      <c r="I223" s="18">
        <f>759.39</f>
        <v>759.39</v>
      </c>
      <c r="J223" s="18"/>
      <c r="K223" s="18">
        <f>1614.5</f>
        <v>1614.5</v>
      </c>
      <c r="L223" s="19">
        <f t="shared" si="2"/>
        <v>654201.05999999994</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f>8235.4+10496.55+1416+13617.71+50+2293.13+3599.28+980+874648.6+88517.81+21828.56</f>
        <v>1025683.04</v>
      </c>
      <c r="I225" s="18">
        <f>77066.71+212424.48+822.66+51.97</f>
        <v>290365.81999999995</v>
      </c>
      <c r="J225" s="18">
        <f>5240+7137.59</f>
        <v>12377.59</v>
      </c>
      <c r="K225" s="18"/>
      <c r="L225" s="19">
        <f t="shared" si="2"/>
        <v>1328426.45</v>
      </c>
      <c r="M225" s="8"/>
      <c r="N225" s="266"/>
    </row>
    <row r="226" spans="1:14" s="3" customFormat="1" ht="12.2" customHeight="1" x14ac:dyDescent="0.15">
      <c r="A226" s="1" t="s">
        <v>448</v>
      </c>
      <c r="B226" s="2" t="s">
        <v>346</v>
      </c>
      <c r="C226" s="2" t="s">
        <v>300</v>
      </c>
      <c r="D226" s="2" t="s">
        <v>431</v>
      </c>
      <c r="E226" s="6">
        <v>2700</v>
      </c>
      <c r="F226" s="18">
        <f>1250.97+2487.85</f>
        <v>3738.8199999999997</v>
      </c>
      <c r="G226" s="18">
        <f>436.54+362.59</f>
        <v>799.13</v>
      </c>
      <c r="H226" s="18">
        <f>317432.28+71927.87+13470.46+179.86+450445.26+34870.6+20.41</f>
        <v>888346.74</v>
      </c>
      <c r="I226" s="18"/>
      <c r="J226" s="18"/>
      <c r="K226" s="18"/>
      <c r="L226" s="19">
        <f t="shared" si="2"/>
        <v>892884.69</v>
      </c>
      <c r="M226" s="8"/>
      <c r="N226" s="266"/>
    </row>
    <row r="227" spans="1:14" s="3" customFormat="1" ht="12.2" customHeight="1" x14ac:dyDescent="0.15">
      <c r="A227" s="1" t="s">
        <v>449</v>
      </c>
      <c r="B227" s="2" t="s">
        <v>346</v>
      </c>
      <c r="C227" s="2" t="s">
        <v>343</v>
      </c>
      <c r="D227" s="2" t="s">
        <v>431</v>
      </c>
      <c r="E227" s="6">
        <v>2800</v>
      </c>
      <c r="F227" s="18">
        <f>52081.4+9252.28+1000+104665.1+13557.74</f>
        <v>180556.52</v>
      </c>
      <c r="G227" s="18">
        <f>50090+990.52+4768.5+6040.59-230.62+37329.97+2482.32</f>
        <v>101471.28</v>
      </c>
      <c r="H227" s="18">
        <f>32871.27</f>
        <v>32871.269999999997</v>
      </c>
      <c r="I227" s="18">
        <f>58471.76+117.6</f>
        <v>58589.36</v>
      </c>
      <c r="J227" s="18">
        <f>19763.9+152625.48+21565.38</f>
        <v>193954.76</v>
      </c>
      <c r="K227" s="18">
        <f>942.56</f>
        <v>942.56</v>
      </c>
      <c r="L227" s="19">
        <f>SUM(F227:K227)</f>
        <v>568385.75</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6991035.5299999993</v>
      </c>
      <c r="G229" s="41">
        <f>SUM(G215:G228)</f>
        <v>3379189.44</v>
      </c>
      <c r="H229" s="41">
        <f>SUM(H215:H228)</f>
        <v>3671225.0500000003</v>
      </c>
      <c r="I229" s="41">
        <f>SUM(I215:I228)</f>
        <v>475533.5199999999</v>
      </c>
      <c r="J229" s="41">
        <f>SUM(J215:J228)</f>
        <v>216937.94</v>
      </c>
      <c r="K229" s="41">
        <f t="shared" si="3"/>
        <v>18891.810000000001</v>
      </c>
      <c r="L229" s="41">
        <f t="shared" si="3"/>
        <v>14752813.289999999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4442644.92+25468.86+77795.96</f>
        <v>4545909.74</v>
      </c>
      <c r="G233" s="18">
        <f>1272060.13+43600.06+332910.96+724860.84+49664.69</f>
        <v>2423096.6799999997</v>
      </c>
      <c r="H233" s="18">
        <f>5432.44+1549.56+3536.66</f>
        <v>10518.66</v>
      </c>
      <c r="I233" s="18">
        <f>36868.78+4915.4+344.25+6849.62+5494.24</f>
        <v>54472.29</v>
      </c>
      <c r="J233" s="18">
        <f>1495</f>
        <v>1495</v>
      </c>
      <c r="K233" s="18"/>
      <c r="L233" s="19">
        <f>SUM(F233:K233)</f>
        <v>7035492.3700000001</v>
      </c>
      <c r="M233" s="8"/>
      <c r="N233" s="266"/>
    </row>
    <row r="234" spans="1:14" s="3" customFormat="1" ht="12.2" customHeight="1" x14ac:dyDescent="0.15">
      <c r="A234" s="1" t="s">
        <v>439</v>
      </c>
      <c r="B234" s="2" t="s">
        <v>350</v>
      </c>
      <c r="C234" s="2" t="s">
        <v>291</v>
      </c>
      <c r="D234" s="2" t="s">
        <v>431</v>
      </c>
      <c r="E234" s="6">
        <v>1200</v>
      </c>
      <c r="F234" s="18">
        <f>1403302.34+5726+134545.55+134366.83</f>
        <v>1677940.7200000002</v>
      </c>
      <c r="G234" s="18">
        <f>302844.46+13123.91+103709.69+140725.75+49241.71+63246.23</f>
        <v>672891.75</v>
      </c>
      <c r="H234" s="18">
        <f>4044.16+329+900+5607.37+210.65+4141.08+747952.46+1029.81+835.14+73201.47+37218.17+52.48</f>
        <v>875521.79</v>
      </c>
      <c r="I234" s="18">
        <f>2744.41+2328.32+180.96+510.95+2800+5.95+6982.68+5968.98+195.64</f>
        <v>21717.89</v>
      </c>
      <c r="J234" s="18">
        <f>413.1+274.64+80+7188.2</f>
        <v>7955.94</v>
      </c>
      <c r="K234" s="18">
        <f>89+685+11553.14</f>
        <v>12327.14</v>
      </c>
      <c r="L234" s="19">
        <f>SUM(F234:K234)</f>
        <v>3268355.2300000004</v>
      </c>
      <c r="M234" s="8"/>
      <c r="N234" s="266"/>
    </row>
    <row r="235" spans="1:14" s="3" customFormat="1" ht="12.2" customHeight="1" x14ac:dyDescent="0.15">
      <c r="A235" s="1" t="s">
        <v>440</v>
      </c>
      <c r="B235" s="2" t="s">
        <v>350</v>
      </c>
      <c r="C235" s="2" t="s">
        <v>292</v>
      </c>
      <c r="D235" s="2" t="s">
        <v>431</v>
      </c>
      <c r="E235" s="6">
        <v>1300</v>
      </c>
      <c r="F235" s="18">
        <f>1041662.49+3639+46682+617</f>
        <v>1092600.49</v>
      </c>
      <c r="G235" s="18">
        <f>295873.36+8684.15+77827.11+167537.45+30+9739.92+517.04+3548.44+8103.96+46.54+107.12</f>
        <v>572015.09000000008</v>
      </c>
      <c r="H235" s="18">
        <f>913.24+1975.03+1220.5+24.84+7103.71+527.35</f>
        <v>11764.67</v>
      </c>
      <c r="I235" s="18">
        <f>4533.44+67074.8+5179.77+6761.77+15892.83</f>
        <v>99442.610000000015</v>
      </c>
      <c r="J235" s="18"/>
      <c r="K235" s="18">
        <f>7891</f>
        <v>7891</v>
      </c>
      <c r="L235" s="19">
        <f>SUM(F235:K235)</f>
        <v>1783713.86</v>
      </c>
      <c r="M235" s="8"/>
      <c r="N235" s="266"/>
    </row>
    <row r="236" spans="1:14" s="3" customFormat="1" ht="12.2" customHeight="1" x14ac:dyDescent="0.15">
      <c r="A236" s="1" t="s">
        <v>441</v>
      </c>
      <c r="B236" s="2" t="s">
        <v>350</v>
      </c>
      <c r="C236" s="2" t="s">
        <v>293</v>
      </c>
      <c r="D236" s="2" t="s">
        <v>431</v>
      </c>
      <c r="E236" s="6">
        <v>1400</v>
      </c>
      <c r="F236" s="18">
        <f>822.51+17145.5+282890.33+1100+2429.03</f>
        <v>304387.37000000005</v>
      </c>
      <c r="G236" s="18">
        <f>62.84+76.5+1311.55+2817.9+52649.66+2254.08+21466.31+33796.88-0.04+433.97</f>
        <v>114869.65000000001</v>
      </c>
      <c r="H236" s="18">
        <f>745+1065+15000+37652+7071.85+2705.46+680.09</f>
        <v>64919.399999999994</v>
      </c>
      <c r="I236" s="18">
        <f>22000.61+684.3</f>
        <v>22684.91</v>
      </c>
      <c r="J236" s="18">
        <f>17150.07</f>
        <v>17150.07</v>
      </c>
      <c r="K236" s="18">
        <f>1542+39000.5</f>
        <v>40542.5</v>
      </c>
      <c r="L236" s="19">
        <f>SUM(F236:K236)</f>
        <v>564553.9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453017.85+400+133314.6+53625</f>
        <v>640357.44999999995</v>
      </c>
      <c r="G238" s="18">
        <f>117946.54+2898.64+33647.31+74330.3+52593.24+1384.02+9694.24+19954.22+26296.62+866.98+3771.43+9309.3</f>
        <v>352692.83999999997</v>
      </c>
      <c r="H238" s="18">
        <f>46640+6401.33+1280+9098.61+44000+1643+110926.97</f>
        <v>219989.91</v>
      </c>
      <c r="I238" s="18">
        <f>1356.99+704.58</f>
        <v>2061.5700000000002</v>
      </c>
      <c r="J238" s="18"/>
      <c r="K238" s="18"/>
      <c r="L238" s="19">
        <f t="shared" ref="L238:L244" si="4">SUM(F238:K238)</f>
        <v>1215101.77</v>
      </c>
      <c r="M238" s="8"/>
      <c r="N238" s="266"/>
    </row>
    <row r="239" spans="1:14" s="3" customFormat="1" ht="12.2" customHeight="1" x14ac:dyDescent="0.15">
      <c r="A239" s="1" t="s">
        <v>443</v>
      </c>
      <c r="B239" s="2" t="s">
        <v>350</v>
      </c>
      <c r="C239" s="2" t="s">
        <v>295</v>
      </c>
      <c r="D239" s="2" t="s">
        <v>431</v>
      </c>
      <c r="E239" s="6">
        <v>2200</v>
      </c>
      <c r="F239" s="18">
        <f>19360+66854+209.78+66955.37+7689.77+15489.07+7658.01</f>
        <v>184216</v>
      </c>
      <c r="G239" s="18">
        <f>1481.04+3360.9+21926.2+517.04+5130.32+11605.87+2040+26311.91+6515.15+2877.8+2629.36</f>
        <v>84395.59</v>
      </c>
      <c r="H239" s="18">
        <f>6849.79+8.92+428.4</f>
        <v>7287.11</v>
      </c>
      <c r="I239" s="18">
        <f>8999+575.06+1895.05+2791.63+389.31+1231.95+36.4+132.24+3376.91+839.79+7152.27</f>
        <v>27419.609999999997</v>
      </c>
      <c r="J239" s="18">
        <f>196.85</f>
        <v>196.85</v>
      </c>
      <c r="K239" s="18">
        <f>8.93+263.82</f>
        <v>272.75</v>
      </c>
      <c r="L239" s="19">
        <f t="shared" si="4"/>
        <v>303787.90999999992</v>
      </c>
      <c r="M239" s="8"/>
      <c r="N239" s="266"/>
    </row>
    <row r="240" spans="1:14" s="3" customFormat="1" ht="12.2" customHeight="1" x14ac:dyDescent="0.15">
      <c r="A240" s="1" t="s">
        <v>444</v>
      </c>
      <c r="B240" s="2" t="s">
        <v>350</v>
      </c>
      <c r="C240" s="2" t="s">
        <v>296</v>
      </c>
      <c r="D240" s="2" t="s">
        <v>431</v>
      </c>
      <c r="E240" s="6">
        <v>2300</v>
      </c>
      <c r="F240" s="18">
        <f>2570.4+188810.26+1809.88</f>
        <v>193190.54</v>
      </c>
      <c r="G240" s="18">
        <f>196.68+92973.41+457.76+742.56</f>
        <v>94370.409999999989</v>
      </c>
      <c r="H240" s="18">
        <f>45543+10874.1+112302.26+40784.03+267.75+1785</f>
        <v>211556.13999999998</v>
      </c>
      <c r="I240" s="18">
        <f>4842.81+111.38+892.5</f>
        <v>5846.6900000000005</v>
      </c>
      <c r="J240" s="18">
        <f>116.45</f>
        <v>116.45</v>
      </c>
      <c r="K240" s="18">
        <f>6497.38</f>
        <v>6497.38</v>
      </c>
      <c r="L240" s="19">
        <f t="shared" si="4"/>
        <v>511577.61</v>
      </c>
      <c r="M240" s="8"/>
      <c r="N240" s="266"/>
    </row>
    <row r="241" spans="1:14" s="3" customFormat="1" ht="12.2" customHeight="1" x14ac:dyDescent="0.15">
      <c r="A241" s="1" t="s">
        <v>445</v>
      </c>
      <c r="B241" s="2" t="s">
        <v>350</v>
      </c>
      <c r="C241" s="2" t="s">
        <v>297</v>
      </c>
      <c r="D241" s="2" t="s">
        <v>431</v>
      </c>
      <c r="E241" s="6">
        <v>2400</v>
      </c>
      <c r="F241" s="18">
        <f>588167.36+28087.32+6250+31557.6</f>
        <v>654062.27999999991</v>
      </c>
      <c r="G241" s="18">
        <f>166016.44+10738.62+46557.58+90602.82+90+2414.13</f>
        <v>316419.59000000003</v>
      </c>
      <c r="H241" s="18">
        <f>1045+552.54+46.4+7170.24</f>
        <v>8814.18</v>
      </c>
      <c r="I241" s="18">
        <f>3844.68+4983.67</f>
        <v>8828.35</v>
      </c>
      <c r="J241" s="18"/>
      <c r="K241" s="18">
        <f>17501.95</f>
        <v>17501.95</v>
      </c>
      <c r="L241" s="19">
        <f t="shared" si="4"/>
        <v>1005626.3499999999</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f>17907.59+7223.57+340+3336+23648.94+150+16911.26+8186.92+5749.28+840+1062073.3+107485.92+26506.1</f>
        <v>1280358.8800000001</v>
      </c>
      <c r="I243" s="18">
        <f>257490.6+448867.62+375+998.95+63.11</f>
        <v>707795.27999999991</v>
      </c>
      <c r="J243" s="18">
        <f>8667.07</f>
        <v>8667.07</v>
      </c>
      <c r="K243" s="18"/>
      <c r="L243" s="19">
        <f t="shared" si="4"/>
        <v>1996821.2300000002</v>
      </c>
      <c r="M243" s="8"/>
      <c r="N243" s="266"/>
    </row>
    <row r="244" spans="1:14" s="3" customFormat="1" ht="12.2" customHeight="1" x14ac:dyDescent="0.15">
      <c r="A244" s="1" t="s">
        <v>448</v>
      </c>
      <c r="B244" s="2" t="s">
        <v>350</v>
      </c>
      <c r="C244" s="2" t="s">
        <v>300</v>
      </c>
      <c r="D244" s="2" t="s">
        <v>431</v>
      </c>
      <c r="E244" s="6">
        <v>2700</v>
      </c>
      <c r="F244" s="18">
        <f>1519.04+3020.96</f>
        <v>4540</v>
      </c>
      <c r="G244" s="18">
        <f>530.08+440.29</f>
        <v>970.37000000000012</v>
      </c>
      <c r="H244" s="18">
        <f>175303.62+35179.61+56827.45+104756.88+10325.76+546969.24+42342.87+24.79</f>
        <v>971730.22000000009</v>
      </c>
      <c r="I244" s="18">
        <f>71.9</f>
        <v>71.900000000000006</v>
      </c>
      <c r="J244" s="18"/>
      <c r="K244" s="18"/>
      <c r="L244" s="19">
        <f t="shared" si="4"/>
        <v>977312.49000000011</v>
      </c>
      <c r="M244" s="8"/>
      <c r="N244" s="266"/>
    </row>
    <row r="245" spans="1:14" s="3" customFormat="1" ht="12.2" customHeight="1" x14ac:dyDescent="0.15">
      <c r="A245" s="1" t="s">
        <v>449</v>
      </c>
      <c r="B245" s="2" t="s">
        <v>350</v>
      </c>
      <c r="C245" s="2" t="s">
        <v>343</v>
      </c>
      <c r="D245" s="2" t="s">
        <v>431</v>
      </c>
      <c r="E245" s="6">
        <v>2800</v>
      </c>
      <c r="F245" s="18">
        <f>54806.98+215.36+127093.33+16462.97</f>
        <v>198578.64</v>
      </c>
      <c r="G245" s="18">
        <f>56769+20855.86+1355.4+4125.14+6042.78-280.03+45329.25+3014.25</f>
        <v>137211.65</v>
      </c>
      <c r="H245" s="18">
        <f>39915.11</f>
        <v>39915.11</v>
      </c>
      <c r="I245" s="18">
        <f>71001.43+142.8</f>
        <v>71144.23</v>
      </c>
      <c r="J245" s="18">
        <f>23999.02+185330.95</f>
        <v>209329.97</v>
      </c>
      <c r="K245" s="18">
        <f>1144.54</f>
        <v>1144.54</v>
      </c>
      <c r="L245" s="19">
        <f>SUM(F245:K245)</f>
        <v>657324.14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9495783.2300000004</v>
      </c>
      <c r="G247" s="41">
        <f t="shared" si="5"/>
        <v>4768933.62</v>
      </c>
      <c r="H247" s="41">
        <f t="shared" si="5"/>
        <v>3702376.0700000003</v>
      </c>
      <c r="I247" s="41">
        <f t="shared" si="5"/>
        <v>1021485.33</v>
      </c>
      <c r="J247" s="41">
        <f t="shared" si="5"/>
        <v>244911.35</v>
      </c>
      <c r="K247" s="41">
        <f t="shared" si="5"/>
        <v>86177.26</v>
      </c>
      <c r="L247" s="41">
        <f t="shared" si="5"/>
        <v>19319666.859999999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135351.20000000001</v>
      </c>
      <c r="G251" s="18">
        <v>69766.89</v>
      </c>
      <c r="H251" s="18"/>
      <c r="I251" s="18"/>
      <c r="J251" s="18"/>
      <c r="K251" s="18"/>
      <c r="L251" s="19">
        <f t="shared" si="6"/>
        <v>205118.09000000003</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135351.20000000001</v>
      </c>
      <c r="G256" s="41">
        <f t="shared" si="7"/>
        <v>69766.89</v>
      </c>
      <c r="H256" s="41">
        <f t="shared" si="7"/>
        <v>0</v>
      </c>
      <c r="I256" s="41">
        <f t="shared" si="7"/>
        <v>0</v>
      </c>
      <c r="J256" s="41">
        <f t="shared" si="7"/>
        <v>0</v>
      </c>
      <c r="K256" s="41">
        <f t="shared" si="7"/>
        <v>0</v>
      </c>
      <c r="L256" s="41">
        <f>SUM(F256:K256)</f>
        <v>205118.09000000003</v>
      </c>
      <c r="M256" s="8"/>
      <c r="N256" s="266"/>
    </row>
    <row r="257" spans="1:14" s="3" customFormat="1" ht="12.2" customHeight="1" thickTop="1" x14ac:dyDescent="0.15">
      <c r="A257" s="38" t="s">
        <v>462</v>
      </c>
      <c r="B257" s="40">
        <v>10</v>
      </c>
      <c r="C257" s="40">
        <v>8</v>
      </c>
      <c r="D257" s="39" t="s">
        <v>431</v>
      </c>
      <c r="E257" s="40"/>
      <c r="F257" s="41">
        <f t="shared" ref="F257:L257" si="8">F211+F229+F247+F256</f>
        <v>27023725.190000001</v>
      </c>
      <c r="G257" s="41">
        <f t="shared" si="8"/>
        <v>13384587.540000003</v>
      </c>
      <c r="H257" s="41">
        <f t="shared" si="8"/>
        <v>10845415.300000001</v>
      </c>
      <c r="I257" s="41">
        <f t="shared" si="8"/>
        <v>2091884.4</v>
      </c>
      <c r="J257" s="41">
        <f t="shared" si="8"/>
        <v>710424.12</v>
      </c>
      <c r="K257" s="41">
        <f t="shared" si="8"/>
        <v>128548.62999999999</v>
      </c>
      <c r="L257" s="41">
        <f t="shared" si="8"/>
        <v>54184585.180000007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1891205.13</v>
      </c>
      <c r="L260" s="19">
        <f>SUM(F260:K260)</f>
        <v>1891205.13</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3942903.51</v>
      </c>
      <c r="L261" s="19">
        <f>SUM(F261:K261)</f>
        <v>3942903.51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f>79974.71</f>
        <v>79974.710000000006</v>
      </c>
      <c r="L263" s="19">
        <f>SUM(F263:K263)</f>
        <v>79974.710000000006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f>14572.44</f>
        <v>14572.44</v>
      </c>
      <c r="L264" s="19">
        <f t="shared" ref="L264:L270" si="9">SUM(F264:K264)</f>
        <v>14572.44</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f>165000</f>
        <v>165000</v>
      </c>
      <c r="L265" s="19">
        <f t="shared" si="9"/>
        <v>165000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6093655.79</v>
      </c>
      <c r="L270" s="41">
        <f t="shared" si="9"/>
        <v>6093655.79</v>
      </c>
      <c r="N270" s="264"/>
    </row>
    <row r="271" spans="1:14" s="3" customFormat="1" ht="12.2" customHeight="1" thickTop="1" x14ac:dyDescent="0.2">
      <c r="A271" s="43" t="s">
        <v>464</v>
      </c>
      <c r="B271" s="40">
        <v>10</v>
      </c>
      <c r="C271" s="40">
        <v>18</v>
      </c>
      <c r="D271" s="39" t="s">
        <v>431</v>
      </c>
      <c r="E271" s="40"/>
      <c r="F271" s="42">
        <f t="shared" ref="F271:L271" si="11">F257+F270</f>
        <v>27023725.190000001</v>
      </c>
      <c r="G271" s="42">
        <f t="shared" si="11"/>
        <v>13384587.540000003</v>
      </c>
      <c r="H271" s="42">
        <f t="shared" si="11"/>
        <v>10845415.300000001</v>
      </c>
      <c r="I271" s="42">
        <f t="shared" si="11"/>
        <v>2091884.4</v>
      </c>
      <c r="J271" s="42">
        <f t="shared" si="11"/>
        <v>710424.12</v>
      </c>
      <c r="K271" s="42">
        <f t="shared" si="11"/>
        <v>6222204.4199999999</v>
      </c>
      <c r="L271" s="42">
        <f t="shared" si="11"/>
        <v>60278240.970000006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350772.46</f>
        <v>350772.46</v>
      </c>
      <c r="G276" s="18">
        <f>62788.39+1589.91+724.71+540.44+25201.13+25156.05+330.37</f>
        <v>116331</v>
      </c>
      <c r="H276" s="18">
        <f>4000+13.9</f>
        <v>4013.9</v>
      </c>
      <c r="I276" s="18">
        <f>1902.36+1593.11</f>
        <v>3495.47</v>
      </c>
      <c r="J276" s="18"/>
      <c r="K276" s="18"/>
      <c r="L276" s="19">
        <f>SUM(F276:K276)</f>
        <v>474612.83</v>
      </c>
      <c r="M276" s="8"/>
      <c r="N276" s="266"/>
    </row>
    <row r="277" spans="1:14" s="3" customFormat="1" ht="12.2" customHeight="1" x14ac:dyDescent="0.15">
      <c r="A277" s="1" t="s">
        <v>439</v>
      </c>
      <c r="B277" s="2" t="s">
        <v>357</v>
      </c>
      <c r="C277" s="2" t="s">
        <v>291</v>
      </c>
      <c r="D277" s="2" t="s">
        <v>431</v>
      </c>
      <c r="E277" s="6">
        <v>1200</v>
      </c>
      <c r="F277" s="18">
        <f>32980.45+178705</f>
        <v>211685.45</v>
      </c>
      <c r="G277" s="18">
        <f>2468.97+1954.73+102791.4</f>
        <v>107215.09999999999</v>
      </c>
      <c r="H277" s="18">
        <f>6424.01+390+692.33+151.82+5318.7</f>
        <v>12976.86</v>
      </c>
      <c r="I277" s="18">
        <f>1237.42+4950+99+641.5</f>
        <v>6927.92</v>
      </c>
      <c r="J277" s="18">
        <f>1446.22+1939.6+1748.52</f>
        <v>5134.34</v>
      </c>
      <c r="K277" s="18"/>
      <c r="L277" s="19">
        <f>SUM(F277:K277)</f>
        <v>343939.67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3854</f>
        <v>3854</v>
      </c>
      <c r="G279" s="18">
        <f>294.83</f>
        <v>294.83</v>
      </c>
      <c r="H279" s="18"/>
      <c r="I279" s="18">
        <f>148.96</f>
        <v>148.96</v>
      </c>
      <c r="J279" s="18"/>
      <c r="K279" s="18"/>
      <c r="L279" s="19">
        <f>SUM(F279:K279)</f>
        <v>4297.79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13089.5+9651.36+147.63+324.99</f>
        <v>23213.480000000003</v>
      </c>
      <c r="G281" s="18">
        <f>987.3+30+2272.39+2914.8+24.86</f>
        <v>6229.3499999999995</v>
      </c>
      <c r="H281" s="18">
        <f>10000+1996.28</f>
        <v>11996.28</v>
      </c>
      <c r="I281" s="18">
        <f>198.38+1111.11</f>
        <v>1309.4899999999998</v>
      </c>
      <c r="J281" s="18">
        <f>942.3</f>
        <v>942.3</v>
      </c>
      <c r="K281" s="18"/>
      <c r="L281" s="19">
        <f t="shared" ref="L281:L287" si="12">SUM(F281:K281)</f>
        <v>43690.9</v>
      </c>
      <c r="M281" s="8"/>
      <c r="N281" s="266"/>
    </row>
    <row r="282" spans="1:14" s="3" customFormat="1" ht="12.2" customHeight="1" x14ac:dyDescent="0.15">
      <c r="A282" s="1" t="s">
        <v>443</v>
      </c>
      <c r="B282" s="2" t="s">
        <v>357</v>
      </c>
      <c r="C282" s="2" t="s">
        <v>295</v>
      </c>
      <c r="D282" s="2" t="s">
        <v>431</v>
      </c>
      <c r="E282" s="6">
        <v>2200</v>
      </c>
      <c r="F282" s="18">
        <f>78659.59</f>
        <v>78659.59</v>
      </c>
      <c r="G282" s="18">
        <f>17604.3+573.24+119.95+125.46+5835.89+8381+6058.25+17.13</f>
        <v>38715.219999999994</v>
      </c>
      <c r="H282" s="18">
        <f>9839.39+608.72+556.66</f>
        <v>11004.769999999999</v>
      </c>
      <c r="I282" s="18">
        <f>6040.13+3147+13.25</f>
        <v>9200.380000000001</v>
      </c>
      <c r="J282" s="18"/>
      <c r="K282" s="18"/>
      <c r="L282" s="19">
        <f t="shared" si="12"/>
        <v>137579.96</v>
      </c>
      <c r="M282" s="8"/>
      <c r="N282" s="266"/>
    </row>
    <row r="283" spans="1:14" s="3" customFormat="1" ht="12.2" customHeight="1" x14ac:dyDescent="0.15">
      <c r="A283" s="1" t="s">
        <v>444</v>
      </c>
      <c r="B283" s="2" t="s">
        <v>357</v>
      </c>
      <c r="C283" s="2" t="s">
        <v>296</v>
      </c>
      <c r="D283" s="2" t="s">
        <v>431</v>
      </c>
      <c r="E283" s="6">
        <v>2300</v>
      </c>
      <c r="F283" s="18">
        <f>1543.96</f>
        <v>1543.96</v>
      </c>
      <c r="G283" s="18">
        <f>382.22</f>
        <v>382.22</v>
      </c>
      <c r="H283" s="18">
        <f>199.67</f>
        <v>199.67</v>
      </c>
      <c r="I283" s="18">
        <f>929.12</f>
        <v>929.12</v>
      </c>
      <c r="J283" s="18">
        <f>42677.23</f>
        <v>42677.23</v>
      </c>
      <c r="K283" s="18"/>
      <c r="L283" s="19">
        <f t="shared" si="12"/>
        <v>45732.200000000004</v>
      </c>
      <c r="M283" s="8"/>
      <c r="N283" s="266"/>
    </row>
    <row r="284" spans="1:14" s="3" customFormat="1" ht="12.2" customHeight="1" x14ac:dyDescent="0.15">
      <c r="A284" s="1" t="s">
        <v>445</v>
      </c>
      <c r="B284" s="2" t="s">
        <v>357</v>
      </c>
      <c r="C284" s="2" t="s">
        <v>297</v>
      </c>
      <c r="D284" s="2" t="s">
        <v>431</v>
      </c>
      <c r="E284" s="6">
        <v>2400</v>
      </c>
      <c r="F284" s="18">
        <f>6001.31</f>
        <v>6001.31</v>
      </c>
      <c r="G284" s="18">
        <f>5102.69</f>
        <v>5102.6899999999996</v>
      </c>
      <c r="H284" s="18"/>
      <c r="I284" s="18"/>
      <c r="J284" s="18"/>
      <c r="K284" s="18"/>
      <c r="L284" s="19">
        <f t="shared" si="12"/>
        <v>11104</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f>8002.96+1806.54+8766.89</f>
        <v>18576.39</v>
      </c>
      <c r="L288" s="19">
        <f>SUM(F288:K288)</f>
        <v>18576.39</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675730.25</v>
      </c>
      <c r="G290" s="42">
        <f t="shared" si="13"/>
        <v>274270.40999999992</v>
      </c>
      <c r="H290" s="42">
        <f t="shared" si="13"/>
        <v>40191.479999999996</v>
      </c>
      <c r="I290" s="42">
        <f t="shared" si="13"/>
        <v>22011.34</v>
      </c>
      <c r="J290" s="42">
        <f t="shared" si="13"/>
        <v>48753.87</v>
      </c>
      <c r="K290" s="42">
        <f t="shared" si="13"/>
        <v>18576.39</v>
      </c>
      <c r="L290" s="41">
        <f t="shared" si="13"/>
        <v>1079533.74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125710.17</f>
        <v>125710.17</v>
      </c>
      <c r="G295" s="18">
        <f>27523.94+834.22+257.04+133.19+8911.23+8364.29+130.22</f>
        <v>46154.13</v>
      </c>
      <c r="H295" s="18"/>
      <c r="I295" s="18">
        <f>495.74</f>
        <v>495.74</v>
      </c>
      <c r="J295" s="18"/>
      <c r="K295" s="18"/>
      <c r="L295" s="19">
        <f>SUM(F295:K295)</f>
        <v>172360.03999999998</v>
      </c>
      <c r="M295" s="8"/>
      <c r="N295" s="266"/>
    </row>
    <row r="296" spans="1:14" s="3" customFormat="1" ht="12.2" customHeight="1" x14ac:dyDescent="0.15">
      <c r="A296" s="1" t="s">
        <v>439</v>
      </c>
      <c r="B296" s="2" t="s">
        <v>358</v>
      </c>
      <c r="C296" s="2" t="s">
        <v>291</v>
      </c>
      <c r="D296" s="2" t="s">
        <v>431</v>
      </c>
      <c r="E296" s="6">
        <v>1200</v>
      </c>
      <c r="F296" s="18">
        <f>150542.32</f>
        <v>150542.32</v>
      </c>
      <c r="G296" s="18">
        <f>36.99+86592.18</f>
        <v>86629.17</v>
      </c>
      <c r="H296" s="18">
        <f>583.23+127.89+4480.51</f>
        <v>5191.63</v>
      </c>
      <c r="I296" s="18">
        <f>218+540.4</f>
        <v>758.4</v>
      </c>
      <c r="J296" s="18">
        <f>1472.96</f>
        <v>1472.96</v>
      </c>
      <c r="K296" s="18"/>
      <c r="L296" s="19">
        <f>SUM(F296:K296)</f>
        <v>244594.47999999998</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8130.37+124.36+273.77</f>
        <v>8528.5</v>
      </c>
      <c r="G300" s="18">
        <f>2455.45+14.43+20.94</f>
        <v>2490.8199999999997</v>
      </c>
      <c r="H300" s="18">
        <f>3297.92+1681.68</f>
        <v>4979.6000000000004</v>
      </c>
      <c r="I300" s="18">
        <f>531.95+936</f>
        <v>1467.95</v>
      </c>
      <c r="J300" s="18">
        <f>793.8</f>
        <v>793.8</v>
      </c>
      <c r="K300" s="18"/>
      <c r="L300" s="19">
        <f t="shared" ref="L300:L306" si="14">SUM(F300:K300)</f>
        <v>18260.669999999998</v>
      </c>
      <c r="M300" s="8"/>
      <c r="N300" s="266"/>
    </row>
    <row r="301" spans="1:14" s="3" customFormat="1" ht="12.2" customHeight="1" x14ac:dyDescent="0.15">
      <c r="A301" s="1" t="s">
        <v>443</v>
      </c>
      <c r="B301" s="2" t="s">
        <v>358</v>
      </c>
      <c r="C301" s="2" t="s">
        <v>295</v>
      </c>
      <c r="D301" s="2" t="s">
        <v>431</v>
      </c>
      <c r="E301" s="6">
        <v>2200</v>
      </c>
      <c r="F301" s="18">
        <f>10725</f>
        <v>10725</v>
      </c>
      <c r="G301" s="18">
        <f>5148.38+168.6+14.28+22.52+755.15+1861.86</f>
        <v>7970.79</v>
      </c>
      <c r="H301" s="18">
        <f>512.79+468.93</f>
        <v>981.72</v>
      </c>
      <c r="I301" s="18">
        <f>11.16</f>
        <v>11.16</v>
      </c>
      <c r="J301" s="18"/>
      <c r="K301" s="18"/>
      <c r="L301" s="19">
        <f t="shared" si="14"/>
        <v>19688.670000000002</v>
      </c>
      <c r="M301" s="8"/>
      <c r="N301" s="266"/>
    </row>
    <row r="302" spans="1:14" s="3" customFormat="1" ht="12.2" customHeight="1" x14ac:dyDescent="0.15">
      <c r="A302" s="1" t="s">
        <v>444</v>
      </c>
      <c r="B302" s="2" t="s">
        <v>358</v>
      </c>
      <c r="C302" s="2" t="s">
        <v>296</v>
      </c>
      <c r="D302" s="2" t="s">
        <v>431</v>
      </c>
      <c r="E302" s="6">
        <v>2300</v>
      </c>
      <c r="F302" s="18">
        <f>1300.64</f>
        <v>1300.6400000000001</v>
      </c>
      <c r="G302" s="18">
        <f>321.99</f>
        <v>321.99</v>
      </c>
      <c r="H302" s="18">
        <f>168.2</f>
        <v>168.2</v>
      </c>
      <c r="I302" s="18">
        <f>782.7</f>
        <v>782.7</v>
      </c>
      <c r="J302" s="18">
        <f>35951.59</f>
        <v>35951.589999999997</v>
      </c>
      <c r="K302" s="18"/>
      <c r="L302" s="19">
        <f t="shared" si="14"/>
        <v>38525.119999999995</v>
      </c>
      <c r="M302" s="8"/>
      <c r="N302" s="266"/>
    </row>
    <row r="303" spans="1:14" s="3" customFormat="1" ht="12.2" customHeight="1" x14ac:dyDescent="0.15">
      <c r="A303" s="1" t="s">
        <v>445</v>
      </c>
      <c r="B303" s="2" t="s">
        <v>358</v>
      </c>
      <c r="C303" s="2" t="s">
        <v>297</v>
      </c>
      <c r="D303" s="2" t="s">
        <v>431</v>
      </c>
      <c r="E303" s="6">
        <v>2400</v>
      </c>
      <c r="F303" s="18">
        <f>5055.54</f>
        <v>5055.54</v>
      </c>
      <c r="G303" s="18">
        <f>4298.54</f>
        <v>4298.54</v>
      </c>
      <c r="H303" s="18"/>
      <c r="I303" s="18"/>
      <c r="J303" s="18"/>
      <c r="K303" s="18"/>
      <c r="L303" s="19">
        <f t="shared" si="14"/>
        <v>9354.08</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f>6741.75+1521.84+7385.29</f>
        <v>15648.880000000001</v>
      </c>
      <c r="L307" s="19">
        <f>SUM(F307:K307)</f>
        <v>15648.880000000001</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301862.17</v>
      </c>
      <c r="G309" s="42">
        <f t="shared" si="15"/>
        <v>147865.44</v>
      </c>
      <c r="H309" s="42">
        <f t="shared" si="15"/>
        <v>11321.15</v>
      </c>
      <c r="I309" s="42">
        <f t="shared" si="15"/>
        <v>3515.95</v>
      </c>
      <c r="J309" s="42">
        <f t="shared" si="15"/>
        <v>38218.35</v>
      </c>
      <c r="K309" s="42">
        <f t="shared" si="15"/>
        <v>15648.880000000001</v>
      </c>
      <c r="L309" s="41">
        <f t="shared" si="15"/>
        <v>518431.93999999994</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f>9287.6+182801.39</f>
        <v>192088.99000000002</v>
      </c>
      <c r="G315" s="18">
        <f>710.5+105147.65</f>
        <v>105858.15</v>
      </c>
      <c r="H315" s="18">
        <f>708.2+155.3+5440.62</f>
        <v>6304.12</v>
      </c>
      <c r="I315" s="18">
        <f>656.2</f>
        <v>656.2</v>
      </c>
      <c r="J315" s="18">
        <f>1788.6</f>
        <v>1788.6</v>
      </c>
      <c r="K315" s="18"/>
      <c r="L315" s="19">
        <f>SUM(F315:K315)</f>
        <v>306696.06</v>
      </c>
      <c r="M315" s="8"/>
      <c r="N315" s="266"/>
    </row>
    <row r="316" spans="1:14" s="3" customFormat="1" ht="12.2" customHeight="1" x14ac:dyDescent="0.15">
      <c r="A316" s="1" t="s">
        <v>440</v>
      </c>
      <c r="B316" s="2" t="s">
        <v>359</v>
      </c>
      <c r="C316" s="2" t="s">
        <v>292</v>
      </c>
      <c r="D316" s="2" t="s">
        <v>431</v>
      </c>
      <c r="E316" s="6">
        <v>1300</v>
      </c>
      <c r="F316" s="18">
        <f>4770.5</f>
        <v>4770.5</v>
      </c>
      <c r="G316" s="18">
        <f>364.94+828.16</f>
        <v>1193.0999999999999</v>
      </c>
      <c r="H316" s="18">
        <f>1914.84</f>
        <v>1914.84</v>
      </c>
      <c r="I316" s="18">
        <f>7671.04+2015+65617.64</f>
        <v>75303.679999999993</v>
      </c>
      <c r="J316" s="18">
        <f>44285.27</f>
        <v>44285.27</v>
      </c>
      <c r="K316" s="18">
        <f>175</f>
        <v>175</v>
      </c>
      <c r="L316" s="19">
        <f>SUM(F316:K316)</f>
        <v>127642.38999999998</v>
      </c>
      <c r="M316" s="8"/>
      <c r="N316" s="266"/>
    </row>
    <row r="317" spans="1:14" s="3" customFormat="1" ht="12.2" customHeight="1" x14ac:dyDescent="0.15">
      <c r="A317" s="1" t="s">
        <v>441</v>
      </c>
      <c r="B317" s="2" t="s">
        <v>359</v>
      </c>
      <c r="C317" s="2" t="s">
        <v>293</v>
      </c>
      <c r="D317" s="2" t="s">
        <v>431</v>
      </c>
      <c r="E317" s="6">
        <v>1400</v>
      </c>
      <c r="F317" s="18"/>
      <c r="G317" s="18"/>
      <c r="H317" s="18"/>
      <c r="I317" s="18">
        <f>102.18</f>
        <v>102.18</v>
      </c>
      <c r="J317" s="18"/>
      <c r="K317" s="18"/>
      <c r="L317" s="19">
        <f>SUM(F317:K317)</f>
        <v>102.18</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9872.59+151.01+332.44</f>
        <v>10356.040000000001</v>
      </c>
      <c r="G319" s="18">
        <f>2981.62+17.53+25.43</f>
        <v>3024.58</v>
      </c>
      <c r="H319" s="18">
        <f>421.05+2042.04</f>
        <v>2463.09</v>
      </c>
      <c r="I319" s="18">
        <f>1136.58</f>
        <v>1136.58</v>
      </c>
      <c r="J319" s="18">
        <f>963.9</f>
        <v>963.9</v>
      </c>
      <c r="K319" s="18"/>
      <c r="L319" s="19">
        <f t="shared" ref="L319:L325" si="16">SUM(F319:K319)</f>
        <v>17944.190000000002</v>
      </c>
      <c r="M319" s="8"/>
      <c r="N319" s="266"/>
    </row>
    <row r="320" spans="1:14" s="3" customFormat="1" ht="12.2" customHeight="1" x14ac:dyDescent="0.15">
      <c r="A320" s="1" t="s">
        <v>443</v>
      </c>
      <c r="B320" s="2" t="s">
        <v>359</v>
      </c>
      <c r="C320" s="2" t="s">
        <v>295</v>
      </c>
      <c r="D320" s="2" t="s">
        <v>431</v>
      </c>
      <c r="E320" s="6">
        <v>2200</v>
      </c>
      <c r="F320" s="18">
        <f>30609.67</f>
        <v>30609.67</v>
      </c>
      <c r="G320" s="18">
        <f>4549.55+17.85+3.53+2203.74+1191.18</f>
        <v>7965.85</v>
      </c>
      <c r="H320" s="18">
        <f>5280+648.94+3726.04+4804.33+4270.76+207.57+622.68+569.42</f>
        <v>20129.739999999998</v>
      </c>
      <c r="I320" s="18">
        <f>10225.11+13.55</f>
        <v>10238.66</v>
      </c>
      <c r="J320" s="18"/>
      <c r="K320" s="18">
        <f>4540.06</f>
        <v>4540.0600000000004</v>
      </c>
      <c r="L320" s="19">
        <f t="shared" si="16"/>
        <v>73483.98</v>
      </c>
      <c r="M320" s="8"/>
      <c r="N320" s="266"/>
    </row>
    <row r="321" spans="1:14" s="3" customFormat="1" ht="12.2" customHeight="1" x14ac:dyDescent="0.15">
      <c r="A321" s="1" t="s">
        <v>444</v>
      </c>
      <c r="B321" s="2" t="s">
        <v>359</v>
      </c>
      <c r="C321" s="2" t="s">
        <v>296</v>
      </c>
      <c r="D321" s="2" t="s">
        <v>431</v>
      </c>
      <c r="E321" s="6">
        <v>2300</v>
      </c>
      <c r="F321" s="18">
        <f>1579.35</f>
        <v>1579.35</v>
      </c>
      <c r="G321" s="18">
        <f>390.99</f>
        <v>390.99</v>
      </c>
      <c r="H321" s="18">
        <f>204.25</f>
        <v>204.25</v>
      </c>
      <c r="I321" s="18">
        <f>870+950.42</f>
        <v>1820.42</v>
      </c>
      <c r="J321" s="18">
        <f>43655.5</f>
        <v>43655.5</v>
      </c>
      <c r="K321" s="18"/>
      <c r="L321" s="19">
        <f t="shared" si="16"/>
        <v>47650.51</v>
      </c>
      <c r="M321" s="8"/>
      <c r="N321" s="266"/>
    </row>
    <row r="322" spans="1:14" s="3" customFormat="1" ht="12.2" customHeight="1" x14ac:dyDescent="0.15">
      <c r="A322" s="1" t="s">
        <v>445</v>
      </c>
      <c r="B322" s="2" t="s">
        <v>359</v>
      </c>
      <c r="C322" s="2" t="s">
        <v>297</v>
      </c>
      <c r="D322" s="2" t="s">
        <v>431</v>
      </c>
      <c r="E322" s="6">
        <v>2400</v>
      </c>
      <c r="F322" s="18">
        <f>6138.87</f>
        <v>6138.87</v>
      </c>
      <c r="G322" s="18">
        <f>5219.66</f>
        <v>5219.66</v>
      </c>
      <c r="H322" s="18"/>
      <c r="I322" s="18"/>
      <c r="J322" s="18"/>
      <c r="K322" s="18"/>
      <c r="L322" s="19">
        <f t="shared" si="16"/>
        <v>11358.529999999999</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f>2911.45+8186.41+1847.95+8967.85</f>
        <v>21913.660000000003</v>
      </c>
      <c r="L326" s="19">
        <f>SUM(F326:K326)</f>
        <v>21913.660000000003</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245543.42</v>
      </c>
      <c r="G328" s="42">
        <f t="shared" si="17"/>
        <v>123652.33000000002</v>
      </c>
      <c r="H328" s="42">
        <f t="shared" si="17"/>
        <v>31016.039999999997</v>
      </c>
      <c r="I328" s="42">
        <f t="shared" si="17"/>
        <v>89257.719999999987</v>
      </c>
      <c r="J328" s="42">
        <f t="shared" si="17"/>
        <v>90693.26999999999</v>
      </c>
      <c r="K328" s="42">
        <f t="shared" si="17"/>
        <v>26628.720000000005</v>
      </c>
      <c r="L328" s="41">
        <f t="shared" si="17"/>
        <v>606791.5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f>35120.33+1000+4238+17772.38</f>
        <v>58130.710000000006</v>
      </c>
      <c r="G332" s="18">
        <f>9922.62+507.03+2763.41+3593.08+318.1+594.97+1359.61</f>
        <v>19058.82</v>
      </c>
      <c r="H332" s="18">
        <f>340+28769.38+8789.31+1720.45+845.18+305.89+5680+4665+412.25+214</f>
        <v>51741.46</v>
      </c>
      <c r="I332" s="18">
        <f>639.25+370.77+1156.68+879.96</f>
        <v>3046.66</v>
      </c>
      <c r="J332" s="18">
        <f>24772.5</f>
        <v>24772.5</v>
      </c>
      <c r="K332" s="18"/>
      <c r="L332" s="19">
        <f t="shared" ref="L332:L337" si="18">SUM(F332:K332)</f>
        <v>156750.15</v>
      </c>
      <c r="M332" s="8"/>
      <c r="N332" s="266"/>
    </row>
    <row r="333" spans="1:14" s="3" customFormat="1" ht="12.2" customHeight="1" x14ac:dyDescent="0.15">
      <c r="A333" s="1" t="s">
        <v>353</v>
      </c>
      <c r="B333" s="6">
        <v>14</v>
      </c>
      <c r="C333" s="2" t="s">
        <v>309</v>
      </c>
      <c r="D333" s="2" t="s">
        <v>431</v>
      </c>
      <c r="E333" s="6">
        <v>1600</v>
      </c>
      <c r="F333" s="18">
        <f>73014.5+8780+19427+203211.73+135175.81+387.79+1300+120928.58+100412.26</f>
        <v>662637.66999999993</v>
      </c>
      <c r="G333" s="18">
        <f>5585.69+1628.47+4797.43+19367.13+32458.03+29.67+99.45+34199.66+7656.27+788.85</f>
        <v>106610.65000000001</v>
      </c>
      <c r="H333" s="18">
        <f>2575+10375+12000+73436.66</f>
        <v>98386.66</v>
      </c>
      <c r="I333" s="18">
        <f>37791.75+4770.96+15260.88</f>
        <v>57823.59</v>
      </c>
      <c r="J333" s="18">
        <f>8565.37</f>
        <v>8565.3700000000008</v>
      </c>
      <c r="K333" s="18">
        <f>4607.97+850+20172.35</f>
        <v>25630.32</v>
      </c>
      <c r="L333" s="19">
        <f t="shared" si="18"/>
        <v>959654.25999999989</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720768.37999999989</v>
      </c>
      <c r="G337" s="41">
        <f t="shared" si="19"/>
        <v>125669.47</v>
      </c>
      <c r="H337" s="41">
        <f t="shared" si="19"/>
        <v>150128.12</v>
      </c>
      <c r="I337" s="41">
        <f t="shared" si="19"/>
        <v>60870.25</v>
      </c>
      <c r="J337" s="41">
        <f t="shared" si="19"/>
        <v>33337.870000000003</v>
      </c>
      <c r="K337" s="41">
        <f t="shared" si="19"/>
        <v>25630.32</v>
      </c>
      <c r="L337" s="41">
        <f t="shared" si="18"/>
        <v>1116404.4099999999</v>
      </c>
      <c r="M337" s="8"/>
      <c r="N337" s="266"/>
    </row>
    <row r="338" spans="1:43" s="3" customFormat="1" ht="12.2" customHeight="1" thickTop="1" x14ac:dyDescent="0.15">
      <c r="A338" s="38" t="s">
        <v>468</v>
      </c>
      <c r="B338" s="40">
        <v>14</v>
      </c>
      <c r="C338" s="40">
        <v>7</v>
      </c>
      <c r="D338" s="39" t="s">
        <v>431</v>
      </c>
      <c r="E338" s="40"/>
      <c r="F338" s="41">
        <f t="shared" ref="F338:L338" si="20">F290+F309+F328+F337</f>
        <v>1943904.2199999997</v>
      </c>
      <c r="G338" s="41">
        <f t="shared" si="20"/>
        <v>671457.64999999991</v>
      </c>
      <c r="H338" s="41">
        <f t="shared" si="20"/>
        <v>232656.78999999998</v>
      </c>
      <c r="I338" s="41">
        <f t="shared" si="20"/>
        <v>175655.25999999998</v>
      </c>
      <c r="J338" s="41">
        <f t="shared" si="20"/>
        <v>211003.36</v>
      </c>
      <c r="K338" s="41">
        <f t="shared" si="20"/>
        <v>86484.31</v>
      </c>
      <c r="L338" s="41">
        <f t="shared" si="20"/>
        <v>3321161.59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1943904.2199999997</v>
      </c>
      <c r="G352" s="41">
        <f>G338</f>
        <v>671457.64999999991</v>
      </c>
      <c r="H352" s="41">
        <f>H338</f>
        <v>232656.78999999998</v>
      </c>
      <c r="I352" s="41">
        <f>I338</f>
        <v>175655.25999999998</v>
      </c>
      <c r="J352" s="41">
        <f>J338</f>
        <v>211003.36</v>
      </c>
      <c r="K352" s="47">
        <f>K338+K351</f>
        <v>86484.31</v>
      </c>
      <c r="L352" s="41">
        <f>L338+L351</f>
        <v>3321161.59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10049.36</v>
      </c>
      <c r="G358" s="18">
        <v>4087.83</v>
      </c>
      <c r="H358" s="18">
        <v>489815.72</v>
      </c>
      <c r="I358" s="18">
        <v>41749.760000000002</v>
      </c>
      <c r="J358" s="18">
        <v>4970.8900000000003</v>
      </c>
      <c r="K358" s="18">
        <v>478.45</v>
      </c>
      <c r="L358" s="13">
        <f>SUM(F358:K358)</f>
        <v>551152.00999999989</v>
      </c>
      <c r="N358" s="264"/>
      <c r="R358" s="3"/>
      <c r="S358" s="3"/>
      <c r="T358" s="3"/>
      <c r="U358" s="3"/>
      <c r="V358" s="3"/>
    </row>
    <row r="359" spans="1:22" s="3" customFormat="1" ht="12.2" customHeight="1" x14ac:dyDescent="0.15">
      <c r="A359" s="1" t="s">
        <v>542</v>
      </c>
      <c r="B359" s="2" t="s">
        <v>366</v>
      </c>
      <c r="C359" s="6">
        <v>2</v>
      </c>
      <c r="D359" s="2" t="s">
        <v>431</v>
      </c>
      <c r="E359" s="6"/>
      <c r="F359" s="18">
        <v>8465.65</v>
      </c>
      <c r="G359" s="18">
        <v>3443.61</v>
      </c>
      <c r="H359" s="18">
        <v>412624.13</v>
      </c>
      <c r="I359" s="18">
        <v>35170.29</v>
      </c>
      <c r="J359" s="18">
        <v>4187.5200000000004</v>
      </c>
      <c r="K359" s="18">
        <v>403.05</v>
      </c>
      <c r="L359" s="19">
        <f>SUM(F359:K359)</f>
        <v>464294.25</v>
      </c>
      <c r="M359" s="8"/>
      <c r="N359" s="266"/>
    </row>
    <row r="360" spans="1:22" s="3" customFormat="1" ht="12.2" customHeight="1" x14ac:dyDescent="0.15">
      <c r="A360" s="3" t="s">
        <v>543</v>
      </c>
      <c r="B360" s="2" t="s">
        <v>366</v>
      </c>
      <c r="C360" s="6">
        <v>3</v>
      </c>
      <c r="D360" s="2" t="s">
        <v>431</v>
      </c>
      <c r="E360" s="6"/>
      <c r="F360" s="18">
        <v>10279.709999999999</v>
      </c>
      <c r="G360" s="18">
        <v>4181.53</v>
      </c>
      <c r="H360" s="18">
        <v>501043.59</v>
      </c>
      <c r="I360" s="18">
        <v>42706.78</v>
      </c>
      <c r="J360" s="18">
        <v>5084.84</v>
      </c>
      <c r="K360" s="18">
        <v>489.42</v>
      </c>
      <c r="L360" s="19">
        <f>SUM(F360:K360)</f>
        <v>563785.87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28794.720000000001</v>
      </c>
      <c r="G362" s="47">
        <f t="shared" si="22"/>
        <v>11712.970000000001</v>
      </c>
      <c r="H362" s="47">
        <f t="shared" si="22"/>
        <v>1403483.44</v>
      </c>
      <c r="I362" s="47">
        <f t="shared" si="22"/>
        <v>119626.83</v>
      </c>
      <c r="J362" s="47">
        <f t="shared" si="22"/>
        <v>14243.25</v>
      </c>
      <c r="K362" s="47">
        <f t="shared" si="22"/>
        <v>1370.92</v>
      </c>
      <c r="L362" s="47">
        <f t="shared" si="22"/>
        <v>1579232.13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41144.730000000003</v>
      </c>
      <c r="G367" s="18">
        <v>34660.61</v>
      </c>
      <c r="H367" s="18">
        <v>42087.88</v>
      </c>
      <c r="I367" s="56">
        <f>SUM(F367:H367)</f>
        <v>117893.22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605.03</v>
      </c>
      <c r="G368" s="63">
        <v>509.68</v>
      </c>
      <c r="H368" s="63">
        <v>618.9</v>
      </c>
      <c r="I368" s="56">
        <f>SUM(F368:H368)</f>
        <v>1733.6100000000001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41749.760000000002</v>
      </c>
      <c r="G369" s="47">
        <f>SUM(G367:G368)</f>
        <v>35170.29</v>
      </c>
      <c r="H369" s="47">
        <f>SUM(H367:H368)</f>
        <v>42706.78</v>
      </c>
      <c r="I369" s="47">
        <f>SUM(I367:I368)</f>
        <v>119626.83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v>30906.1</v>
      </c>
      <c r="I375" s="18"/>
      <c r="J375" s="18"/>
      <c r="K375" s="18"/>
      <c r="L375" s="13">
        <f t="shared" ref="L375:L381" si="23">SUM(F375:K375)</f>
        <v>30906.1</v>
      </c>
      <c r="M375" s="8"/>
      <c r="N375" s="266"/>
    </row>
    <row r="376" spans="1:14" s="3" customFormat="1" ht="12.2" customHeight="1" x14ac:dyDescent="0.15">
      <c r="A376" s="1" t="s">
        <v>546</v>
      </c>
      <c r="B376" s="2" t="s">
        <v>366</v>
      </c>
      <c r="C376" s="2" t="s">
        <v>300</v>
      </c>
      <c r="D376" s="2" t="s">
        <v>431</v>
      </c>
      <c r="E376" s="6">
        <v>4300</v>
      </c>
      <c r="F376" s="18"/>
      <c r="G376" s="18"/>
      <c r="H376" s="18">
        <v>599888.75</v>
      </c>
      <c r="I376" s="18"/>
      <c r="J376" s="18"/>
      <c r="K376" s="18"/>
      <c r="L376" s="13">
        <f t="shared" si="23"/>
        <v>599888.75</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11022550.220000001</v>
      </c>
      <c r="I378" s="18"/>
      <c r="J378" s="18"/>
      <c r="K378" s="18"/>
      <c r="L378" s="13">
        <f t="shared" si="23"/>
        <v>11022550.220000001</v>
      </c>
      <c r="M378" s="8"/>
      <c r="N378" s="266"/>
    </row>
    <row r="379" spans="1:14" s="3" customFormat="1" ht="12.2" customHeight="1" x14ac:dyDescent="0.15">
      <c r="A379" s="1" t="s">
        <v>549</v>
      </c>
      <c r="B379" s="2" t="s">
        <v>366</v>
      </c>
      <c r="C379" s="2" t="s">
        <v>345</v>
      </c>
      <c r="D379" s="2" t="s">
        <v>431</v>
      </c>
      <c r="E379" s="6">
        <v>4600</v>
      </c>
      <c r="F379" s="18"/>
      <c r="G379" s="18"/>
      <c r="H379" s="18">
        <f>11150.03+398.48+6088.38+3046.39+12386.7</f>
        <v>33069.979999999996</v>
      </c>
      <c r="I379" s="18"/>
      <c r="J379" s="18"/>
      <c r="K379" s="18"/>
      <c r="L379" s="13">
        <f t="shared" si="23"/>
        <v>33069.979999999996</v>
      </c>
      <c r="M379" s="8"/>
      <c r="N379" s="266"/>
    </row>
    <row r="380" spans="1:14" s="3" customFormat="1" ht="12.2" customHeight="1" x14ac:dyDescent="0.15">
      <c r="A380" s="1" t="s">
        <v>510</v>
      </c>
      <c r="B380" s="2" t="s">
        <v>366</v>
      </c>
      <c r="C380" s="2" t="s">
        <v>347</v>
      </c>
      <c r="D380" s="2" t="s">
        <v>431</v>
      </c>
      <c r="E380" s="6">
        <v>4900</v>
      </c>
      <c r="F380" s="18">
        <f>25018.58+13593.26+4173.62+37.97</f>
        <v>42823.430000000008</v>
      </c>
      <c r="G380" s="18">
        <f>11051.47+325.67+65.64+162.75+209.75+2659.97+622.12+4220.71+168.78+6.3+6.94+17.08+22.01+257.74+60.3+474.33</f>
        <v>20331.559999999998</v>
      </c>
      <c r="H380" s="18">
        <f>376.12+2500+1100+1100+1272.84+9440+10812+2788.41+2448+214+3550+5740+59968+14544+4960+283.15+29958.94+4863.6+4760+38330+94670+27400+2800+1200+4148+962+1301.41-16067+1799.28+3494.4+13840+6500+3258-77200</f>
        <v>267115.15000000002</v>
      </c>
      <c r="I380" s="18"/>
      <c r="J380" s="18">
        <v>3111345.78</v>
      </c>
      <c r="K380" s="18"/>
      <c r="L380" s="13">
        <f t="shared" si="23"/>
        <v>3441615.92</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42823.430000000008</v>
      </c>
      <c r="G382" s="139">
        <f t="shared" ref="G382:L382" si="24">SUM(G374:G381)</f>
        <v>20331.559999999998</v>
      </c>
      <c r="H382" s="139">
        <f t="shared" si="24"/>
        <v>11953530.200000001</v>
      </c>
      <c r="I382" s="41">
        <f t="shared" si="24"/>
        <v>0</v>
      </c>
      <c r="J382" s="47">
        <f t="shared" si="24"/>
        <v>3111345.78</v>
      </c>
      <c r="K382" s="47">
        <f t="shared" si="24"/>
        <v>0</v>
      </c>
      <c r="L382" s="47">
        <f t="shared" si="24"/>
        <v>15128030.970000001</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c r="G465" s="18">
        <v>346532.32</v>
      </c>
      <c r="H465" s="18">
        <v>603312.43999999994</v>
      </c>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15999107.95+37509751+6945209</f>
        <v>60454067.950000003</v>
      </c>
      <c r="G468" s="18">
        <v>1570077.97</v>
      </c>
      <c r="H468" s="18">
        <f>2848492.24+206153.82+108857.38+159391.1+14572.44</f>
        <v>3337466.98</v>
      </c>
      <c r="I468" s="18">
        <f>165000+15128030.97</f>
        <v>15293030.970000001</v>
      </c>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60454067.950000003</v>
      </c>
      <c r="G470" s="53">
        <f>SUM(G468:G469)</f>
        <v>1570077.97</v>
      </c>
      <c r="H470" s="53">
        <f>SUM(H468:H469)</f>
        <v>3337466.98</v>
      </c>
      <c r="I470" s="53">
        <f>SUM(I468:I469)</f>
        <v>15293030.970000001</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54401001.58+5834108.64+43130.75</f>
        <v>60278240.969999999</v>
      </c>
      <c r="G472" s="18">
        <f>1543590.11+35642.02</f>
        <v>1579232.1300000001</v>
      </c>
      <c r="H472" s="18">
        <f>2849408.92+206145.18+108857.38+156750.15-0.04</f>
        <v>3321161.59</v>
      </c>
      <c r="I472" s="18">
        <v>15128030.970000001</v>
      </c>
      <c r="J472" s="18"/>
      <c r="K472" s="24" t="s">
        <v>288</v>
      </c>
      <c r="L472" s="24" t="s">
        <v>288</v>
      </c>
      <c r="N472" s="265"/>
    </row>
    <row r="473" spans="1:14" s="52" customFormat="1" ht="12.2" customHeight="1" x14ac:dyDescent="0.2">
      <c r="A473" s="93" t="s">
        <v>613</v>
      </c>
      <c r="B473" s="75">
        <v>19</v>
      </c>
      <c r="C473" s="80">
        <v>6</v>
      </c>
      <c r="D473" s="2" t="s">
        <v>432</v>
      </c>
      <c r="E473" s="80"/>
      <c r="F473" s="18">
        <f>415919.38-196961.65-43130.75</f>
        <v>175826.98</v>
      </c>
      <c r="G473" s="18">
        <v>3993.78</v>
      </c>
      <c r="H473" s="18"/>
      <c r="I473" s="18">
        <v>165000</v>
      </c>
      <c r="J473" s="18"/>
      <c r="K473" s="24" t="s">
        <v>288</v>
      </c>
      <c r="L473" s="24" t="s">
        <v>288</v>
      </c>
      <c r="N473" s="265"/>
    </row>
    <row r="474" spans="1:14" s="52" customFormat="1" ht="12.2" customHeight="1" x14ac:dyDescent="0.2">
      <c r="A474" s="92" t="s">
        <v>426</v>
      </c>
      <c r="B474" s="75">
        <v>19</v>
      </c>
      <c r="C474" s="80">
        <v>7</v>
      </c>
      <c r="D474" s="2" t="s">
        <v>432</v>
      </c>
      <c r="E474" s="80"/>
      <c r="F474" s="53">
        <f>SUM(F472:F473)</f>
        <v>60454067.949999996</v>
      </c>
      <c r="G474" s="53">
        <f>SUM(G472:G473)</f>
        <v>1583225.9100000001</v>
      </c>
      <c r="H474" s="53">
        <f>SUM(H472:H473)</f>
        <v>3321161.59</v>
      </c>
      <c r="I474" s="53">
        <f>SUM(I472:I473)</f>
        <v>15293030.970000001</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333384.37999999989</v>
      </c>
      <c r="H476" s="53">
        <f>(H465+H470)- H474</f>
        <v>619617.83000000007</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85637328.780000001</v>
      </c>
      <c r="G495" s="18"/>
      <c r="H495" s="18"/>
      <c r="I495" s="18"/>
      <c r="J495" s="18"/>
      <c r="K495" s="53">
        <f>SUM(F495:J495)</f>
        <v>85637328.780000001</v>
      </c>
      <c r="L495" s="24" t="s">
        <v>288</v>
      </c>
      <c r="N495" s="265"/>
    </row>
    <row r="496" spans="1:14" s="52" customFormat="1" ht="12.2" customHeight="1" x14ac:dyDescent="0.2">
      <c r="A496" s="22" t="s">
        <v>620</v>
      </c>
      <c r="B496" s="75">
        <v>20</v>
      </c>
      <c r="C496" s="115">
        <v>7</v>
      </c>
      <c r="D496" s="2" t="s">
        <v>432</v>
      </c>
      <c r="E496" s="115"/>
      <c r="F496" s="18">
        <v>7199245.1600000001</v>
      </c>
      <c r="G496" s="18"/>
      <c r="H496" s="18"/>
      <c r="I496" s="18"/>
      <c r="J496" s="18"/>
      <c r="K496" s="53">
        <f t="shared" ref="K496:K503" si="35">SUM(F496:J496)</f>
        <v>7199245.1600000001</v>
      </c>
      <c r="L496" s="24" t="s">
        <v>288</v>
      </c>
      <c r="N496" s="265"/>
    </row>
    <row r="497" spans="1:14" s="52" customFormat="1" ht="12.2" customHeight="1" x14ac:dyDescent="0.2">
      <c r="A497" s="22" t="s">
        <v>621</v>
      </c>
      <c r="B497" s="75">
        <v>20</v>
      </c>
      <c r="C497" s="115">
        <v>8</v>
      </c>
      <c r="D497" s="2" t="s">
        <v>432</v>
      </c>
      <c r="E497" s="115"/>
      <c r="F497" s="18">
        <v>1891205.13</v>
      </c>
      <c r="G497" s="18"/>
      <c r="H497" s="18"/>
      <c r="I497" s="18"/>
      <c r="J497" s="18"/>
      <c r="K497" s="53">
        <f t="shared" si="35"/>
        <v>1891205.13</v>
      </c>
      <c r="L497" s="24" t="s">
        <v>288</v>
      </c>
      <c r="N497" s="265"/>
    </row>
    <row r="498" spans="1:14" s="52" customFormat="1" ht="12.2" customHeight="1" x14ac:dyDescent="0.2">
      <c r="A498" s="200" t="s">
        <v>622</v>
      </c>
      <c r="B498" s="201">
        <v>20</v>
      </c>
      <c r="C498" s="202">
        <v>9</v>
      </c>
      <c r="D498" s="203" t="s">
        <v>432</v>
      </c>
      <c r="E498" s="202"/>
      <c r="F498" s="204">
        <v>90945368.810000002</v>
      </c>
      <c r="G498" s="204"/>
      <c r="H498" s="204"/>
      <c r="I498" s="204"/>
      <c r="J498" s="204"/>
      <c r="K498" s="205">
        <f t="shared" si="35"/>
        <v>90945368.810000002</v>
      </c>
      <c r="L498" s="206" t="s">
        <v>288</v>
      </c>
      <c r="N498" s="265"/>
    </row>
    <row r="499" spans="1:14" s="52" customFormat="1" ht="12.2" customHeight="1" thickBot="1" x14ac:dyDescent="0.25">
      <c r="A499" s="22" t="s">
        <v>623</v>
      </c>
      <c r="B499" s="75">
        <v>20</v>
      </c>
      <c r="C499" s="115">
        <v>10</v>
      </c>
      <c r="D499" s="2" t="s">
        <v>432</v>
      </c>
      <c r="E499" s="115"/>
      <c r="F499" s="18">
        <v>40477904.509999998</v>
      </c>
      <c r="G499" s="18"/>
      <c r="H499" s="18"/>
      <c r="I499" s="18"/>
      <c r="J499" s="18"/>
      <c r="K499" s="53">
        <f t="shared" si="35"/>
        <v>40477904.509999998</v>
      </c>
      <c r="L499" s="24" t="s">
        <v>288</v>
      </c>
      <c r="N499" s="265"/>
    </row>
    <row r="500" spans="1:14" s="52" customFormat="1" ht="12.2" customHeight="1" thickTop="1" x14ac:dyDescent="0.2">
      <c r="A500" s="139" t="s">
        <v>624</v>
      </c>
      <c r="B500" s="44">
        <v>20</v>
      </c>
      <c r="C500" s="195">
        <v>11</v>
      </c>
      <c r="D500" s="39" t="s">
        <v>432</v>
      </c>
      <c r="E500" s="195"/>
      <c r="F500" s="42">
        <f>SUM(F498:F499)</f>
        <v>131423273.31999999</v>
      </c>
      <c r="G500" s="42">
        <f>SUM(G498:G499)</f>
        <v>0</v>
      </c>
      <c r="H500" s="42">
        <f>SUM(H498:H499)</f>
        <v>0</v>
      </c>
      <c r="I500" s="42">
        <f>SUM(I498:I499)</f>
        <v>0</v>
      </c>
      <c r="J500" s="42">
        <f>SUM(J498:J499)</f>
        <v>0</v>
      </c>
      <c r="K500" s="42">
        <f t="shared" si="35"/>
        <v>131423273.31999999</v>
      </c>
      <c r="L500" s="45" t="s">
        <v>288</v>
      </c>
      <c r="N500" s="265"/>
    </row>
    <row r="501" spans="1:14" s="52" customFormat="1" ht="12.2" customHeight="1" x14ac:dyDescent="0.2">
      <c r="A501" s="200" t="s">
        <v>651</v>
      </c>
      <c r="B501" s="201">
        <v>20</v>
      </c>
      <c r="C501" s="202">
        <v>12</v>
      </c>
      <c r="D501" s="203" t="s">
        <v>432</v>
      </c>
      <c r="E501" s="202"/>
      <c r="F501" s="204">
        <v>2305789</v>
      </c>
      <c r="G501" s="204"/>
      <c r="H501" s="204"/>
      <c r="I501" s="204"/>
      <c r="J501" s="204"/>
      <c r="K501" s="205">
        <f t="shared" si="35"/>
        <v>2305789</v>
      </c>
      <c r="L501" s="206" t="s">
        <v>288</v>
      </c>
      <c r="N501" s="265"/>
    </row>
    <row r="502" spans="1:14" s="52" customFormat="1" ht="12.2" customHeight="1" thickBot="1" x14ac:dyDescent="0.25">
      <c r="A502" s="22" t="s">
        <v>625</v>
      </c>
      <c r="B502" s="75">
        <v>20</v>
      </c>
      <c r="C502" s="115">
        <v>13</v>
      </c>
      <c r="D502" s="2" t="s">
        <v>432</v>
      </c>
      <c r="E502" s="115"/>
      <c r="F502" s="18">
        <v>4317203</v>
      </c>
      <c r="G502" s="18"/>
      <c r="H502" s="18"/>
      <c r="I502" s="18"/>
      <c r="J502" s="18"/>
      <c r="K502" s="53">
        <f t="shared" si="35"/>
        <v>4317203</v>
      </c>
      <c r="L502" s="24" t="s">
        <v>288</v>
      </c>
      <c r="N502" s="265"/>
    </row>
    <row r="503" spans="1:14" s="52" customFormat="1" ht="12.2" customHeight="1" thickTop="1" x14ac:dyDescent="0.2">
      <c r="A503" s="139" t="s">
        <v>626</v>
      </c>
      <c r="B503" s="44">
        <v>20</v>
      </c>
      <c r="C503" s="195">
        <v>14</v>
      </c>
      <c r="D503" s="39" t="s">
        <v>432</v>
      </c>
      <c r="E503" s="195"/>
      <c r="F503" s="42">
        <f>SUM(F501:F502)</f>
        <v>6622992</v>
      </c>
      <c r="G503" s="42">
        <f>SUM(G501:G502)</f>
        <v>0</v>
      </c>
      <c r="H503" s="42">
        <f>SUM(H501:H502)</f>
        <v>0</v>
      </c>
      <c r="I503" s="42">
        <f>SUM(I501:I502)</f>
        <v>0</v>
      </c>
      <c r="J503" s="42">
        <f>SUM(J501:J502)</f>
        <v>0</v>
      </c>
      <c r="K503" s="42">
        <f t="shared" si="35"/>
        <v>6622992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v>222180.61</v>
      </c>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2643410.5</v>
      </c>
      <c r="G521" s="18">
        <v>978941.62</v>
      </c>
      <c r="H521" s="18">
        <v>869769.53</v>
      </c>
      <c r="I521" s="18">
        <v>14698.4</v>
      </c>
      <c r="J521" s="18">
        <v>5134.34</v>
      </c>
      <c r="K521" s="18"/>
      <c r="L521" s="88">
        <f>SUM(F521:K521)</f>
        <v>4511954.3900000006</v>
      </c>
      <c r="N521" s="265"/>
    </row>
    <row r="522" spans="1:14" s="52" customFormat="1" ht="12.2" customHeight="1" x14ac:dyDescent="0.2">
      <c r="A522" s="22" t="s">
        <v>634</v>
      </c>
      <c r="B522" s="105">
        <v>21</v>
      </c>
      <c r="C522" s="115">
        <v>2</v>
      </c>
      <c r="D522" s="2" t="s">
        <v>432</v>
      </c>
      <c r="E522" s="115"/>
      <c r="F522" s="18">
        <v>1797943.93</v>
      </c>
      <c r="G522" s="18">
        <v>623193.57999999996</v>
      </c>
      <c r="H522" s="18">
        <v>1340932.3999999999</v>
      </c>
      <c r="I522" s="18">
        <v>9801.5</v>
      </c>
      <c r="J522" s="18">
        <v>2247.6</v>
      </c>
      <c r="K522" s="18"/>
      <c r="L522" s="88">
        <f>SUM(F522:K522)</f>
        <v>3774119.01</v>
      </c>
      <c r="N522" s="265"/>
    </row>
    <row r="523" spans="1:14" s="52" customFormat="1" ht="12.2" customHeight="1" thickBot="1" x14ac:dyDescent="0.25">
      <c r="A523" s="22" t="s">
        <v>635</v>
      </c>
      <c r="B523" s="105">
        <v>21</v>
      </c>
      <c r="C523" s="115">
        <v>3</v>
      </c>
      <c r="D523" s="2" t="s">
        <v>432</v>
      </c>
      <c r="E523" s="115"/>
      <c r="F523" s="18">
        <v>1779871.51</v>
      </c>
      <c r="G523" s="18">
        <v>736415.67</v>
      </c>
      <c r="H523" s="18">
        <v>844607.74</v>
      </c>
      <c r="I523" s="18">
        <v>15391.41</v>
      </c>
      <c r="J523" s="18">
        <v>2556.34</v>
      </c>
      <c r="K523" s="18">
        <v>774</v>
      </c>
      <c r="L523" s="88">
        <f>SUM(F523:K523)</f>
        <v>3379616.67</v>
      </c>
      <c r="N523" s="265"/>
    </row>
    <row r="524" spans="1:14" s="52" customFormat="1" ht="12.2" customHeight="1" thickTop="1" x14ac:dyDescent="0.2">
      <c r="A524" s="139" t="s">
        <v>63</v>
      </c>
      <c r="B524" s="107">
        <v>21</v>
      </c>
      <c r="C524" s="195">
        <v>4</v>
      </c>
      <c r="D524" s="196" t="s">
        <v>432</v>
      </c>
      <c r="E524" s="195"/>
      <c r="F524" s="108">
        <f>SUM(F521:F523)</f>
        <v>6221225.9399999995</v>
      </c>
      <c r="G524" s="108">
        <f t="shared" ref="G524:L524" si="36">SUM(G521:G523)</f>
        <v>2338550.87</v>
      </c>
      <c r="H524" s="108">
        <f t="shared" si="36"/>
        <v>3055309.67</v>
      </c>
      <c r="I524" s="108">
        <f t="shared" si="36"/>
        <v>39891.31</v>
      </c>
      <c r="J524" s="108">
        <f t="shared" si="36"/>
        <v>9938.2800000000007</v>
      </c>
      <c r="K524" s="108">
        <f t="shared" si="36"/>
        <v>774</v>
      </c>
      <c r="L524" s="89">
        <f t="shared" si="36"/>
        <v>11665690.07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470237.12</v>
      </c>
      <c r="G526" s="18">
        <v>287104.12</v>
      </c>
      <c r="H526" s="18">
        <v>248167.89</v>
      </c>
      <c r="I526" s="18"/>
      <c r="J526" s="18"/>
      <c r="K526" s="18"/>
      <c r="L526" s="88">
        <f>SUM(F526:K526)</f>
        <v>1005509.13</v>
      </c>
      <c r="M526" s="8"/>
      <c r="N526" s="266"/>
    </row>
    <row r="527" spans="1:14" s="3" customFormat="1" ht="12.2" customHeight="1" x14ac:dyDescent="0.15">
      <c r="A527" s="22" t="s">
        <v>634</v>
      </c>
      <c r="B527" s="105">
        <v>21</v>
      </c>
      <c r="C527" s="115">
        <v>6</v>
      </c>
      <c r="D527" s="2" t="s">
        <v>432</v>
      </c>
      <c r="E527" s="115"/>
      <c r="F527" s="18">
        <v>138878.79999999999</v>
      </c>
      <c r="G527" s="18">
        <v>76713.97</v>
      </c>
      <c r="H527" s="18">
        <v>108204.42</v>
      </c>
      <c r="I527" s="18"/>
      <c r="J527" s="18"/>
      <c r="K527" s="18"/>
      <c r="L527" s="88">
        <f>SUM(F527:K527)</f>
        <v>323797.19</v>
      </c>
      <c r="M527" s="8"/>
      <c r="N527" s="266"/>
    </row>
    <row r="528" spans="1:14" s="3" customFormat="1" ht="12.2" customHeight="1" thickBot="1" x14ac:dyDescent="0.2">
      <c r="A528" s="22" t="s">
        <v>635</v>
      </c>
      <c r="B528" s="118">
        <v>21</v>
      </c>
      <c r="C528" s="118">
        <v>7</v>
      </c>
      <c r="D528" s="2" t="s">
        <v>432</v>
      </c>
      <c r="E528" s="118"/>
      <c r="F528" s="18">
        <v>53625</v>
      </c>
      <c r="G528" s="18">
        <v>40244.33</v>
      </c>
      <c r="H528" s="18">
        <v>120025.58</v>
      </c>
      <c r="I528" s="18"/>
      <c r="J528" s="18"/>
      <c r="K528" s="18"/>
      <c r="L528" s="88">
        <f>SUM(F528:K528)</f>
        <v>213894.91</v>
      </c>
      <c r="M528" s="8"/>
      <c r="N528" s="266"/>
    </row>
    <row r="529" spans="1:14" s="3" customFormat="1" ht="12.2" customHeight="1" thickTop="1" x14ac:dyDescent="0.15">
      <c r="A529" s="139" t="s">
        <v>65</v>
      </c>
      <c r="B529" s="107">
        <v>21</v>
      </c>
      <c r="C529" s="107">
        <v>8</v>
      </c>
      <c r="D529" s="158" t="s">
        <v>432</v>
      </c>
      <c r="E529" s="107"/>
      <c r="F529" s="89">
        <f>SUM(F526:F528)</f>
        <v>662740.91999999993</v>
      </c>
      <c r="G529" s="89">
        <f t="shared" ref="G529:L529" si="37">SUM(G526:G528)</f>
        <v>404062.42</v>
      </c>
      <c r="H529" s="89">
        <f t="shared" si="37"/>
        <v>476397.89</v>
      </c>
      <c r="I529" s="89">
        <f t="shared" si="37"/>
        <v>0</v>
      </c>
      <c r="J529" s="89">
        <f t="shared" si="37"/>
        <v>0</v>
      </c>
      <c r="K529" s="89">
        <f t="shared" si="37"/>
        <v>0</v>
      </c>
      <c r="L529" s="89">
        <f t="shared" si="37"/>
        <v>1543201.23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88137.85</v>
      </c>
      <c r="G531" s="18">
        <v>41385.56</v>
      </c>
      <c r="H531" s="18">
        <v>36384.15</v>
      </c>
      <c r="I531" s="18">
        <v>6826.2</v>
      </c>
      <c r="J531" s="18">
        <v>7027.12</v>
      </c>
      <c r="K531" s="18">
        <v>11294.25</v>
      </c>
      <c r="L531" s="88">
        <f>SUM(F531:K531)</f>
        <v>191055.13</v>
      </c>
      <c r="M531" s="8"/>
      <c r="N531" s="266"/>
    </row>
    <row r="532" spans="1:14" s="3" customFormat="1" ht="12.2" customHeight="1" x14ac:dyDescent="0.15">
      <c r="A532" s="22" t="s">
        <v>634</v>
      </c>
      <c r="B532" s="105">
        <v>21</v>
      </c>
      <c r="C532" s="105">
        <v>10</v>
      </c>
      <c r="D532" s="2" t="s">
        <v>432</v>
      </c>
      <c r="E532" s="105"/>
      <c r="F532" s="18">
        <v>74247.929999999993</v>
      </c>
      <c r="G532" s="18">
        <v>34863.480000000003</v>
      </c>
      <c r="H532" s="18">
        <v>30650.26</v>
      </c>
      <c r="I532" s="18">
        <v>5750.44</v>
      </c>
      <c r="J532" s="18">
        <v>5919.69</v>
      </c>
      <c r="K532" s="18">
        <v>9514.35</v>
      </c>
      <c r="L532" s="88">
        <f>SUM(F532:K532)</f>
        <v>160946.15000000002</v>
      </c>
      <c r="M532" s="8"/>
      <c r="N532" s="266"/>
    </row>
    <row r="533" spans="1:14" s="3" customFormat="1" ht="12.2" customHeight="1" thickBot="1" x14ac:dyDescent="0.2">
      <c r="A533" s="22" t="s">
        <v>635</v>
      </c>
      <c r="B533" s="105">
        <v>21</v>
      </c>
      <c r="C533" s="105">
        <v>11</v>
      </c>
      <c r="D533" s="2" t="s">
        <v>432</v>
      </c>
      <c r="E533" s="105"/>
      <c r="F533" s="18">
        <v>90158.2</v>
      </c>
      <c r="G533" s="18">
        <v>42334.23</v>
      </c>
      <c r="H533" s="18">
        <v>37218.17</v>
      </c>
      <c r="I533" s="18">
        <v>6982.68</v>
      </c>
      <c r="J533" s="18">
        <v>7188.2</v>
      </c>
      <c r="K533" s="18">
        <v>11553.14</v>
      </c>
      <c r="L533" s="88">
        <f>SUM(F533:K533)</f>
        <v>195434.62</v>
      </c>
      <c r="M533" s="8"/>
      <c r="N533" s="266"/>
    </row>
    <row r="534" spans="1:14" s="3" customFormat="1" ht="12.2" customHeight="1" thickTop="1" x14ac:dyDescent="0.15">
      <c r="A534" s="139" t="s">
        <v>67</v>
      </c>
      <c r="B534" s="107">
        <v>21</v>
      </c>
      <c r="C534" s="107">
        <v>12</v>
      </c>
      <c r="D534" s="158" t="s">
        <v>432</v>
      </c>
      <c r="E534" s="107"/>
      <c r="F534" s="89">
        <f>SUM(F531:F533)</f>
        <v>252543.97999999998</v>
      </c>
      <c r="G534" s="89">
        <f t="shared" ref="G534:L534" si="38">SUM(G531:G533)</f>
        <v>118583.27000000002</v>
      </c>
      <c r="H534" s="89">
        <f t="shared" si="38"/>
        <v>104252.58</v>
      </c>
      <c r="I534" s="89">
        <f t="shared" si="38"/>
        <v>19559.32</v>
      </c>
      <c r="J534" s="89">
        <f t="shared" si="38"/>
        <v>20135.009999999998</v>
      </c>
      <c r="K534" s="89">
        <f t="shared" si="38"/>
        <v>32361.739999999998</v>
      </c>
      <c r="L534" s="89">
        <f t="shared" si="38"/>
        <v>547435.9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f>6935.77</f>
        <v>6935.77</v>
      </c>
      <c r="I536" s="18"/>
      <c r="J536" s="18"/>
      <c r="K536" s="18"/>
      <c r="L536" s="88">
        <f>SUM(F536:K536)</f>
        <v>6935.77</v>
      </c>
      <c r="M536" s="8"/>
      <c r="N536" s="266"/>
    </row>
    <row r="537" spans="1:14" s="3" customFormat="1" ht="12.2" customHeight="1" x14ac:dyDescent="0.15">
      <c r="A537" s="22" t="s">
        <v>634</v>
      </c>
      <c r="B537" s="105">
        <v>21</v>
      </c>
      <c r="C537" s="105">
        <v>14</v>
      </c>
      <c r="D537" s="2" t="s">
        <v>432</v>
      </c>
      <c r="E537" s="105"/>
      <c r="F537" s="18"/>
      <c r="G537" s="18"/>
      <c r="H537" s="18">
        <f>5842.74</f>
        <v>5842.74</v>
      </c>
      <c r="I537" s="18"/>
      <c r="J537" s="18"/>
      <c r="K537" s="18"/>
      <c r="L537" s="88">
        <f>SUM(F537:K537)</f>
        <v>5842.74</v>
      </c>
      <c r="M537" s="8"/>
      <c r="N537" s="266"/>
    </row>
    <row r="538" spans="1:14" s="3" customFormat="1" ht="12.2" customHeight="1" thickBot="1" x14ac:dyDescent="0.2">
      <c r="A538" s="22" t="s">
        <v>635</v>
      </c>
      <c r="B538" s="105">
        <v>21</v>
      </c>
      <c r="C538" s="105">
        <v>15</v>
      </c>
      <c r="D538" s="2" t="s">
        <v>432</v>
      </c>
      <c r="E538" s="105"/>
      <c r="F538" s="18"/>
      <c r="G538" s="18"/>
      <c r="H538" s="18">
        <f>7094.76+2625</f>
        <v>9719.76</v>
      </c>
      <c r="I538" s="18"/>
      <c r="J538" s="18"/>
      <c r="K538" s="18"/>
      <c r="L538" s="88">
        <f>SUM(F538:K538)</f>
        <v>9719.76</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22498.27</v>
      </c>
      <c r="I539" s="89">
        <f t="shared" si="39"/>
        <v>0</v>
      </c>
      <c r="J539" s="89">
        <f t="shared" si="39"/>
        <v>0</v>
      </c>
      <c r="K539" s="89">
        <f t="shared" si="39"/>
        <v>0</v>
      </c>
      <c r="L539" s="89">
        <f t="shared" si="39"/>
        <v>22498.27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113487.04+29506.4+102582.41</f>
        <v>245575.85</v>
      </c>
      <c r="I541" s="18"/>
      <c r="J541" s="18"/>
      <c r="K541" s="18"/>
      <c r="L541" s="88">
        <f>SUM(F541:K541)</f>
        <v>245575.85</v>
      </c>
      <c r="M541" s="8"/>
      <c r="N541" s="266"/>
    </row>
    <row r="542" spans="1:14" s="3" customFormat="1" ht="12.2" customHeight="1" x14ac:dyDescent="0.15">
      <c r="A542" s="22" t="s">
        <v>634</v>
      </c>
      <c r="B542" s="105">
        <v>21</v>
      </c>
      <c r="C542" s="105">
        <v>18</v>
      </c>
      <c r="D542" s="2" t="s">
        <v>432</v>
      </c>
      <c r="E542" s="105"/>
      <c r="F542" s="18"/>
      <c r="G542" s="18"/>
      <c r="H542" s="18">
        <f>389360.15+179.86</f>
        <v>389540.01</v>
      </c>
      <c r="I542" s="18"/>
      <c r="J542" s="18"/>
      <c r="K542" s="18"/>
      <c r="L542" s="88">
        <f>SUM(F542:K542)</f>
        <v>389540.01</v>
      </c>
      <c r="M542" s="8"/>
      <c r="N542" s="266"/>
    </row>
    <row r="543" spans="1:14" s="3" customFormat="1" ht="12.2" customHeight="1" thickBot="1" x14ac:dyDescent="0.2">
      <c r="A543" s="22" t="s">
        <v>635</v>
      </c>
      <c r="B543" s="105">
        <v>21</v>
      </c>
      <c r="C543" s="105">
        <v>19</v>
      </c>
      <c r="D543" s="2" t="s">
        <v>432</v>
      </c>
      <c r="E543" s="105"/>
      <c r="F543" s="18"/>
      <c r="G543" s="18"/>
      <c r="H543" s="18">
        <v>210483.23</v>
      </c>
      <c r="I543" s="18"/>
      <c r="J543" s="18"/>
      <c r="K543" s="18"/>
      <c r="L543" s="88">
        <f>SUM(F543:K543)</f>
        <v>210483.23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845599.09</v>
      </c>
      <c r="I544" s="193">
        <f t="shared" si="40"/>
        <v>0</v>
      </c>
      <c r="J544" s="193">
        <f t="shared" si="40"/>
        <v>0</v>
      </c>
      <c r="K544" s="193">
        <f t="shared" si="40"/>
        <v>0</v>
      </c>
      <c r="L544" s="193">
        <f t="shared" si="40"/>
        <v>845599.09</v>
      </c>
      <c r="M544" s="8"/>
      <c r="N544" s="266"/>
    </row>
    <row r="545" spans="1:14" s="3" customFormat="1" ht="12.2" customHeight="1" thickTop="1" x14ac:dyDescent="0.15">
      <c r="A545" s="98" t="s">
        <v>72</v>
      </c>
      <c r="B545" s="107">
        <v>21</v>
      </c>
      <c r="C545" s="107">
        <v>21</v>
      </c>
      <c r="D545" s="158" t="s">
        <v>432</v>
      </c>
      <c r="E545" s="107"/>
      <c r="F545" s="89">
        <f>F524+F529+F534+F539+F544</f>
        <v>7136510.8399999999</v>
      </c>
      <c r="G545" s="89">
        <f t="shared" ref="G545:L545" si="41">G524+G529+G534+G539+G544</f>
        <v>2861196.56</v>
      </c>
      <c r="H545" s="89">
        <f t="shared" si="41"/>
        <v>4504057.5</v>
      </c>
      <c r="I545" s="89">
        <f t="shared" si="41"/>
        <v>59450.63</v>
      </c>
      <c r="J545" s="89">
        <f t="shared" si="41"/>
        <v>30073.29</v>
      </c>
      <c r="K545" s="89">
        <f t="shared" si="41"/>
        <v>33135.74</v>
      </c>
      <c r="L545" s="89">
        <f t="shared" si="41"/>
        <v>14624424.560000001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4511954.3900000006</v>
      </c>
      <c r="G549" s="87">
        <f>L526</f>
        <v>1005509.13</v>
      </c>
      <c r="H549" s="87">
        <f>L531</f>
        <v>191055.13</v>
      </c>
      <c r="I549" s="87">
        <f>L536</f>
        <v>6935.77</v>
      </c>
      <c r="J549" s="87">
        <f>L541</f>
        <v>245575.85</v>
      </c>
      <c r="K549" s="87">
        <f>SUM(F549:J549)</f>
        <v>5961030.2699999996</v>
      </c>
      <c r="L549" s="24" t="s">
        <v>288</v>
      </c>
      <c r="M549" s="8"/>
      <c r="N549" s="266"/>
    </row>
    <row r="550" spans="1:14" s="3" customFormat="1" ht="12.2" customHeight="1" x14ac:dyDescent="0.15">
      <c r="A550" s="22" t="s">
        <v>634</v>
      </c>
      <c r="B550" s="75">
        <v>21</v>
      </c>
      <c r="C550" s="75">
        <v>23</v>
      </c>
      <c r="D550" s="2" t="s">
        <v>432</v>
      </c>
      <c r="E550" s="75"/>
      <c r="F550" s="87">
        <f>L522</f>
        <v>3774119.01</v>
      </c>
      <c r="G550" s="87">
        <f>L527</f>
        <v>323797.19</v>
      </c>
      <c r="H550" s="87">
        <f>L532</f>
        <v>160946.15000000002</v>
      </c>
      <c r="I550" s="87">
        <f>L537</f>
        <v>5842.74</v>
      </c>
      <c r="J550" s="87">
        <f>L542</f>
        <v>389540.01</v>
      </c>
      <c r="K550" s="87">
        <f>SUM(F550:J550)</f>
        <v>4654245.0999999996</v>
      </c>
      <c r="L550" s="24" t="s">
        <v>288</v>
      </c>
      <c r="M550" s="8"/>
      <c r="N550" s="266"/>
    </row>
    <row r="551" spans="1:14" s="3" customFormat="1" ht="12.2" customHeight="1" thickBot="1" x14ac:dyDescent="0.2">
      <c r="A551" s="22" t="s">
        <v>635</v>
      </c>
      <c r="B551" s="75">
        <v>21</v>
      </c>
      <c r="C551" s="75">
        <v>24</v>
      </c>
      <c r="D551" s="2" t="s">
        <v>432</v>
      </c>
      <c r="E551" s="75"/>
      <c r="F551" s="87">
        <f>L523</f>
        <v>3379616.67</v>
      </c>
      <c r="G551" s="87">
        <f>L528</f>
        <v>213894.91</v>
      </c>
      <c r="H551" s="87">
        <f>L533</f>
        <v>195434.62</v>
      </c>
      <c r="I551" s="87">
        <f>L538</f>
        <v>9719.76</v>
      </c>
      <c r="J551" s="87">
        <f>L543</f>
        <v>210483.23</v>
      </c>
      <c r="K551" s="87">
        <f>SUM(F551:J551)</f>
        <v>4009149.19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11665690.07</v>
      </c>
      <c r="G552" s="89">
        <f t="shared" si="42"/>
        <v>1543201.23</v>
      </c>
      <c r="H552" s="89">
        <f t="shared" si="42"/>
        <v>547435.9</v>
      </c>
      <c r="I552" s="89">
        <f t="shared" si="42"/>
        <v>22498.27</v>
      </c>
      <c r="J552" s="89">
        <f t="shared" si="42"/>
        <v>845599.09</v>
      </c>
      <c r="K552" s="89">
        <f t="shared" si="42"/>
        <v>14624424.559999999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95170.42</f>
        <v>95170.42</v>
      </c>
      <c r="G579" s="18">
        <f>49840</f>
        <v>49840</v>
      </c>
      <c r="H579" s="18">
        <f>4141.08</f>
        <v>4141.08</v>
      </c>
      <c r="I579" s="87">
        <f t="shared" si="47"/>
        <v>149151.49999999997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284479.85</f>
        <v>284479.84999999998</v>
      </c>
      <c r="G582" s="18">
        <f>1193645.16</f>
        <v>1193645.1599999999</v>
      </c>
      <c r="H582" s="18">
        <f>747952.46+1643</f>
        <v>749595.46</v>
      </c>
      <c r="I582" s="87">
        <f t="shared" si="47"/>
        <v>2227720.4699999997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f>7103.71</f>
        <v>7103.71</v>
      </c>
      <c r="I584" s="87">
        <f t="shared" si="47"/>
        <v>7103.71</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534712.23</v>
      </c>
      <c r="I591" s="18">
        <v>450445.26</v>
      </c>
      <c r="J591" s="18">
        <v>546969.24</v>
      </c>
      <c r="K591" s="104">
        <f t="shared" ref="K591:K597" si="48">SUM(H591:J591)</f>
        <v>1532126.73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245575.85</v>
      </c>
      <c r="I592" s="18">
        <v>389540.01</v>
      </c>
      <c r="J592" s="18">
        <v>210483.23</v>
      </c>
      <c r="K592" s="104">
        <f t="shared" si="48"/>
        <v>845599.09</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56899.35</v>
      </c>
      <c r="K593" s="104">
        <f t="shared" si="48"/>
        <v>56899.35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13470.46</v>
      </c>
      <c r="J594" s="18">
        <v>104756.88</v>
      </c>
      <c r="K594" s="104">
        <f t="shared" si="48"/>
        <v>118227.34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0</v>
      </c>
      <c r="I595" s="18">
        <v>0</v>
      </c>
      <c r="J595" s="18">
        <v>10325.76</v>
      </c>
      <c r="K595" s="104">
        <f t="shared" si="48"/>
        <v>10325.76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46805.13</v>
      </c>
      <c r="I597" s="18">
        <v>39428.959999999999</v>
      </c>
      <c r="J597" s="18">
        <v>47878.03</v>
      </c>
      <c r="K597" s="104">
        <f t="shared" si="48"/>
        <v>134112.12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827093.21</v>
      </c>
      <c r="I598" s="108">
        <f>SUM(I591:I597)</f>
        <v>892884.69</v>
      </c>
      <c r="J598" s="108">
        <f>SUM(J591:J597)</f>
        <v>977312.49</v>
      </c>
      <c r="K598" s="108">
        <f>SUM(K591:K597)</f>
        <v>2697290.3899999997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f>5240</f>
        <v>5240</v>
      </c>
      <c r="J602" s="18"/>
      <c r="K602" s="104">
        <f>SUM(H602:J602)</f>
        <v>5240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1024.26+2408.73+3131.13+1446.22+1939.6+274458.99+21565.37</f>
        <v>305974.3</v>
      </c>
      <c r="I604" s="18">
        <f>303.6+2501.19+749.46+774.64+99+231206.14+21565.38</f>
        <v>257199.41000000003</v>
      </c>
      <c r="J604" s="18">
        <f>1495+80+863.97+5588.85+1320+654.75+8680+42.5+413.1+274.64+7676+36609.27+1958+6607.37+280750.32</f>
        <v>353013.77</v>
      </c>
      <c r="K604" s="104">
        <f>SUM(H604:J604)</f>
        <v>916187.48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305974.3</v>
      </c>
      <c r="I605" s="108">
        <f>SUM(I602:I604)</f>
        <v>262439.41000000003</v>
      </c>
      <c r="J605" s="108">
        <f>SUM(J602:J604)</f>
        <v>353013.77</v>
      </c>
      <c r="K605" s="108">
        <f>SUM(K602:K604)</f>
        <v>921427.48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2456+38995.26+3854</f>
        <v>45305.26</v>
      </c>
      <c r="G611" s="18">
        <f>448.96+4849.59+294.83+148.96</f>
        <v>5742.34</v>
      </c>
      <c r="H611" s="18"/>
      <c r="I611" s="18">
        <v>156.47999999999999</v>
      </c>
      <c r="J611" s="18"/>
      <c r="K611" s="18"/>
      <c r="L611" s="88">
        <f>SUM(F611:K611)</f>
        <v>51204.080000000009</v>
      </c>
      <c r="M611" s="8"/>
      <c r="N611" s="266"/>
    </row>
    <row r="612" spans="1:14" s="3" customFormat="1" ht="12.2" customHeight="1" x14ac:dyDescent="0.15">
      <c r="A612" s="22" t="s">
        <v>634</v>
      </c>
      <c r="B612" s="75">
        <v>23</v>
      </c>
      <c r="C612" s="75">
        <v>14</v>
      </c>
      <c r="D612" s="2" t="s">
        <v>432</v>
      </c>
      <c r="E612" s="75"/>
      <c r="F612" s="18">
        <v>32849.870000000003</v>
      </c>
      <c r="G612" s="18">
        <v>4085.33</v>
      </c>
      <c r="H612" s="18"/>
      <c r="I612" s="18"/>
      <c r="J612" s="18"/>
      <c r="K612" s="18"/>
      <c r="L612" s="88">
        <f>SUM(F612:K612)</f>
        <v>36935.200000000004</v>
      </c>
      <c r="M612" s="8"/>
      <c r="N612" s="266"/>
    </row>
    <row r="613" spans="1:14" s="3" customFormat="1" ht="12.2" customHeight="1" thickBot="1" x14ac:dyDescent="0.2">
      <c r="A613" s="22" t="s">
        <v>645</v>
      </c>
      <c r="B613" s="75">
        <v>23</v>
      </c>
      <c r="C613" s="75">
        <v>15</v>
      </c>
      <c r="D613" s="2" t="s">
        <v>432</v>
      </c>
      <c r="E613" s="75"/>
      <c r="F613" s="18">
        <f>1530+39889.13</f>
        <v>41419.129999999997</v>
      </c>
      <c r="G613" s="18">
        <f>382.64+4960.76</f>
        <v>5343.4000000000005</v>
      </c>
      <c r="H613" s="18"/>
      <c r="I613" s="18">
        <f>102.18</f>
        <v>102.18</v>
      </c>
      <c r="J613" s="18"/>
      <c r="K613" s="18"/>
      <c r="L613" s="88">
        <f>SUM(F613:K613)</f>
        <v>46864.71</v>
      </c>
      <c r="M613" s="8"/>
      <c r="N613" s="266"/>
    </row>
    <row r="614" spans="1:14" s="3" customFormat="1" ht="12.2" customHeight="1" thickTop="1" x14ac:dyDescent="0.15">
      <c r="A614" s="98" t="s">
        <v>340</v>
      </c>
      <c r="B614" s="107">
        <v>23</v>
      </c>
      <c r="C614" s="107">
        <v>16</v>
      </c>
      <c r="D614" s="39" t="s">
        <v>432</v>
      </c>
      <c r="E614" s="107"/>
      <c r="F614" s="108">
        <f t="shared" ref="F614:L614" si="49">SUM(F611:F613)</f>
        <v>119574.26000000001</v>
      </c>
      <c r="G614" s="108">
        <f t="shared" si="49"/>
        <v>15171.07</v>
      </c>
      <c r="H614" s="108">
        <f t="shared" si="49"/>
        <v>0</v>
      </c>
      <c r="I614" s="108">
        <f t="shared" si="49"/>
        <v>258.65999999999997</v>
      </c>
      <c r="J614" s="108">
        <f t="shared" si="49"/>
        <v>0</v>
      </c>
      <c r="K614" s="108">
        <f t="shared" si="49"/>
        <v>0</v>
      </c>
      <c r="L614" s="89">
        <f t="shared" si="49"/>
        <v>135003.99000000002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1050614.2499999998</v>
      </c>
      <c r="H618" s="109">
        <f>SUM(G52)</f>
        <v>1050614.25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619617.82999999996</v>
      </c>
      <c r="H619" s="109">
        <f>SUM(H52)</f>
        <v>619617.82999999996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333384.38</v>
      </c>
      <c r="H623" s="109">
        <f>G476</f>
        <v>333384.37999999989</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619617.82999999996</v>
      </c>
      <c r="H624" s="109">
        <f>H476</f>
        <v>619617.83000000007</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60454067.949999996</v>
      </c>
      <c r="H627" s="104">
        <f>SUM(F468)</f>
        <v>60454067.950000003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1570077.9700000002</v>
      </c>
      <c r="H628" s="104">
        <f>SUM(G468)</f>
        <v>1570077.97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3337466.98</v>
      </c>
      <c r="H629" s="104">
        <f>SUM(H468)</f>
        <v>3337466.98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15293030.970000001</v>
      </c>
      <c r="H630" s="104">
        <f>SUM(I468)</f>
        <v>15293030.970000001</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60278240.970000006</v>
      </c>
      <c r="H632" s="104">
        <f>SUM(F472)</f>
        <v>60278240.969999999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3321161.59</v>
      </c>
      <c r="H633" s="104">
        <f>SUM(H472)</f>
        <v>3321161.59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119626.83</v>
      </c>
      <c r="H634" s="104">
        <f>I369</f>
        <v>119626.83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1579232.13</v>
      </c>
      <c r="H635" s="104">
        <f>SUM(G472)</f>
        <v>1579232.1300000001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15128030.970000001</v>
      </c>
      <c r="H636" s="104">
        <f>SUM(I472)</f>
        <v>15128030.970000001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2697290.3899999997</v>
      </c>
      <c r="H647" s="104">
        <f>L208+L226+L244</f>
        <v>2697290.39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921427.48</v>
      </c>
      <c r="H648" s="104">
        <f>(J257+J338)-(J255+J336)</f>
        <v>921427.48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827093.21</v>
      </c>
      <c r="H649" s="104">
        <f>H598</f>
        <v>827093.21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892884.69</v>
      </c>
      <c r="H650" s="104">
        <f>I598</f>
        <v>892884.69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977312.49000000011</v>
      </c>
      <c r="H651" s="104">
        <f>J598</f>
        <v>977312.49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79974.710000000006</v>
      </c>
      <c r="H652" s="104">
        <f>K263+K345</f>
        <v>79974.710000000006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14572.44</v>
      </c>
      <c r="H653" s="104">
        <f>K264</f>
        <v>14572.44</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165000</v>
      </c>
      <c r="H654" s="104">
        <f>K265+K346</f>
        <v>165000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21537672.690000001</v>
      </c>
      <c r="G660" s="19">
        <f>(L229+L309+L359)</f>
        <v>15735539.479999999</v>
      </c>
      <c r="H660" s="19">
        <f>(L247+L328+L360)</f>
        <v>20490244.23</v>
      </c>
      <c r="I660" s="19">
        <f>SUM(F660:H660)</f>
        <v>57763456.400000006</v>
      </c>
      <c r="J660" s="13"/>
      <c r="K660" s="13"/>
      <c r="L660" s="13"/>
      <c r="M660" s="9"/>
    </row>
    <row r="661" spans="1:13" s="3" customFormat="1" ht="12.2" customHeight="1" x14ac:dyDescent="0.2">
      <c r="A661" s="1" t="s">
        <v>127</v>
      </c>
      <c r="F661" s="19">
        <f>(L358/IF(SUM(L358:L360)=0,1,SUM(L358:L360))*(SUM(G97:G110)))</f>
        <v>270965.77959318907</v>
      </c>
      <c r="G661" s="19">
        <f>(L359/IF(SUM(L358:L360)=0,1,SUM(L358:L360))*(SUM(G97:G110)))</f>
        <v>228263.43935838144</v>
      </c>
      <c r="H661" s="19">
        <f>(L360/IF(SUM(L358:L360)=0,1,SUM(L358:L360))*(SUM(G97:G110)))</f>
        <v>277177.03104842955</v>
      </c>
      <c r="I661" s="19">
        <f>SUM(F661:H661)</f>
        <v>776406.25</v>
      </c>
      <c r="J661"/>
      <c r="K661" s="13"/>
      <c r="L661" s="13"/>
      <c r="M661" s="9"/>
    </row>
    <row r="662" spans="1:13" s="3" customFormat="1" ht="12.2" customHeight="1" x14ac:dyDescent="0.2">
      <c r="A662" s="1" t="s">
        <v>128</v>
      </c>
      <c r="F662" s="19">
        <f>(L208+L287)-(J208+J287)</f>
        <v>827093.21</v>
      </c>
      <c r="G662" s="19">
        <f>(L226+L306)-(J226+J306)</f>
        <v>892884.69</v>
      </c>
      <c r="H662" s="19">
        <f>(L244+L325)-(J244+J325)</f>
        <v>977312.49000000011</v>
      </c>
      <c r="I662" s="19">
        <f>SUM(F662:H662)</f>
        <v>2697290.39</v>
      </c>
      <c r="J662"/>
      <c r="K662" s="13"/>
      <c r="L662" s="13"/>
      <c r="M662" s="8"/>
    </row>
    <row r="663" spans="1:13" s="3" customFormat="1" ht="12.2" customHeight="1" x14ac:dyDescent="0.15">
      <c r="A663" s="198" t="s">
        <v>129</v>
      </c>
      <c r="B663" s="169"/>
      <c r="C663" s="169"/>
      <c r="D663" s="169"/>
      <c r="E663" s="169"/>
      <c r="F663" s="199">
        <f>SUM(F575:F587)+SUM(H602:H604)+SUM(L611)</f>
        <v>736828.64999999991</v>
      </c>
      <c r="G663" s="199">
        <f>SUM(G575:G587)+SUM(I602:I604)+L612</f>
        <v>1542859.7699999998</v>
      </c>
      <c r="H663" s="199">
        <f>SUM(H575:H587)+SUM(J602:J604)+L613</f>
        <v>1160718.73</v>
      </c>
      <c r="I663" s="19">
        <f>SUM(F663:H663)</f>
        <v>3440407.15</v>
      </c>
      <c r="J663" s="13"/>
      <c r="K663" s="13"/>
      <c r="L663" s="13"/>
      <c r="M663" s="9"/>
    </row>
    <row r="664" spans="1:13" s="3" customFormat="1" ht="12.2" customHeight="1" x14ac:dyDescent="0.15">
      <c r="A664" s="1" t="s">
        <v>130</v>
      </c>
      <c r="F664" s="19">
        <f>F660-SUM(F661:F663)</f>
        <v>19702785.050406814</v>
      </c>
      <c r="G664" s="19">
        <f>G660-SUM(G661:G663)</f>
        <v>13071531.580641616</v>
      </c>
      <c r="H664" s="19">
        <f>H660-SUM(H661:H663)</f>
        <v>18075035.97895157</v>
      </c>
      <c r="I664" s="19">
        <f>I660-SUM(I661:I663)</f>
        <v>50849352.610000007</v>
      </c>
      <c r="J664" s="13"/>
      <c r="K664" s="13"/>
      <c r="L664" s="13"/>
      <c r="M664" s="9"/>
    </row>
    <row r="665" spans="1:13" s="3" customFormat="1" ht="12.2" customHeight="1" x14ac:dyDescent="0.2">
      <c r="A665" s="1" t="s">
        <v>131</v>
      </c>
      <c r="F665" s="246">
        <v>1349</v>
      </c>
      <c r="G665" s="247">
        <v>1174.58</v>
      </c>
      <c r="H665" s="247">
        <v>1385.05</v>
      </c>
      <c r="I665" s="19">
        <f>SUM(F665:H665)</f>
        <v>3908.63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14605.47</v>
      </c>
      <c r="G667" s="19">
        <f>ROUND(G664/G665,2)</f>
        <v>11128.69</v>
      </c>
      <c r="H667" s="19">
        <f>ROUND(H664/H665,2)</f>
        <v>13050.1</v>
      </c>
      <c r="I667" s="19">
        <f>ROUND(I664/I665,2)</f>
        <v>13009.51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33.74</v>
      </c>
      <c r="I670" s="19">
        <f>SUM(F670:H670)</f>
        <v>33.74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14605.47</v>
      </c>
      <c r="G672" s="19">
        <f>ROUND((G664+G669)/(G665+G670),2)</f>
        <v>11128.69</v>
      </c>
      <c r="H672" s="19">
        <f>ROUND((H664+H669)/(H665+H670),2)</f>
        <v>12739.75</v>
      </c>
      <c r="I672" s="19">
        <f>ROUND((I664+I669)/(I665+I670),2)</f>
        <v>12898.17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30" zoomScaleNormal="130" workbookViewId="0">
      <selection activeCell="J18" sqref="J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Dover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14324301.130000001</v>
      </c>
      <c r="C9" s="229">
        <f>'DOE25'!G197+'DOE25'!G215+'DOE25'!G233+'DOE25'!G276+'DOE25'!G295+'DOE25'!G314</f>
        <v>7563252.2899999991</v>
      </c>
    </row>
    <row r="10" spans="1:3" x14ac:dyDescent="0.2">
      <c r="A10" t="s">
        <v>775</v>
      </c>
      <c r="B10" s="240">
        <f>11740517.68+780117+297631.83+2792.99+1530+72322+71235.76+3593+20069</f>
        <v>12989809.26</v>
      </c>
      <c r="C10" s="240">
        <f>6612324.1+490272.19+23754.1+1241.75+382.64+37827.78+17648.33+887.72+3550.57</f>
        <v>7187889.1799999997</v>
      </c>
    </row>
    <row r="11" spans="1:3" x14ac:dyDescent="0.2">
      <c r="A11" t="s">
        <v>776</v>
      </c>
      <c r="B11" s="240">
        <f>381277.96+295872.05+550+550+23762.38+261113.91</f>
        <v>963126.3</v>
      </c>
      <c r="C11" s="240">
        <f>127816.25+42738.3+42.08+36.19+1817.98+54908.68+1658.96</f>
        <v>229018.43999999997</v>
      </c>
    </row>
    <row r="12" spans="1:3" x14ac:dyDescent="0.2">
      <c r="A12" t="s">
        <v>777</v>
      </c>
      <c r="B12" s="240">
        <f>176065.85+20628.02+65339.7+109332</f>
        <v>371365.57</v>
      </c>
      <c r="C12" s="240">
        <f>81.14+39816.61+4080+48753.76+53613.16</f>
        <v>146344.67000000001</v>
      </c>
    </row>
    <row r="13" spans="1:3" x14ac:dyDescent="0.2">
      <c r="A13" t="str">
        <f>IF(B9=B13,IF(C9=C13,"Check Total OK","Check Total Error"),"Check Total Error")</f>
        <v>Check Total OK</v>
      </c>
      <c r="B13" s="231">
        <f>SUM(B10:B12)</f>
        <v>14324301.130000001</v>
      </c>
      <c r="C13" s="231">
        <f>SUM(C10:C12)</f>
        <v>7563252.29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6473769.9200000009</v>
      </c>
      <c r="C18" s="229">
        <f>'DOE25'!G198+'DOE25'!G216+'DOE25'!G234+'DOE25'!G277+'DOE25'!G296+'DOE25'!G315</f>
        <v>2457134.14</v>
      </c>
    </row>
    <row r="19" spans="1:3" x14ac:dyDescent="0.2">
      <c r="A19" t="s">
        <v>775</v>
      </c>
      <c r="B19" s="240">
        <f>728739.32+185490.22+302567+251082.61+1144358.14+122832+46487.04+1065.79+190626.99+4159.5+20784.8+0.01</f>
        <v>2998193.42</v>
      </c>
      <c r="C19" s="240">
        <f>689917.31+157924.31+605489.82+84561.98+8433.44+2969.47+84822.84+1036.78+13153.9-0.01</f>
        <v>1648309.8399999999</v>
      </c>
    </row>
    <row r="20" spans="1:3" x14ac:dyDescent="0.2">
      <c r="A20" t="s">
        <v>776</v>
      </c>
      <c r="B20" s="240">
        <f>2390315.66+107673.2+22164.71+73810.67+17040+86129.82+65247.22+7518+64781</f>
        <v>2834680.2800000003</v>
      </c>
      <c r="C20" s="240">
        <f>401474.79+18592.07+1287.67+6554.21+5462.24+36.99+1566+43419.74</f>
        <v>478393.70999999996</v>
      </c>
    </row>
    <row r="21" spans="1:3" x14ac:dyDescent="0.2">
      <c r="A21" t="s">
        <v>777</v>
      </c>
      <c r="B21" s="240">
        <f>301297.94+60328.02+1000+10923.8+900+252427.08+14019.38</f>
        <v>640896.22</v>
      </c>
      <c r="C21" s="240">
        <f>2587.26+162054.33+9864.24+190.3+68.22+148108.17+7558.07</f>
        <v>330430.59000000003</v>
      </c>
    </row>
    <row r="22" spans="1:3" x14ac:dyDescent="0.2">
      <c r="A22" t="str">
        <f>IF(B18=B22,IF(C18=C22,"Check Total OK","Check Total Error"),"Check Total Error")</f>
        <v>Check Total OK</v>
      </c>
      <c r="B22" s="231">
        <f>SUM(B19:B21)</f>
        <v>6473769.9199999999</v>
      </c>
      <c r="C22" s="231">
        <f>SUM(C19:C21)</f>
        <v>2457134.1399999997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1097370.99</v>
      </c>
      <c r="C27" s="234">
        <f>'DOE25'!G199+'DOE25'!G217+'DOE25'!G235+'DOE25'!G278+'DOE25'!G297+'DOE25'!G316</f>
        <v>573208.19000000006</v>
      </c>
    </row>
    <row r="28" spans="1:3" x14ac:dyDescent="0.2">
      <c r="A28" t="s">
        <v>775</v>
      </c>
      <c r="B28" s="240">
        <f>839903.8+46682+1739+4770.5</f>
        <v>893095.3</v>
      </c>
      <c r="C28" s="240">
        <f>489103.58+585.96+1193.1</f>
        <v>490882.64</v>
      </c>
    </row>
    <row r="29" spans="1:3" x14ac:dyDescent="0.2">
      <c r="A29" t="s">
        <v>776</v>
      </c>
      <c r="B29" s="240">
        <v>0</v>
      </c>
      <c r="C29" s="240">
        <v>0</v>
      </c>
    </row>
    <row r="30" spans="1:3" x14ac:dyDescent="0.2">
      <c r="A30" t="s">
        <v>777</v>
      </c>
      <c r="B30" s="240">
        <f>53615.61+100736.73+42487.6+1900+617+450+4468.75</f>
        <v>204275.69</v>
      </c>
      <c r="C30" s="240">
        <f>17934.56+35709.36+27949.59+355.71+34.29+342.04</f>
        <v>82325.549999999988</v>
      </c>
    </row>
    <row r="31" spans="1:3" x14ac:dyDescent="0.2">
      <c r="A31" t="str">
        <f>IF(B27=B31,IF(C27=C31,"Check Total OK","Check Total Error"),"Check Total Error")</f>
        <v>Check Total OK</v>
      </c>
      <c r="B31" s="231">
        <f>SUM(B28:B30)</f>
        <v>1097370.99</v>
      </c>
      <c r="C31" s="231">
        <f>SUM(C28:C30)</f>
        <v>573208.18999999994</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348277.16000000003</v>
      </c>
      <c r="C36" s="235">
        <f>'DOE25'!G200+'DOE25'!G218+'DOE25'!G236+'DOE25'!G279+'DOE25'!G298+'DOE25'!G317</f>
        <v>122145.32</v>
      </c>
    </row>
    <row r="37" spans="1:3" x14ac:dyDescent="0.2">
      <c r="A37" t="s">
        <v>775</v>
      </c>
      <c r="B37" s="240">
        <f>2456+3465.81+3854</f>
        <v>9775.81</v>
      </c>
      <c r="C37" s="240">
        <f>294.83</f>
        <v>294.83</v>
      </c>
    </row>
    <row r="38" spans="1:3" x14ac:dyDescent="0.2">
      <c r="A38" t="s">
        <v>776</v>
      </c>
      <c r="B38" s="240">
        <f>822.51</f>
        <v>822.51</v>
      </c>
      <c r="C38" s="240">
        <f>139.34</f>
        <v>139.34</v>
      </c>
    </row>
    <row r="39" spans="1:3" x14ac:dyDescent="0.2">
      <c r="A39" t="s">
        <v>777</v>
      </c>
      <c r="B39" s="240">
        <f>2025+107110.85+550+32368.48+550+167928+300+26846.5+4238-4237.99</f>
        <v>337678.84</v>
      </c>
      <c r="C39" s="240">
        <f>686.23+55563.89+136.53+32032.02+103.91+26012.19+620.72+6555.66+913.07-318.1-594.97</f>
        <v>121711.15000000001</v>
      </c>
    </row>
    <row r="40" spans="1:3" x14ac:dyDescent="0.2">
      <c r="A40" t="str">
        <f>IF(B36=B40,IF(C36=C40,"Check Total OK","Check Total Error"),"Check Total Error")</f>
        <v>Check Total OK</v>
      </c>
      <c r="B40" s="231">
        <f>SUM(B37:B39)</f>
        <v>348277.16000000003</v>
      </c>
      <c r="C40" s="231">
        <f>SUM(C37:C39)</f>
        <v>122145.32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 xml:space="preserve">&amp;C
</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zoomScaleSheetLayoutView="140" workbookViewId="0">
      <pane ySplit="4" topLeftCell="A5" activePane="bottomLeft" state="frozen"/>
      <selection activeCell="F46" sqref="F46"/>
      <selection pane="bottomLeft" activeCell="G22" sqref="G2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Dover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35255424.329999998</v>
      </c>
      <c r="D5" s="20">
        <f>SUM('DOE25'!L197:L200)+SUM('DOE25'!L215:L218)+SUM('DOE25'!L233:L236)-F5-G5-H5</f>
        <v>35122169.259999998</v>
      </c>
      <c r="E5" s="243"/>
      <c r="F5" s="244"/>
      <c r="G5" s="53">
        <f>SUM('DOE25'!J197:J200)+SUM('DOE25'!J215:J218)+SUM('DOE25'!J233:J236)</f>
        <v>50440.83</v>
      </c>
      <c r="H5" s="53">
        <f>SUM('DOE25'!K197:K200)+SUM('DOE25'!K215:K218)+SUM('DOE25'!K233:K236)</f>
        <v>82814.239999999991</v>
      </c>
      <c r="I5" s="256"/>
    </row>
    <row r="6" spans="1:9" x14ac:dyDescent="0.2">
      <c r="A6" s="32">
        <v>2100</v>
      </c>
      <c r="B6" t="s">
        <v>796</v>
      </c>
      <c r="C6" s="276">
        <f t="shared" si="0"/>
        <v>4090909.97</v>
      </c>
      <c r="D6" s="20">
        <f>'DOE25'!L202+'DOE25'!L220+'DOE25'!L238-F6-G6-H6</f>
        <v>3778429.9000000004</v>
      </c>
      <c r="E6" s="243"/>
      <c r="F6" s="244">
        <f>59643.36-25000+135341.25-25000+103643.9-25000+49464.72-25000+67647.84-25000+46640-25000</f>
        <v>312381.06999999995</v>
      </c>
      <c r="G6" s="53">
        <f>'DOE25'!J202+'DOE25'!J220+'DOE25'!J238</f>
        <v>99</v>
      </c>
      <c r="H6" s="53">
        <f>'DOE25'!K202+'DOE25'!K220+'DOE25'!K238</f>
        <v>0</v>
      </c>
      <c r="I6" s="256"/>
    </row>
    <row r="7" spans="1:9" x14ac:dyDescent="0.2">
      <c r="A7" s="32">
        <v>2200</v>
      </c>
      <c r="B7" t="s">
        <v>821</v>
      </c>
      <c r="C7" s="276">
        <f t="shared" si="0"/>
        <v>1072800.8599999999</v>
      </c>
      <c r="D7" s="20">
        <f>'DOE25'!L203+'DOE25'!L221+'DOE25'!L239-F7-G7-H7</f>
        <v>1071485.45</v>
      </c>
      <c r="E7" s="243"/>
      <c r="F7" s="244"/>
      <c r="G7" s="53">
        <f>'DOE25'!J203+'DOE25'!J221+'DOE25'!J239</f>
        <v>551.4</v>
      </c>
      <c r="H7" s="53">
        <f>'DOE25'!K203+'DOE25'!K221+'DOE25'!K239</f>
        <v>764.01</v>
      </c>
      <c r="I7" s="256"/>
    </row>
    <row r="8" spans="1:9" x14ac:dyDescent="0.2">
      <c r="A8" s="32">
        <v>2300</v>
      </c>
      <c r="B8" t="s">
        <v>797</v>
      </c>
      <c r="C8" s="276">
        <f t="shared" si="0"/>
        <v>1070336.0599999998</v>
      </c>
      <c r="D8" s="243"/>
      <c r="E8" s="20">
        <f>'DOE25'!L204+'DOE25'!L222+'DOE25'!L240-F8-G8-H8-D9-D11</f>
        <v>876121.21</v>
      </c>
      <c r="F8" s="244">
        <f>91742.72-25000+48220+40183+45543-25000</f>
        <v>175688.72</v>
      </c>
      <c r="G8" s="53">
        <f>'DOE25'!J204+'DOE25'!J222+'DOE25'!J240</f>
        <v>326.19</v>
      </c>
      <c r="H8" s="53">
        <f>'DOE25'!K204+'DOE25'!K222+'DOE25'!K240</f>
        <v>18199.939999999999</v>
      </c>
      <c r="I8" s="256"/>
    </row>
    <row r="9" spans="1:9" ht="14.25" x14ac:dyDescent="0.2">
      <c r="A9" s="32">
        <v>2310</v>
      </c>
      <c r="B9" s="185" t="s">
        <v>890</v>
      </c>
      <c r="C9" s="276">
        <f t="shared" si="0"/>
        <v>114552.99</v>
      </c>
      <c r="D9" s="244">
        <f>114240.99+312</f>
        <v>114552.99</v>
      </c>
      <c r="E9" s="243"/>
      <c r="F9" s="253"/>
      <c r="G9" s="253"/>
      <c r="H9" s="253"/>
      <c r="I9" s="256"/>
    </row>
    <row r="10" spans="1:9" ht="14.25" x14ac:dyDescent="0.2">
      <c r="A10" s="32">
        <v>2317</v>
      </c>
      <c r="B10" s="185" t="s">
        <v>891</v>
      </c>
      <c r="C10" s="276">
        <f t="shared" si="0"/>
        <v>30459.66</v>
      </c>
      <c r="D10" s="243"/>
      <c r="E10" s="244">
        <v>30459.66</v>
      </c>
      <c r="F10" s="253"/>
      <c r="G10" s="253"/>
      <c r="H10" s="253"/>
      <c r="I10" s="256"/>
    </row>
    <row r="11" spans="1:9" ht="14.25" x14ac:dyDescent="0.2">
      <c r="A11" s="32">
        <v>2321</v>
      </c>
      <c r="B11" s="185" t="s">
        <v>892</v>
      </c>
      <c r="C11" s="276">
        <f t="shared" si="0"/>
        <v>254476.06</v>
      </c>
      <c r="D11" s="244">
        <f>183938.56+41596.77+28940.73</f>
        <v>254476.06</v>
      </c>
      <c r="E11" s="243"/>
      <c r="F11" s="253"/>
      <c r="G11" s="253"/>
      <c r="H11" s="253"/>
      <c r="I11" s="256"/>
    </row>
    <row r="12" spans="1:9" x14ac:dyDescent="0.2">
      <c r="A12" s="32">
        <v>2400</v>
      </c>
      <c r="B12" t="s">
        <v>711</v>
      </c>
      <c r="C12" s="276">
        <f t="shared" si="0"/>
        <v>2757573.46</v>
      </c>
      <c r="D12" s="20">
        <f>'DOE25'!L205+'DOE25'!L223+'DOE25'!L241-F12-G12-H12</f>
        <v>2734009.01</v>
      </c>
      <c r="E12" s="243"/>
      <c r="F12" s="244"/>
      <c r="G12" s="53">
        <f>'DOE25'!J205+'DOE25'!J223+'DOE25'!J241</f>
        <v>0</v>
      </c>
      <c r="H12" s="53">
        <f>'DOE25'!K205+'DOE25'!K223+'DOE25'!K241</f>
        <v>23564.45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4857065.3500000006</v>
      </c>
      <c r="D14" s="20">
        <f>'DOE25'!L207+'DOE25'!L225+'DOE25'!L243-F14-G14-H14</f>
        <v>1681525.3700000008</v>
      </c>
      <c r="E14" s="243"/>
      <c r="F14" s="244">
        <f>742739.26+777248.96+1268368.54+301081-25000+63609.28+42975.43-25000</f>
        <v>3146022.4699999997</v>
      </c>
      <c r="G14" s="53">
        <f>'DOE25'!J207+'DOE25'!J225+'DOE25'!J243</f>
        <v>29517.510000000002</v>
      </c>
      <c r="H14" s="53">
        <f>'DOE25'!K207+'DOE25'!K225+'DOE25'!K243</f>
        <v>0</v>
      </c>
      <c r="I14" s="256"/>
    </row>
    <row r="15" spans="1:9" x14ac:dyDescent="0.2">
      <c r="A15" s="32">
        <v>2700</v>
      </c>
      <c r="B15" t="s">
        <v>799</v>
      </c>
      <c r="C15" s="276">
        <f t="shared" si="0"/>
        <v>2697290.39</v>
      </c>
      <c r="D15" s="20">
        <f>'DOE25'!L208+'DOE25'!L226+'DOE25'!L244-F15-G15-H15</f>
        <v>384471.10999999987</v>
      </c>
      <c r="E15" s="243"/>
      <c r="F15" s="244">
        <f>1529134.9-25000+27457-25000+33410-25000+50149-25000+41575.5+71911.54+20654.48+8851.92+2600.2+1235+3347.83+1040.08+1950.15+4940.28+3412.83+3900.3+14967.2+1820.14+74532.44+17221.52+23442.05+5940.06+23702.07+5557.06+11930.7+12275.27+7110.26+23835.98+12721.45+6297.18+385.39+1885+3051.36+7044.36+1674+3830.64+535.68+71911.52+5850.45+4940.38+9360.72+3250.25+2353.6+15711.59+17221.52+20889.96+11784.96+12319.72+15443.77+16639.53+2767.37+1339+16336.41+66.96+70.07+34928.45-25000+42644.16-25000+91658.07</f>
        <v>2312819.2800000003</v>
      </c>
      <c r="G15" s="53">
        <f>'DOE25'!J208+'DOE25'!J226+'DOE25'!J244</f>
        <v>0</v>
      </c>
      <c r="H15" s="53">
        <f>'DOE25'!K208+'DOE25'!K226+'DOE25'!K244</f>
        <v>0</v>
      </c>
      <c r="I15" s="256"/>
    </row>
    <row r="16" spans="1:9" x14ac:dyDescent="0.2">
      <c r="A16" s="32">
        <v>2800</v>
      </c>
      <c r="B16" t="s">
        <v>800</v>
      </c>
      <c r="C16" s="276">
        <f t="shared" si="0"/>
        <v>1809037.62</v>
      </c>
      <c r="D16" s="243"/>
      <c r="E16" s="20">
        <f>'DOE25'!L209+'DOE25'!L227+'DOE25'!L245-F16-G16-H16</f>
        <v>1149510.0400000003</v>
      </c>
      <c r="F16" s="244">
        <f>25902.08-25000+50930.32-25000</f>
        <v>26832.400000000001</v>
      </c>
      <c r="G16" s="53">
        <f>'DOE25'!J209+'DOE25'!J227+'DOE25'!J245</f>
        <v>629489.18999999994</v>
      </c>
      <c r="H16" s="53">
        <f>'DOE25'!K209+'DOE25'!K227+'DOE25'!K245</f>
        <v>3205.99</v>
      </c>
      <c r="I16" s="256"/>
    </row>
    <row r="17" spans="1:9" x14ac:dyDescent="0.2">
      <c r="A17" s="32">
        <v>1600</v>
      </c>
      <c r="B17" t="s">
        <v>801</v>
      </c>
      <c r="C17" s="276">
        <f t="shared" si="0"/>
        <v>205118.09000000003</v>
      </c>
      <c r="D17" s="20">
        <f>'DOE25'!L251-F17-G17-H17</f>
        <v>205118.09000000003</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5834108.6399999997</v>
      </c>
      <c r="D25" s="243"/>
      <c r="E25" s="243"/>
      <c r="F25" s="255"/>
      <c r="G25" s="253"/>
      <c r="H25" s="253"/>
      <c r="I25" s="254">
        <f>'DOE25'!L260+'DOE25'!L261+'DOE25'!L341+'DOE25'!L342</f>
        <v>5834108.6399999997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1461338.91</v>
      </c>
      <c r="D29" s="284">
        <f>'DOE25'!L358+'DOE25'!L359+'DOE25'!L360-'DOE25'!I367-F29-G29-H29</f>
        <v>82814.639999999825</v>
      </c>
      <c r="E29" s="243"/>
      <c r="F29" s="244">
        <f>1387910.1-25000</f>
        <v>1362910.1</v>
      </c>
      <c r="G29" s="53">
        <f>'DOE25'!J358+'DOE25'!J359+'DOE25'!J360</f>
        <v>14243.25</v>
      </c>
      <c r="H29" s="53">
        <f>'DOE25'!K358+'DOE25'!K359+'DOE25'!K360</f>
        <v>1370.92</v>
      </c>
      <c r="I29" s="256"/>
    </row>
    <row r="30" spans="1:9" x14ac:dyDescent="0.2">
      <c r="A30" s="32"/>
      <c r="C30" s="277"/>
      <c r="D30" s="20"/>
      <c r="E30" s="281"/>
      <c r="F30" s="271"/>
      <c r="G30" s="53"/>
      <c r="H30" s="53"/>
      <c r="I30" s="256"/>
    </row>
    <row r="31" spans="1:9" x14ac:dyDescent="0.2">
      <c r="A31" s="32" t="s">
        <v>818</v>
      </c>
      <c r="B31" t="s">
        <v>817</v>
      </c>
      <c r="C31" s="276">
        <f>SUM(D31:I31)</f>
        <v>3164411.4399999995</v>
      </c>
      <c r="D31" s="20">
        <f>'DOE25'!L290+'DOE25'!L309+'DOE25'!L328+'DOE25'!L333+'DOE25'!L334+'DOE25'!L335-F31-G31-H31</f>
        <v>2891696.2699999996</v>
      </c>
      <c r="E31" s="243"/>
      <c r="F31" s="244"/>
      <c r="G31" s="53">
        <f>'DOE25'!J290+'DOE25'!J309+'DOE25'!J328+'DOE25'!J333+'DOE25'!J334+'DOE25'!J335</f>
        <v>186230.86</v>
      </c>
      <c r="H31" s="53">
        <f>'DOE25'!K290+'DOE25'!K309+'DOE25'!K328+'DOE25'!K333+'DOE25'!K334+'DOE25'!K335</f>
        <v>86484.31</v>
      </c>
      <c r="I31" s="256"/>
    </row>
    <row r="32" spans="1:9" ht="12" thickBot="1" x14ac:dyDescent="0.25">
      <c r="C32" s="277"/>
      <c r="G32" s="251"/>
      <c r="H32" s="251"/>
      <c r="I32" s="258"/>
    </row>
    <row r="33" spans="1:9" ht="12" thickTop="1" x14ac:dyDescent="0.2">
      <c r="B33" t="s">
        <v>809</v>
      </c>
      <c r="D33" s="245">
        <f t="shared" ref="D33:I33" si="1">SUM(D5:D31)</f>
        <v>48320748.150000006</v>
      </c>
      <c r="E33" s="245">
        <f t="shared" si="1"/>
        <v>2056090.9100000001</v>
      </c>
      <c r="F33" s="245">
        <f t="shared" si="1"/>
        <v>7336654.040000001</v>
      </c>
      <c r="G33" s="245">
        <f t="shared" si="1"/>
        <v>910898.23</v>
      </c>
      <c r="H33" s="245">
        <f t="shared" si="1"/>
        <v>216403.86</v>
      </c>
      <c r="I33" s="245">
        <f t="shared" si="1"/>
        <v>5834108.6399999997</v>
      </c>
    </row>
    <row r="35" spans="1:9" ht="12" thickBot="1" x14ac:dyDescent="0.25">
      <c r="B35" s="251" t="s">
        <v>831</v>
      </c>
      <c r="D35" s="252">
        <f>E33</f>
        <v>2056090.9100000001</v>
      </c>
      <c r="E35" s="248"/>
    </row>
    <row r="36" spans="1:9" ht="12" thickTop="1" x14ac:dyDescent="0.2">
      <c r="B36" t="s">
        <v>810</v>
      </c>
      <c r="D36" s="20">
        <f>D33</f>
        <v>48320748.150000006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120" zoomScaleNormal="120" workbookViewId="0">
      <selection activeCell="C13" sqref="C13"/>
    </sheetView>
  </sheetViews>
  <sheetFormatPr defaultRowHeight="11.25" x14ac:dyDescent="0.2"/>
  <cols>
    <col min="1" max="1" width="35.6640625" customWidth="1"/>
    <col min="2" max="2" width="22.33203125" customWidth="1"/>
    <col min="3" max="3" width="22" customWidth="1"/>
    <col min="4" max="6" width="14.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Dover School District</v>
      </c>
      <c r="B2" s="126">
        <f>'DOE25'!B2</f>
        <v>141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20986520.68</v>
      </c>
      <c r="G4" s="303">
        <f>'DOE25'!L211+'DOE25'!L290</f>
        <v>20986520.68</v>
      </c>
      <c r="H4" s="304">
        <f>F4-G4</f>
        <v>0</v>
      </c>
      <c r="I4" s="310" t="str">
        <f>IF(H4=0,"","Does not match DOE25 page 7 and 11 Totals!!")</f>
        <v/>
      </c>
      <c r="N4"/>
    </row>
    <row r="5" spans="1:18" x14ac:dyDescent="0.2">
      <c r="A5" s="21" t="s">
        <v>1025</v>
      </c>
      <c r="B5" s="305">
        <f>IFERROR(VLOOKUP(A5,'School Tables'!$C$3:$D$368,2,FALSE),"")</f>
        <v>20430</v>
      </c>
      <c r="C5" s="297" t="str">
        <f>IFERROR(INDEX('School Tables'!$B$3:$B$368,MATCH('School Level Expenditures'!B5,'School Tables'!$D$3:$D$368,0)),"")</f>
        <v>Dover</v>
      </c>
      <c r="D5" s="294">
        <f>521853.4+4320642.81+11190.17+1185302.95</f>
        <v>6038989.3300000001</v>
      </c>
      <c r="E5" s="294">
        <f>32372.65+127923.65</f>
        <v>160296.29999999999</v>
      </c>
      <c r="F5" s="313">
        <f>D5+E5</f>
        <v>6199285.6299999999</v>
      </c>
      <c r="G5" s="297"/>
      <c r="H5" s="297"/>
      <c r="I5" s="126"/>
      <c r="N5"/>
    </row>
    <row r="6" spans="1:18" x14ac:dyDescent="0.2">
      <c r="A6" s="21" t="s">
        <v>1027</v>
      </c>
      <c r="B6" s="305">
        <f>IFERROR(VLOOKUP(A6,'School Tables'!$C$3:$D$368,2,FALSE),"")</f>
        <v>20445</v>
      </c>
      <c r="C6" s="297" t="str">
        <f>IFERROR(INDEX('School Tables'!$B$3:$B$368,MATCH('School Level Expenditures'!B6,'School Tables'!$D$3:$D$368,0)),"")</f>
        <v>Dover</v>
      </c>
      <c r="D6" s="294">
        <f>521853.4+4546825.84+11190.17+1185302.95</f>
        <v>6265172.3600000003</v>
      </c>
      <c r="E6" s="294">
        <f>61215.31+127923.65</f>
        <v>189138.96</v>
      </c>
      <c r="F6" s="308">
        <f t="shared" ref="F6:F20" si="0">D6+E6</f>
        <v>6454311.3200000003</v>
      </c>
      <c r="G6" s="297"/>
      <c r="H6" s="297"/>
      <c r="I6" s="126"/>
      <c r="N6"/>
    </row>
    <row r="7" spans="1:18" x14ac:dyDescent="0.2">
      <c r="A7" s="21" t="s">
        <v>1029</v>
      </c>
      <c r="B7" s="305">
        <f>IFERROR(VLOOKUP(A7,'School Tables'!$C$3:$D$368,2,FALSE),"")</f>
        <v>20460</v>
      </c>
      <c r="C7" s="297" t="str">
        <f>IFERROR(INDEX('School Tables'!$B$3:$B$368,MATCH('School Level Expenditures'!B7,'School Tables'!$D$3:$D$368,0)),"")</f>
        <v>Dover</v>
      </c>
      <c r="D7" s="294">
        <f>521853.39+5106324.49+756588.88+11190.17+1185302.95+21565.37</f>
        <v>7602825.25</v>
      </c>
      <c r="E7" s="294">
        <f>4297.79+14600.12+515065.39+127923.65</f>
        <v>661886.95000000007</v>
      </c>
      <c r="F7" s="308">
        <f t="shared" si="0"/>
        <v>8264712.2000000002</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v>0</v>
      </c>
      <c r="E8" s="294">
        <f>44058.53+24153</f>
        <v>68211.53</v>
      </c>
      <c r="F8" s="308">
        <f t="shared" si="0"/>
        <v>68211.53</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15271245.23</v>
      </c>
      <c r="G24" s="303">
        <f>'DOE25'!L229+'DOE25'!L309</f>
        <v>15271245.229999999</v>
      </c>
      <c r="H24" s="304">
        <f>F24-G24</f>
        <v>0</v>
      </c>
      <c r="I24" s="310" t="str">
        <f>IF(H24=0,"","Does not match DOE25 page 8 and 12 Totals!!")</f>
        <v/>
      </c>
      <c r="N24"/>
    </row>
    <row r="25" spans="1:14" x14ac:dyDescent="0.2">
      <c r="A25" s="21" t="s">
        <v>1026</v>
      </c>
      <c r="B25" s="305">
        <f>IFERROR(VLOOKUP(A25,'School Tables'!$I$3:$J$80,2,FALSE),"")</f>
        <v>20435</v>
      </c>
      <c r="C25" s="297" t="str">
        <f t="array" ref="C25">IFERROR(INDEX('School Tables'!$H$3:$H$80,MATCH('School Level Expenditures'!B25,'School Tables'!$J$3:$J$80,0)),"")</f>
        <v>Dover</v>
      </c>
      <c r="D25" s="294">
        <f>14731247.91+21565.38</f>
        <v>14752813.290000001</v>
      </c>
      <c r="E25" s="294">
        <v>518431.94</v>
      </c>
      <c r="F25" s="308">
        <f>D25+E25</f>
        <v>15271245.23</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23.2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19926458.359999999</v>
      </c>
      <c r="G36" s="303">
        <f>'DOE25'!L247+'DOE25'!L328</f>
        <v>19926458.359999999</v>
      </c>
      <c r="H36" s="304">
        <f>F36-G36</f>
        <v>0</v>
      </c>
      <c r="I36" s="310" t="str">
        <f>IF(H36=0,"","Does not match DOE25 page 9 and 13 Totals!!")</f>
        <v/>
      </c>
      <c r="N36"/>
    </row>
    <row r="37" spans="1:14" x14ac:dyDescent="0.2">
      <c r="A37" s="21" t="s">
        <v>1028</v>
      </c>
      <c r="B37" s="305">
        <f>IFERROR(VLOOKUP(A37,'School Tables'!$O$3:$P$122,2,FALSE),"")</f>
        <v>20455</v>
      </c>
      <c r="C37" s="297" t="str">
        <f t="array" ref="C37">IFERROR(INDEX('School Tables'!$N$3:$N$122,MATCH('School Level Expenditures'!B37,'School Tables'!$P$3:$P$122,0)),"")</f>
        <v>Dover</v>
      </c>
      <c r="D37" s="294">
        <v>19319666.859999999</v>
      </c>
      <c r="E37" s="294">
        <v>606791.5</v>
      </c>
      <c r="F37" s="308">
        <f>D37+E37</f>
        <v>19926458.359999999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3" activePane="bottomLeft" state="frozen"/>
      <selection activeCell="F46" sqref="F46"/>
      <selection pane="bottomLeft" activeCell="G37" sqref="G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7201.69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985787.72999999986</v>
      </c>
      <c r="E11" s="95">
        <f>'DOE25'!H12</f>
        <v>0</v>
      </c>
      <c r="F11" s="95">
        <f>'DOE25'!I12</f>
        <v>0</v>
      </c>
      <c r="G11" s="95">
        <f>'DOE25'!J12</f>
        <v>0</v>
      </c>
      <c r="H11" s="124"/>
      <c r="I11" s="124"/>
    </row>
    <row r="12" spans="1:9" x14ac:dyDescent="0.2">
      <c r="A12" s="1" t="s">
        <v>143</v>
      </c>
      <c r="B12" s="6">
        <v>140</v>
      </c>
      <c r="C12" s="95">
        <f>'DOE25'!F13</f>
        <v>0</v>
      </c>
      <c r="D12" s="95">
        <f>'DOE25'!G13</f>
        <v>37507.879999999997</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20116.95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619617.82999999996</v>
      </c>
      <c r="F17" s="95">
        <f>'DOE25'!I18</f>
        <v>0</v>
      </c>
      <c r="G17" s="95">
        <f>'DOE25'!J18</f>
        <v>0</v>
      </c>
      <c r="H17" s="124"/>
      <c r="I17" s="124"/>
    </row>
    <row r="18" spans="1:9" ht="12" thickTop="1" x14ac:dyDescent="0.2">
      <c r="A18" s="38" t="s">
        <v>149</v>
      </c>
      <c r="B18" s="39"/>
      <c r="C18" s="41">
        <f>SUM(C8:C17)</f>
        <v>0</v>
      </c>
      <c r="D18" s="41">
        <f>SUM(D8:D17)</f>
        <v>1050614.2499999998</v>
      </c>
      <c r="E18" s="41">
        <f>SUM(E8:E17)</f>
        <v>619617.82999999996</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669220.25</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301.91000000000003</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644.77</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47062.94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717229.87000000011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20116.95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239431.67999999999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36420.089999999997</v>
      </c>
      <c r="F47" s="95">
        <f>'DOE25'!I48</f>
        <v>0</v>
      </c>
      <c r="G47" s="95">
        <f>'DOE25'!J48</f>
        <v>0</v>
      </c>
      <c r="H47" s="124"/>
      <c r="I47" s="124"/>
    </row>
    <row r="48" spans="1:9" x14ac:dyDescent="0.2">
      <c r="A48" s="1" t="s">
        <v>882</v>
      </c>
      <c r="B48" s="6">
        <v>753</v>
      </c>
      <c r="C48" s="95">
        <f>'DOE25'!F49</f>
        <v>0</v>
      </c>
      <c r="D48" s="95">
        <f>'DOE25'!G49</f>
        <v>73835.75</v>
      </c>
      <c r="E48" s="95">
        <f>'DOE25'!H49</f>
        <v>583197.74</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333384.38</v>
      </c>
      <c r="E50" s="41">
        <f>SUM(E34:E49)</f>
        <v>619617.82999999996</v>
      </c>
      <c r="F50" s="41">
        <f>SUM(F34:F49)</f>
        <v>0</v>
      </c>
      <c r="G50" s="41">
        <f>SUM(G34:G49)</f>
        <v>0</v>
      </c>
      <c r="H50" s="124"/>
      <c r="I50" s="124"/>
    </row>
    <row r="51" spans="1:9" ht="12" thickTop="1" x14ac:dyDescent="0.2">
      <c r="A51" s="38" t="s">
        <v>885</v>
      </c>
      <c r="B51" s="2"/>
      <c r="C51" s="41">
        <f>C50+C31</f>
        <v>0</v>
      </c>
      <c r="D51" s="41">
        <f>D50+D31</f>
        <v>1050614.25</v>
      </c>
      <c r="E51" s="41">
        <f>E50+E31</f>
        <v>619617.82999999996</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37591991.759999998</v>
      </c>
      <c r="D56" s="95">
        <f>'DOE25'!G60</f>
        <v>0</v>
      </c>
      <c r="E56" s="95">
        <f>'DOE25'!H60</f>
        <v>0</v>
      </c>
      <c r="F56" s="95">
        <f>'DOE25'!I60</f>
        <v>0</v>
      </c>
      <c r="G56" s="95">
        <f>'DOE25'!J60</f>
        <v>0</v>
      </c>
      <c r="H56"/>
      <c r="I56"/>
    </row>
    <row r="57" spans="1:9" x14ac:dyDescent="0.2">
      <c r="A57" s="1" t="s">
        <v>164</v>
      </c>
      <c r="B57" s="6" t="s">
        <v>165</v>
      </c>
      <c r="C57" s="95">
        <f>'DOE25'!F79</f>
        <v>4245996.8599999994</v>
      </c>
      <c r="D57" s="24" t="s">
        <v>288</v>
      </c>
      <c r="E57" s="95">
        <f>'DOE25'!H79</f>
        <v>108857.38</v>
      </c>
      <c r="F57" s="24" t="s">
        <v>288</v>
      </c>
      <c r="G57" s="24" t="s">
        <v>288</v>
      </c>
      <c r="H57"/>
      <c r="I57"/>
    </row>
    <row r="58" spans="1:9" x14ac:dyDescent="0.2">
      <c r="A58" s="1" t="s">
        <v>166</v>
      </c>
      <c r="B58" s="6" t="s">
        <v>167</v>
      </c>
      <c r="C58" s="95">
        <f>'DOE25'!F94</f>
        <v>68074.5</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776406.25000000012</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240560.59000000003</v>
      </c>
      <c r="F61" s="95">
        <f>SUM('DOE25'!I98:I110)</f>
        <v>0</v>
      </c>
      <c r="G61" s="95">
        <f>SUM('DOE25'!J98:J110)</f>
        <v>0</v>
      </c>
      <c r="H61"/>
      <c r="I61"/>
    </row>
    <row r="62" spans="1:9" ht="12.75" thickTop="1" thickBot="1" x14ac:dyDescent="0.25">
      <c r="A62" s="29" t="s">
        <v>174</v>
      </c>
      <c r="B62" s="6"/>
      <c r="C62" s="130">
        <f>SUM(C57:C61)</f>
        <v>4314071.3599999994</v>
      </c>
      <c r="D62" s="130">
        <f>SUM(D57:D61)</f>
        <v>776406.25000000012</v>
      </c>
      <c r="E62" s="130">
        <f>SUM(E57:E61)</f>
        <v>349417.97000000003</v>
      </c>
      <c r="F62" s="130">
        <f>SUM(F57:F61)</f>
        <v>0</v>
      </c>
      <c r="G62" s="130">
        <f>SUM(G57:G61)</f>
        <v>0</v>
      </c>
      <c r="H62"/>
      <c r="I62"/>
    </row>
    <row r="63" spans="1:9" ht="12" thickTop="1" x14ac:dyDescent="0.2">
      <c r="A63" s="29" t="s">
        <v>175</v>
      </c>
      <c r="B63" s="6"/>
      <c r="C63" s="22">
        <f>C56+C62</f>
        <v>41906063.119999997</v>
      </c>
      <c r="D63" s="22">
        <f>D56+D62</f>
        <v>776406.25000000012</v>
      </c>
      <c r="E63" s="22">
        <f>E56+E62</f>
        <v>349417.97000000003</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9007444.2899999991</v>
      </c>
      <c r="D66" s="24" t="s">
        <v>288</v>
      </c>
      <c r="E66" s="24" t="s">
        <v>288</v>
      </c>
      <c r="F66" s="24" t="s">
        <v>288</v>
      </c>
      <c r="G66" s="24" t="s">
        <v>288</v>
      </c>
      <c r="H66"/>
      <c r="I66"/>
    </row>
    <row r="67" spans="1:9" x14ac:dyDescent="0.2">
      <c r="A67" s="1" t="s">
        <v>770</v>
      </c>
      <c r="B67" s="6">
        <v>3112</v>
      </c>
      <c r="C67" s="95">
        <f>'DOE25'!F118</f>
        <v>6945209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20697.59</v>
      </c>
      <c r="D69" s="95">
        <f>'DOE25'!G120</f>
        <v>0</v>
      </c>
      <c r="E69" s="95">
        <f>'DOE25'!H120</f>
        <v>0</v>
      </c>
      <c r="F69" s="95">
        <f>'DOE25'!I120</f>
        <v>0</v>
      </c>
      <c r="G69" s="95">
        <f>'DOE25'!J120</f>
        <v>0</v>
      </c>
      <c r="H69"/>
      <c r="I69"/>
    </row>
    <row r="70" spans="1:9" ht="12" thickTop="1" x14ac:dyDescent="0.2">
      <c r="A70" s="29" t="s">
        <v>252</v>
      </c>
      <c r="B70" s="2"/>
      <c r="C70" s="139">
        <f>SUM(C66:C69)</f>
        <v>15973350.879999999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581114.30000000005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295107.34000000003</v>
      </c>
      <c r="D74" s="24"/>
      <c r="E74" s="24"/>
      <c r="F74" s="24"/>
      <c r="G74" s="24"/>
      <c r="H74"/>
      <c r="I74"/>
    </row>
    <row r="75" spans="1:9" x14ac:dyDescent="0.2">
      <c r="A75" s="1" t="s">
        <v>256</v>
      </c>
      <c r="B75" s="6">
        <v>3230</v>
      </c>
      <c r="C75" s="95">
        <f>'DOE25'!F126</f>
        <v>430742.6</v>
      </c>
      <c r="D75" s="24" t="s">
        <v>288</v>
      </c>
      <c r="E75" s="24" t="s">
        <v>288</v>
      </c>
      <c r="F75" s="24" t="s">
        <v>288</v>
      </c>
      <c r="G75" s="24" t="s">
        <v>288</v>
      </c>
      <c r="H75"/>
      <c r="I75"/>
    </row>
    <row r="76" spans="1:9" x14ac:dyDescent="0.2">
      <c r="A76" s="1" t="s">
        <v>257</v>
      </c>
      <c r="B76" s="6" t="s">
        <v>179</v>
      </c>
      <c r="C76" s="95">
        <f>SUM('DOE25'!F127:F130)</f>
        <v>314318.2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21606.02</v>
      </c>
      <c r="E77" s="95">
        <f>SUM('DOE25'!H131:H135)</f>
        <v>673966.80999999994</v>
      </c>
      <c r="F77" s="95">
        <f>SUM('DOE25'!I131:I135)</f>
        <v>0</v>
      </c>
      <c r="G77" s="95">
        <f>SUM('DOE25'!J131:J135)</f>
        <v>0</v>
      </c>
      <c r="H77"/>
      <c r="I77"/>
    </row>
    <row r="78" spans="1:9" ht="12.75" thickTop="1" thickBot="1" x14ac:dyDescent="0.25">
      <c r="A78" s="29" t="s">
        <v>259</v>
      </c>
      <c r="B78" s="6"/>
      <c r="C78" s="130">
        <f>SUM(C72:C77)</f>
        <v>1621282.4400000002</v>
      </c>
      <c r="D78" s="130">
        <f>SUM(D72:D77)</f>
        <v>21606.02</v>
      </c>
      <c r="E78" s="130">
        <f>SUM(E72:E77)</f>
        <v>673966.80999999994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17594633.32</v>
      </c>
      <c r="D81" s="130">
        <f>SUM(D79:D80)+D78+D70</f>
        <v>21606.02</v>
      </c>
      <c r="E81" s="130">
        <f>SUM(E79:E80)+E78+E70</f>
        <v>673966.80999999994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58993.969999999994</v>
      </c>
      <c r="D85" s="95">
        <f>'DOE25'!G147</f>
        <v>0</v>
      </c>
      <c r="E85" s="95">
        <f>'DOE25'!H147</f>
        <v>2700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564157.4</v>
      </c>
      <c r="D88" s="95">
        <f>SUM('DOE25'!G153:G161)</f>
        <v>692090.99</v>
      </c>
      <c r="E88" s="95">
        <f>SUM('DOE25'!H153:H161)</f>
        <v>2296809.7599999998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623151.37</v>
      </c>
      <c r="D91" s="131">
        <f>SUM(D85:D90)</f>
        <v>692090.99</v>
      </c>
      <c r="E91" s="131">
        <f>SUM(E85:E90)</f>
        <v>2299509.7599999998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15128030.970000001</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79974.710000000006</v>
      </c>
      <c r="E96" s="95">
        <f>'DOE25'!H179</f>
        <v>14572.44</v>
      </c>
      <c r="F96" s="95">
        <f>'DOE25'!I179</f>
        <v>165000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330220.14</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330220.14</v>
      </c>
      <c r="D103" s="86">
        <f>SUM(D93:D102)</f>
        <v>79974.710000000006</v>
      </c>
      <c r="E103" s="86">
        <f>SUM(E93:E102)</f>
        <v>14572.44</v>
      </c>
      <c r="F103" s="86">
        <f>SUM(F93:F102)</f>
        <v>15293030.970000001</v>
      </c>
      <c r="G103" s="86">
        <f>SUM(G93:G102)</f>
        <v>0</v>
      </c>
    </row>
    <row r="104" spans="1:7" ht="12.75" thickTop="1" thickBot="1" x14ac:dyDescent="0.25">
      <c r="A104" s="33" t="s">
        <v>761</v>
      </c>
      <c r="C104" s="86">
        <f>C63+C81+C91+C103</f>
        <v>60454067.949999996</v>
      </c>
      <c r="D104" s="86">
        <f>D63+D81+D91+D103</f>
        <v>1570077.9700000002</v>
      </c>
      <c r="E104" s="86">
        <f>E63+E81+E91+E103</f>
        <v>3337466.98</v>
      </c>
      <c r="F104" s="86">
        <f>F63+F81+F91+F103</f>
        <v>15293030.970000001</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21529862.170000002</v>
      </c>
      <c r="D109" s="24" t="s">
        <v>288</v>
      </c>
      <c r="E109" s="95">
        <f>('DOE25'!L276)+('DOE25'!L295)+('DOE25'!L314)</f>
        <v>646972.87</v>
      </c>
      <c r="F109" s="24" t="s">
        <v>288</v>
      </c>
      <c r="G109" s="24" t="s">
        <v>288</v>
      </c>
    </row>
    <row r="110" spans="1:7" x14ac:dyDescent="0.2">
      <c r="A110" t="s">
        <v>198</v>
      </c>
      <c r="B110" s="32" t="s">
        <v>199</v>
      </c>
      <c r="C110" s="95">
        <f>('DOE25'!L198)+('DOE25'!L216)+('DOE25'!L234)</f>
        <v>11317895.760000002</v>
      </c>
      <c r="D110" s="24" t="s">
        <v>288</v>
      </c>
      <c r="E110" s="95">
        <f>('DOE25'!L277)+('DOE25'!L296)+('DOE25'!L315)</f>
        <v>895230.21</v>
      </c>
      <c r="F110" s="24" t="s">
        <v>288</v>
      </c>
      <c r="G110" s="24" t="s">
        <v>288</v>
      </c>
    </row>
    <row r="111" spans="1:7" x14ac:dyDescent="0.2">
      <c r="A111" t="s">
        <v>200</v>
      </c>
      <c r="B111" s="32" t="s">
        <v>165</v>
      </c>
      <c r="C111" s="95">
        <f>('DOE25'!L199)+('DOE25'!L217)+('DOE25'!L235)</f>
        <v>1783713.86</v>
      </c>
      <c r="D111" s="24" t="s">
        <v>288</v>
      </c>
      <c r="E111" s="95">
        <f>('DOE25'!L278)+('DOE25'!L297)+('DOE25'!L316)</f>
        <v>127642.38999999998</v>
      </c>
      <c r="F111" s="24" t="s">
        <v>288</v>
      </c>
      <c r="G111" s="24" t="s">
        <v>288</v>
      </c>
    </row>
    <row r="112" spans="1:7" x14ac:dyDescent="0.2">
      <c r="A112" t="s">
        <v>201</v>
      </c>
      <c r="B112" s="32" t="s">
        <v>167</v>
      </c>
      <c r="C112" s="95">
        <f>('DOE25'!L200)+('DOE25'!L218)+('DOE25'!L236)</f>
        <v>623952.54</v>
      </c>
      <c r="D112" s="24" t="s">
        <v>288</v>
      </c>
      <c r="E112" s="95">
        <f>+('DOE25'!L279)+('DOE25'!L298)+('DOE25'!L317)</f>
        <v>4399.97</v>
      </c>
      <c r="F112" s="24" t="s">
        <v>288</v>
      </c>
      <c r="G112" s="24" t="s">
        <v>288</v>
      </c>
    </row>
    <row r="113" spans="1:7" x14ac:dyDescent="0.2">
      <c r="A113" t="s">
        <v>202</v>
      </c>
      <c r="B113" s="32" t="s">
        <v>169</v>
      </c>
      <c r="C113" s="95">
        <f>'DOE25'!L250</f>
        <v>0</v>
      </c>
      <c r="D113" s="24" t="s">
        <v>288</v>
      </c>
      <c r="E113" s="95">
        <f>+'DOE25'!L332</f>
        <v>156750.15</v>
      </c>
      <c r="F113" s="24" t="s">
        <v>288</v>
      </c>
      <c r="G113" s="24" t="s">
        <v>288</v>
      </c>
    </row>
    <row r="114" spans="1:7" ht="12" thickBot="1" x14ac:dyDescent="0.25">
      <c r="A114" t="s">
        <v>203</v>
      </c>
      <c r="B114" s="32" t="s">
        <v>204</v>
      </c>
      <c r="C114" s="95">
        <f>SUM('DOE25'!L251:L253)</f>
        <v>205118.09000000003</v>
      </c>
      <c r="D114" s="24" t="s">
        <v>288</v>
      </c>
      <c r="E114" s="95">
        <f>+ SUM('DOE25'!L333:L335)</f>
        <v>959654.25999999989</v>
      </c>
      <c r="F114" s="24" t="s">
        <v>288</v>
      </c>
      <c r="G114" s="24" t="s">
        <v>288</v>
      </c>
    </row>
    <row r="115" spans="1:7" ht="12.75" thickTop="1" thickBot="1" x14ac:dyDescent="0.25">
      <c r="A115" s="33" t="s">
        <v>205</v>
      </c>
      <c r="C115" s="86">
        <f>SUM(C109:C114)</f>
        <v>35460542.420000009</v>
      </c>
      <c r="D115" s="86">
        <f>SUM(D109:D114)</f>
        <v>0</v>
      </c>
      <c r="E115" s="86">
        <f>SUM(E109:E114)</f>
        <v>2790649.8499999996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4090909.97</v>
      </c>
      <c r="D118" s="24" t="s">
        <v>288</v>
      </c>
      <c r="E118" s="95">
        <f>+('DOE25'!L281)+('DOE25'!L300)+('DOE25'!L319)</f>
        <v>79895.760000000009</v>
      </c>
      <c r="F118" s="24" t="s">
        <v>288</v>
      </c>
      <c r="G118" s="24" t="s">
        <v>288</v>
      </c>
    </row>
    <row r="119" spans="1:7" x14ac:dyDescent="0.2">
      <c r="A119" t="s">
        <v>208</v>
      </c>
      <c r="B119" s="32" t="s">
        <v>209</v>
      </c>
      <c r="C119" s="95">
        <f>('DOE25'!L203)+('DOE25'!L221)+('DOE25'!L239)</f>
        <v>1072800.8599999999</v>
      </c>
      <c r="D119" s="24" t="s">
        <v>288</v>
      </c>
      <c r="E119" s="95">
        <f>+('DOE25'!L282)+('DOE25'!L301)+('DOE25'!L320)</f>
        <v>230752.61</v>
      </c>
      <c r="F119" s="24" t="s">
        <v>288</v>
      </c>
      <c r="G119" s="24" t="s">
        <v>288</v>
      </c>
    </row>
    <row r="120" spans="1:7" x14ac:dyDescent="0.2">
      <c r="A120" t="s">
        <v>210</v>
      </c>
      <c r="B120" s="32" t="s">
        <v>211</v>
      </c>
      <c r="C120" s="95">
        <f>('DOE25'!L204)+('DOE25'!L222)+('DOE25'!L240)</f>
        <v>1439365.1099999999</v>
      </c>
      <c r="D120" s="24" t="s">
        <v>288</v>
      </c>
      <c r="E120" s="95">
        <f>+('DOE25'!L283)+('DOE25'!L302)+('DOE25'!L321)</f>
        <v>131907.83000000002</v>
      </c>
      <c r="F120" s="24" t="s">
        <v>288</v>
      </c>
      <c r="G120" s="24" t="s">
        <v>288</v>
      </c>
    </row>
    <row r="121" spans="1:7" x14ac:dyDescent="0.2">
      <c r="A121" t="s">
        <v>212</v>
      </c>
      <c r="B121" s="32" t="s">
        <v>213</v>
      </c>
      <c r="C121" s="95">
        <f>('DOE25'!L205)+('DOE25'!L223)+('DOE25'!L241)</f>
        <v>2757573.46</v>
      </c>
      <c r="D121" s="24" t="s">
        <v>288</v>
      </c>
      <c r="E121" s="95">
        <f>+('DOE25'!L284)+('DOE25'!L303)+('DOE25'!L322)</f>
        <v>31816.61</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4857065.3500000006</v>
      </c>
      <c r="D123" s="24" t="s">
        <v>288</v>
      </c>
      <c r="E123" s="95">
        <f>+('DOE25'!L286)+('DOE25'!L305)+('DOE25'!L324)</f>
        <v>0</v>
      </c>
      <c r="F123" s="24" t="s">
        <v>288</v>
      </c>
      <c r="G123" s="24" t="s">
        <v>288</v>
      </c>
    </row>
    <row r="124" spans="1:7" x14ac:dyDescent="0.2">
      <c r="A124" t="s">
        <v>218</v>
      </c>
      <c r="B124" s="32" t="s">
        <v>219</v>
      </c>
      <c r="C124" s="95">
        <f>('DOE25'!L208)+('DOE25'!L226)+('DOE25'!L244+'DOE25'!L254)</f>
        <v>2697290.39</v>
      </c>
      <c r="D124" s="24" t="s">
        <v>288</v>
      </c>
      <c r="E124" s="95">
        <f>+('DOE25'!L287)+('DOE25'!L306)+('DOE25'!L325)</f>
        <v>0</v>
      </c>
      <c r="F124" s="24" t="s">
        <v>288</v>
      </c>
      <c r="G124" s="24" t="s">
        <v>288</v>
      </c>
    </row>
    <row r="125" spans="1:7" x14ac:dyDescent="0.2">
      <c r="A125" t="s">
        <v>220</v>
      </c>
      <c r="B125" s="32" t="s">
        <v>221</v>
      </c>
      <c r="C125" s="95">
        <f>('DOE25'!L209)+('DOE25'!L227)+('DOE25'!L245)</f>
        <v>1809037.62</v>
      </c>
      <c r="D125" s="24" t="s">
        <v>288</v>
      </c>
      <c r="E125" s="95">
        <f>+('DOE25'!L288)+('DOE25'!L307)+('DOE25'!L326)</f>
        <v>56138.930000000008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1579232.13</v>
      </c>
      <c r="E127" s="24" t="s">
        <v>288</v>
      </c>
      <c r="F127" s="24" t="s">
        <v>288</v>
      </c>
      <c r="G127" s="24" t="s">
        <v>288</v>
      </c>
    </row>
    <row r="128" spans="1:7" ht="12.75" thickTop="1" thickBot="1" x14ac:dyDescent="0.25">
      <c r="A128" s="33" t="s">
        <v>226</v>
      </c>
      <c r="C128" s="86">
        <f>SUM(C118:C127)</f>
        <v>18724042.760000002</v>
      </c>
      <c r="D128" s="86">
        <f>SUM(D118:D127)</f>
        <v>1579232.13</v>
      </c>
      <c r="E128" s="86">
        <f>SUM(E118:E127)</f>
        <v>530511.74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15128030.970000001</v>
      </c>
      <c r="G130" s="24" t="s">
        <v>288</v>
      </c>
    </row>
    <row r="131" spans="1:7" x14ac:dyDescent="0.2">
      <c r="A131" t="s">
        <v>229</v>
      </c>
      <c r="B131" s="32">
        <v>5110</v>
      </c>
      <c r="C131" s="95">
        <f>'DOE25'!L260</f>
        <v>1891205.13</v>
      </c>
      <c r="D131" s="24" t="s">
        <v>288</v>
      </c>
      <c r="E131" s="129">
        <f>'DOE25'!L341</f>
        <v>0</v>
      </c>
      <c r="F131" s="24" t="s">
        <v>288</v>
      </c>
      <c r="G131" s="24" t="s">
        <v>288</v>
      </c>
    </row>
    <row r="132" spans="1:7" x14ac:dyDescent="0.2">
      <c r="A132" t="s">
        <v>230</v>
      </c>
      <c r="B132" s="32">
        <v>5120</v>
      </c>
      <c r="C132" s="95">
        <f>'DOE25'!L261</f>
        <v>3942903.51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79974.710000000006</v>
      </c>
      <c r="D135" s="24" t="s">
        <v>288</v>
      </c>
      <c r="E135" s="129">
        <f>'DOE25'!L345</f>
        <v>0</v>
      </c>
      <c r="F135" s="24" t="s">
        <v>288</v>
      </c>
      <c r="G135" s="24" t="s">
        <v>288</v>
      </c>
    </row>
    <row r="136" spans="1:7" x14ac:dyDescent="0.2">
      <c r="A136" t="s">
        <v>235</v>
      </c>
      <c r="B136" s="32" t="s">
        <v>236</v>
      </c>
      <c r="C136" s="95">
        <f>'DOE25'!L264</f>
        <v>14572.44</v>
      </c>
      <c r="D136" s="24" t="s">
        <v>288</v>
      </c>
      <c r="E136" s="24" t="s">
        <v>288</v>
      </c>
      <c r="F136" s="24" t="s">
        <v>288</v>
      </c>
      <c r="G136" s="24" t="s">
        <v>288</v>
      </c>
    </row>
    <row r="137" spans="1:7" x14ac:dyDescent="0.2">
      <c r="A137" t="s">
        <v>237</v>
      </c>
      <c r="B137" s="32" t="s">
        <v>189</v>
      </c>
      <c r="C137" s="95">
        <f>'DOE25'!L265</f>
        <v>165000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6093655.79</v>
      </c>
      <c r="D144" s="141">
        <f>SUM(D130:D143)</f>
        <v>0</v>
      </c>
      <c r="E144" s="141">
        <f>SUM(E130:E143)</f>
        <v>0</v>
      </c>
      <c r="F144" s="141">
        <f>SUM(F130:F143)</f>
        <v>15128030.970000001</v>
      </c>
      <c r="G144" s="141">
        <f>SUM(G130:G143)</f>
        <v>0</v>
      </c>
    </row>
    <row r="145" spans="1:9" ht="12.75" thickTop="1" thickBot="1" x14ac:dyDescent="0.25">
      <c r="A145" s="33" t="s">
        <v>244</v>
      </c>
      <c r="C145" s="86">
        <f>(C115+C128+C144)</f>
        <v>60278240.970000006</v>
      </c>
      <c r="D145" s="86">
        <f>(D115+D128+D144)</f>
        <v>1579232.13</v>
      </c>
      <c r="E145" s="86">
        <f>(E115+E128+E144)</f>
        <v>3321161.59</v>
      </c>
      <c r="F145" s="86">
        <f>(F115+F128+F144)</f>
        <v>15128030.970000001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85637328.780000001</v>
      </c>
      <c r="C156" s="137">
        <f>'DOE25'!G495</f>
        <v>0</v>
      </c>
      <c r="D156" s="137">
        <f>'DOE25'!H495</f>
        <v>0</v>
      </c>
      <c r="E156" s="137">
        <f>'DOE25'!I495</f>
        <v>0</v>
      </c>
      <c r="F156" s="137">
        <f>'DOE25'!J495</f>
        <v>0</v>
      </c>
      <c r="G156" s="138">
        <f>SUM(B156:F156)</f>
        <v>85637328.780000001</v>
      </c>
    </row>
    <row r="157" spans="1:9" x14ac:dyDescent="0.2">
      <c r="A157" s="22" t="s">
        <v>33</v>
      </c>
      <c r="B157" s="137">
        <f>'DOE25'!F496</f>
        <v>7199245.1600000001</v>
      </c>
      <c r="C157" s="137">
        <f>'DOE25'!G496</f>
        <v>0</v>
      </c>
      <c r="D157" s="137">
        <f>'DOE25'!H496</f>
        <v>0</v>
      </c>
      <c r="E157" s="137">
        <f>'DOE25'!I496</f>
        <v>0</v>
      </c>
      <c r="F157" s="137">
        <f>'DOE25'!J496</f>
        <v>0</v>
      </c>
      <c r="G157" s="138">
        <f t="shared" ref="G157:G164" si="0">SUM(B157:F157)</f>
        <v>7199245.1600000001</v>
      </c>
    </row>
    <row r="158" spans="1:9" x14ac:dyDescent="0.2">
      <c r="A158" s="22" t="s">
        <v>34</v>
      </c>
      <c r="B158" s="137">
        <f>'DOE25'!F497</f>
        <v>1891205.13</v>
      </c>
      <c r="C158" s="137">
        <f>'DOE25'!G497</f>
        <v>0</v>
      </c>
      <c r="D158" s="137">
        <f>'DOE25'!H497</f>
        <v>0</v>
      </c>
      <c r="E158" s="137">
        <f>'DOE25'!I497</f>
        <v>0</v>
      </c>
      <c r="F158" s="137">
        <f>'DOE25'!J497</f>
        <v>0</v>
      </c>
      <c r="G158" s="138">
        <f t="shared" si="0"/>
        <v>1891205.13</v>
      </c>
    </row>
    <row r="159" spans="1:9" x14ac:dyDescent="0.2">
      <c r="A159" s="22" t="s">
        <v>35</v>
      </c>
      <c r="B159" s="137">
        <f>'DOE25'!F498</f>
        <v>90945368.810000002</v>
      </c>
      <c r="C159" s="137">
        <f>'DOE25'!G498</f>
        <v>0</v>
      </c>
      <c r="D159" s="137">
        <f>'DOE25'!H498</f>
        <v>0</v>
      </c>
      <c r="E159" s="137">
        <f>'DOE25'!I498</f>
        <v>0</v>
      </c>
      <c r="F159" s="137">
        <f>'DOE25'!J498</f>
        <v>0</v>
      </c>
      <c r="G159" s="138">
        <f t="shared" si="0"/>
        <v>90945368.810000002</v>
      </c>
    </row>
    <row r="160" spans="1:9" x14ac:dyDescent="0.2">
      <c r="A160" s="22" t="s">
        <v>36</v>
      </c>
      <c r="B160" s="137">
        <f>'DOE25'!F499</f>
        <v>40477904.509999998</v>
      </c>
      <c r="C160" s="137">
        <f>'DOE25'!G499</f>
        <v>0</v>
      </c>
      <c r="D160" s="137">
        <f>'DOE25'!H499</f>
        <v>0</v>
      </c>
      <c r="E160" s="137">
        <f>'DOE25'!I499</f>
        <v>0</v>
      </c>
      <c r="F160" s="137">
        <f>'DOE25'!J499</f>
        <v>0</v>
      </c>
      <c r="G160" s="138">
        <f t="shared" si="0"/>
        <v>40477904.509999998</v>
      </c>
    </row>
    <row r="161" spans="1:7" x14ac:dyDescent="0.2">
      <c r="A161" s="22" t="s">
        <v>37</v>
      </c>
      <c r="B161" s="137">
        <f>'DOE25'!F500</f>
        <v>131423273.31999999</v>
      </c>
      <c r="C161" s="137">
        <f>'DOE25'!G500</f>
        <v>0</v>
      </c>
      <c r="D161" s="137">
        <f>'DOE25'!H500</f>
        <v>0</v>
      </c>
      <c r="E161" s="137">
        <f>'DOE25'!I500</f>
        <v>0</v>
      </c>
      <c r="F161" s="137">
        <f>'DOE25'!J500</f>
        <v>0</v>
      </c>
      <c r="G161" s="138">
        <f t="shared" si="0"/>
        <v>131423273.31999999</v>
      </c>
    </row>
    <row r="162" spans="1:7" x14ac:dyDescent="0.2">
      <c r="A162" s="22" t="s">
        <v>38</v>
      </c>
      <c r="B162" s="137">
        <f>'DOE25'!F501</f>
        <v>2305789</v>
      </c>
      <c r="C162" s="137">
        <f>'DOE25'!G501</f>
        <v>0</v>
      </c>
      <c r="D162" s="137">
        <f>'DOE25'!H501</f>
        <v>0</v>
      </c>
      <c r="E162" s="137">
        <f>'DOE25'!I501</f>
        <v>0</v>
      </c>
      <c r="F162" s="137">
        <f>'DOE25'!J501</f>
        <v>0</v>
      </c>
      <c r="G162" s="138">
        <f t="shared" si="0"/>
        <v>2305789</v>
      </c>
    </row>
    <row r="163" spans="1:7" x14ac:dyDescent="0.2">
      <c r="A163" s="22" t="s">
        <v>39</v>
      </c>
      <c r="B163" s="137">
        <f>'DOE25'!F502</f>
        <v>4317203</v>
      </c>
      <c r="C163" s="137">
        <f>'DOE25'!G502</f>
        <v>0</v>
      </c>
      <c r="D163" s="137">
        <f>'DOE25'!H502</f>
        <v>0</v>
      </c>
      <c r="E163" s="137">
        <f>'DOE25'!I502</f>
        <v>0</v>
      </c>
      <c r="F163" s="137">
        <f>'DOE25'!J502</f>
        <v>0</v>
      </c>
      <c r="G163" s="138">
        <f t="shared" si="0"/>
        <v>4317203</v>
      </c>
    </row>
    <row r="164" spans="1:7" x14ac:dyDescent="0.2">
      <c r="A164" s="22" t="s">
        <v>246</v>
      </c>
      <c r="B164" s="137">
        <f>'DOE25'!F503</f>
        <v>6622992</v>
      </c>
      <c r="C164" s="137">
        <f>'DOE25'!G503</f>
        <v>0</v>
      </c>
      <c r="D164" s="137">
        <f>'DOE25'!H503</f>
        <v>0</v>
      </c>
      <c r="E164" s="137">
        <f>'DOE25'!I503</f>
        <v>0</v>
      </c>
      <c r="F164" s="137">
        <f>'DOE25'!J503</f>
        <v>0</v>
      </c>
      <c r="G164" s="138">
        <f t="shared" si="0"/>
        <v>6622992</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Dover School District</v>
      </c>
    </row>
    <row r="3" spans="1:4" x14ac:dyDescent="0.2">
      <c r="B3" s="188" t="s">
        <v>1602</v>
      </c>
    </row>
    <row r="4" spans="1:4" x14ac:dyDescent="0.2">
      <c r="B4" t="s">
        <v>61</v>
      </c>
      <c r="C4" s="179">
        <f>IF('DOE25'!F665+'DOE25'!F670=0,0,ROUND('DOE25'!F672,0))</f>
        <v>14605</v>
      </c>
    </row>
    <row r="5" spans="1:4" x14ac:dyDescent="0.2">
      <c r="B5" t="s">
        <v>700</v>
      </c>
      <c r="C5" s="179">
        <f>IF('DOE25'!G665+'DOE25'!G670=0,0,ROUND('DOE25'!G672,0))</f>
        <v>11129</v>
      </c>
    </row>
    <row r="6" spans="1:4" x14ac:dyDescent="0.2">
      <c r="B6" t="s">
        <v>62</v>
      </c>
      <c r="C6" s="179">
        <f>IF('DOE25'!H665+'DOE25'!H670=0,0,ROUND('DOE25'!H672,0))</f>
        <v>12740</v>
      </c>
    </row>
    <row r="7" spans="1:4" x14ac:dyDescent="0.2">
      <c r="B7" t="s">
        <v>701</v>
      </c>
      <c r="C7" s="179">
        <f>IF('DOE25'!I665+'DOE25'!I670=0,0,ROUND('DOE25'!I672,0))</f>
        <v>12898</v>
      </c>
    </row>
    <row r="9" spans="1:4" x14ac:dyDescent="0.2">
      <c r="A9" s="187" t="s">
        <v>94</v>
      </c>
      <c r="B9" s="188" t="s">
        <v>1603</v>
      </c>
      <c r="C9" s="181" t="s">
        <v>720</v>
      </c>
      <c r="D9" s="181" t="s">
        <v>721</v>
      </c>
    </row>
    <row r="10" spans="1:4" x14ac:dyDescent="0.2">
      <c r="A10">
        <v>1100</v>
      </c>
      <c r="B10" t="s">
        <v>702</v>
      </c>
      <c r="C10" s="179">
        <f>ROUND('DOE25'!L197+'DOE25'!L215+'DOE25'!L233+'DOE25'!L276+'DOE25'!L295+'DOE25'!L314,0)</f>
        <v>22176835</v>
      </c>
      <c r="D10" s="182">
        <f>ROUND((C10/$C$28)*100,1)</f>
        <v>35.6</v>
      </c>
    </row>
    <row r="11" spans="1:4" x14ac:dyDescent="0.2">
      <c r="A11">
        <v>1200</v>
      </c>
      <c r="B11" t="s">
        <v>703</v>
      </c>
      <c r="C11" s="179">
        <f>ROUND('DOE25'!L198+'DOE25'!L216+'DOE25'!L234+'DOE25'!L277+'DOE25'!L296+'DOE25'!L315,0)</f>
        <v>12213126</v>
      </c>
      <c r="D11" s="182">
        <f>ROUND((C11/$C$28)*100,1)</f>
        <v>19.600000000000001</v>
      </c>
    </row>
    <row r="12" spans="1:4" x14ac:dyDescent="0.2">
      <c r="A12">
        <v>1300</v>
      </c>
      <c r="B12" t="s">
        <v>704</v>
      </c>
      <c r="C12" s="179">
        <f>ROUND('DOE25'!L199+'DOE25'!L217+'DOE25'!L235+'DOE25'!L278+'DOE25'!L297+'DOE25'!L316,0)</f>
        <v>1911356</v>
      </c>
      <c r="D12" s="182">
        <f>ROUND((C12/$C$28)*100,1)</f>
        <v>3.1</v>
      </c>
    </row>
    <row r="13" spans="1:4" x14ac:dyDescent="0.2">
      <c r="A13">
        <v>1400</v>
      </c>
      <c r="B13" t="s">
        <v>705</v>
      </c>
      <c r="C13" s="179">
        <f>ROUND('DOE25'!L200+'DOE25'!L218+'DOE25'!L236+'DOE25'!L279+'DOE25'!L298+'DOE25'!L317,0)</f>
        <v>628353</v>
      </c>
      <c r="D13" s="182">
        <f>ROUND((C13/$C$28)*100,1)</f>
        <v>1</v>
      </c>
    </row>
    <row r="14" spans="1:4" x14ac:dyDescent="0.2">
      <c r="D14" s="182"/>
    </row>
    <row r="15" spans="1:4" x14ac:dyDescent="0.2">
      <c r="A15">
        <v>2100</v>
      </c>
      <c r="B15" t="s">
        <v>706</v>
      </c>
      <c r="C15" s="179">
        <f>ROUND('DOE25'!L202+'DOE25'!L220+'DOE25'!L238+'DOE25'!L281+'DOE25'!L300+'DOE25'!L319,0)</f>
        <v>4170806</v>
      </c>
      <c r="D15" s="182">
        <f t="shared" ref="D15:D27" si="0">ROUND((C15/$C$28)*100,1)</f>
        <v>6.7</v>
      </c>
    </row>
    <row r="16" spans="1:4" x14ac:dyDescent="0.2">
      <c r="A16">
        <v>2200</v>
      </c>
      <c r="B16" t="s">
        <v>707</v>
      </c>
      <c r="C16" s="179">
        <f>ROUND('DOE25'!L203+'DOE25'!L221+'DOE25'!L239+'DOE25'!L282+'DOE25'!L301+'DOE25'!L320,0)</f>
        <v>1303553</v>
      </c>
      <c r="D16" s="182">
        <f t="shared" si="0"/>
        <v>2.1</v>
      </c>
    </row>
    <row r="17" spans="1:4" x14ac:dyDescent="0.2">
      <c r="A17" s="183" t="s">
        <v>723</v>
      </c>
      <c r="B17" t="s">
        <v>738</v>
      </c>
      <c r="C17" s="179">
        <f>ROUND('DOE25'!L204+'DOE25'!L209+'DOE25'!L222+'DOE25'!L227+'DOE25'!L240+'DOE25'!L245+'DOE25'!L283+'DOE25'!L288+'DOE25'!L302+'DOE25'!L307+'DOE25'!L321+'DOE25'!L326,0)</f>
        <v>3436449</v>
      </c>
      <c r="D17" s="182">
        <f t="shared" si="0"/>
        <v>5.5</v>
      </c>
    </row>
    <row r="18" spans="1:4" x14ac:dyDescent="0.2">
      <c r="A18">
        <v>2400</v>
      </c>
      <c r="B18" t="s">
        <v>711</v>
      </c>
      <c r="C18" s="179">
        <f>ROUND('DOE25'!L205+'DOE25'!L223+'DOE25'!L241+'DOE25'!L284+'DOE25'!L303+'DOE25'!L322,0)</f>
        <v>2789390</v>
      </c>
      <c r="D18" s="182">
        <f t="shared" si="0"/>
        <v>4.5</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4857065</v>
      </c>
      <c r="D20" s="182">
        <f t="shared" si="0"/>
        <v>7.8</v>
      </c>
    </row>
    <row r="21" spans="1:4" x14ac:dyDescent="0.2">
      <c r="A21">
        <v>2700</v>
      </c>
      <c r="B21" t="s">
        <v>710</v>
      </c>
      <c r="C21" s="179">
        <f>ROUND('DOE25'!L208+'DOE25'!L226+'DOE25'!L244+'DOE25'!L287+'DOE25'!L306+'DOE25'!L325,0)</f>
        <v>2697290</v>
      </c>
      <c r="D21" s="182">
        <f t="shared" si="0"/>
        <v>4.3</v>
      </c>
    </row>
    <row r="22" spans="1:4" x14ac:dyDescent="0.2">
      <c r="A22">
        <v>2900</v>
      </c>
      <c r="B22" t="s">
        <v>712</v>
      </c>
      <c r="C22" s="179">
        <v>0</v>
      </c>
      <c r="D22" s="182">
        <f t="shared" si="0"/>
        <v>0</v>
      </c>
    </row>
    <row r="23" spans="1:4" x14ac:dyDescent="0.2">
      <c r="A23">
        <v>1500</v>
      </c>
      <c r="B23" t="s">
        <v>714</v>
      </c>
      <c r="C23" s="179">
        <f>ROUND('DOE25'!L250+'DOE25'!L332,0)</f>
        <v>156750</v>
      </c>
      <c r="D23" s="182">
        <f t="shared" si="0"/>
        <v>0.3</v>
      </c>
    </row>
    <row r="24" spans="1:4" x14ac:dyDescent="0.2">
      <c r="A24" s="183" t="s">
        <v>722</v>
      </c>
      <c r="B24" t="s">
        <v>715</v>
      </c>
      <c r="C24" s="179">
        <f>ROUND('DOE25'!L251+'DOE25'!L252+'DOE25'!L253+'DOE25'!L254+'DOE25'!L333+'DOE25'!L334+'DOE25'!L335,0)</f>
        <v>1164772</v>
      </c>
      <c r="D24" s="182">
        <f t="shared" si="0"/>
        <v>1.9</v>
      </c>
    </row>
    <row r="25" spans="1:4" x14ac:dyDescent="0.2">
      <c r="A25">
        <v>5120</v>
      </c>
      <c r="B25" t="s">
        <v>716</v>
      </c>
      <c r="C25" s="179">
        <f>ROUND('DOE25'!L261+'DOE25'!L342,0)</f>
        <v>3942904</v>
      </c>
      <c r="D25" s="182">
        <f t="shared" si="0"/>
        <v>6.3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802825.74999999988</v>
      </c>
      <c r="D27" s="182">
        <f t="shared" si="0"/>
        <v>1.3</v>
      </c>
    </row>
    <row r="28" spans="1:4" x14ac:dyDescent="0.2">
      <c r="B28" s="187" t="s">
        <v>719</v>
      </c>
      <c r="C28" s="180">
        <f>SUM(C10:C27)</f>
        <v>62251474.75</v>
      </c>
      <c r="D28" s="184">
        <f>ROUND(SUM(D10:D27),0)</f>
        <v>100</v>
      </c>
    </row>
    <row r="29" spans="1:4" x14ac:dyDescent="0.2">
      <c r="A29">
        <v>4000</v>
      </c>
      <c r="B29" t="s">
        <v>724</v>
      </c>
      <c r="C29" s="179">
        <f>ROUND('DOE25'!L255+'DOE25'!L336+'DOE25'!L374+'DOE25'!L375+'DOE25'!L376+'DOE25'!L377+'DOE25'!L378+'DOE25'!L379+'DOE25'!L380,0)</f>
        <v>15128031</v>
      </c>
    </row>
    <row r="30" spans="1:4" x14ac:dyDescent="0.2">
      <c r="B30" s="187" t="s">
        <v>725</v>
      </c>
      <c r="C30" s="180">
        <f>SUM(C28:C29)</f>
        <v>77379505.75</v>
      </c>
    </row>
    <row r="31" spans="1:4" x14ac:dyDescent="0.2">
      <c r="B31" s="33"/>
      <c r="C31" s="180"/>
    </row>
    <row r="32" spans="1:4" x14ac:dyDescent="0.2">
      <c r="A32">
        <v>5100</v>
      </c>
      <c r="B32" s="33" t="s">
        <v>726</v>
      </c>
      <c r="C32" s="180">
        <f>ROUND('DOE25'!L260+'DOE25'!L341,0)</f>
        <v>1891205</v>
      </c>
    </row>
    <row r="34" spans="1:4" x14ac:dyDescent="0.2">
      <c r="A34" s="187" t="s">
        <v>94</v>
      </c>
      <c r="B34" s="188" t="s">
        <v>1604</v>
      </c>
      <c r="C34" s="181" t="s">
        <v>720</v>
      </c>
      <c r="D34" s="181" t="s">
        <v>721</v>
      </c>
    </row>
    <row r="35" spans="1:4" x14ac:dyDescent="0.2">
      <c r="A35">
        <v>1100</v>
      </c>
      <c r="B35" s="185" t="s">
        <v>727</v>
      </c>
      <c r="C35" s="179">
        <f>ROUND('DOE25'!F60+'DOE25'!G60+'DOE25'!H60+'DOE25'!I60+'DOE25'!J60,0)</f>
        <v>37591992</v>
      </c>
      <c r="D35" s="182">
        <f t="shared" ref="D35:D40" si="1">ROUND((C35/$C$41)*100,1)</f>
        <v>58.6</v>
      </c>
    </row>
    <row r="36" spans="1:4" x14ac:dyDescent="0.2">
      <c r="B36" s="185" t="s">
        <v>739</v>
      </c>
      <c r="C36" s="179">
        <f>SUM('DOE25'!F112:J112)-SUM('DOE25'!G97:G110)+('DOE25'!F174+'DOE25'!F175+'DOE25'!I174+'DOE25'!I175)-C35</f>
        <v>4663489.0899999961</v>
      </c>
      <c r="D36" s="182">
        <f t="shared" si="1"/>
        <v>7.3</v>
      </c>
    </row>
    <row r="37" spans="1:4" x14ac:dyDescent="0.2">
      <c r="A37" s="183" t="s">
        <v>835</v>
      </c>
      <c r="B37" s="185" t="s">
        <v>728</v>
      </c>
      <c r="C37" s="179">
        <f>ROUND('DOE25'!F117+'DOE25'!F118,0)</f>
        <v>15952653</v>
      </c>
      <c r="D37" s="182">
        <f t="shared" si="1"/>
        <v>24.9</v>
      </c>
    </row>
    <row r="38" spans="1:4" x14ac:dyDescent="0.2">
      <c r="A38" s="183" t="s">
        <v>734</v>
      </c>
      <c r="B38" s="185" t="s">
        <v>729</v>
      </c>
      <c r="C38" s="179">
        <f>ROUND(SUM('DOE25'!F140:J140)-SUM('DOE25'!F117:F119),0)</f>
        <v>2337553</v>
      </c>
      <c r="D38" s="182">
        <f t="shared" si="1"/>
        <v>3.6</v>
      </c>
    </row>
    <row r="39" spans="1:4" x14ac:dyDescent="0.2">
      <c r="A39">
        <v>4000</v>
      </c>
      <c r="B39" s="185" t="s">
        <v>730</v>
      </c>
      <c r="C39" s="179">
        <f>ROUND('DOE25'!F169+'DOE25'!G169+'DOE25'!H169+'DOE25'!I169,0)</f>
        <v>3614752</v>
      </c>
      <c r="D39" s="182">
        <f t="shared" si="1"/>
        <v>5.6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64160439.089999996</v>
      </c>
      <c r="D41" s="184">
        <f>SUM(D35:D40)</f>
        <v>100</v>
      </c>
    </row>
    <row r="42" spans="1:4" x14ac:dyDescent="0.2">
      <c r="A42" s="183" t="s">
        <v>737</v>
      </c>
      <c r="B42" s="185" t="s">
        <v>733</v>
      </c>
      <c r="C42" s="179">
        <f>ROUND('DOE25'!F173+'DOE25'!I173+'DOE25'!F176+'DOE25'!I176,0)</f>
        <v>15128031</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Dover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2019-09-03T17:04:55Z</cp:lastPrinted>
  <dcterms:created xsi:type="dcterms:W3CDTF">1997-12-04T19:04:30Z</dcterms:created>
  <dcterms:modified xsi:type="dcterms:W3CDTF">2020-01-22T14:34:12Z</dcterms:modified>
</cp:coreProperties>
</file>