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F29" i="13" l="1"/>
  <c r="C19" i="12"/>
  <c r="C21" i="12"/>
  <c r="C20" i="12"/>
  <c r="B20" i="12"/>
  <c r="B19" i="12"/>
  <c r="B21" i="12"/>
  <c r="C12" i="12"/>
  <c r="C11" i="12"/>
  <c r="B12" i="12"/>
  <c r="B11" i="12"/>
  <c r="B10" i="12"/>
  <c r="I495" i="1"/>
  <c r="H495" i="1"/>
  <c r="G495" i="1"/>
  <c r="G40" i="1"/>
  <c r="G468" i="1"/>
  <c r="H604" i="1"/>
  <c r="J592" i="1"/>
  <c r="J596" i="1"/>
  <c r="J468" i="1"/>
  <c r="H398" i="1"/>
  <c r="I49" i="1"/>
  <c r="H155" i="1"/>
  <c r="H102" i="1"/>
  <c r="H360" i="1"/>
  <c r="H358" i="1"/>
  <c r="F128" i="1"/>
  <c r="F68" i="1"/>
  <c r="F57" i="1"/>
  <c r="F50" i="1"/>
  <c r="F46" i="1"/>
  <c r="F13" i="1"/>
  <c r="F9" i="1"/>
  <c r="B5" i="14"/>
  <c r="C8" i="14"/>
  <c r="L358" i="1"/>
  <c r="L359" i="1"/>
  <c r="L360" i="1"/>
  <c r="I367" i="1"/>
  <c r="G29" i="13"/>
  <c r="H29" i="13"/>
  <c r="D29" i="13"/>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5" i="14"/>
  <c r="B6" i="14"/>
  <c r="C6" i="14"/>
  <c r="B7" i="14"/>
  <c r="C7" i="14"/>
  <c r="B9" i="14"/>
  <c r="C9" i="14"/>
  <c r="B10" i="14"/>
  <c r="C10" i="14"/>
  <c r="B11" i="14"/>
  <c r="C11" i="14"/>
  <c r="B12" i="14"/>
  <c r="C12" i="14"/>
  <c r="B13" i="14"/>
  <c r="C13" i="14"/>
  <c r="B14" i="14"/>
  <c r="C14" i="14"/>
  <c r="B15" i="14"/>
  <c r="C15" i="14"/>
  <c r="B16" i="14"/>
  <c r="C16" i="14"/>
  <c r="B17" i="14"/>
  <c r="C17" i="14"/>
  <c r="B18" i="14"/>
  <c r="C18" i="14"/>
  <c r="B19" i="14"/>
  <c r="C19" i="14"/>
  <c r="B20" i="14"/>
  <c r="C20" i="14"/>
  <c r="C5" i="14"/>
  <c r="F24" i="14"/>
  <c r="F4" i="14"/>
  <c r="F36" i="14"/>
  <c r="B2" i="14"/>
  <c r="A2" i="14"/>
  <c r="C29" i="13"/>
  <c r="L209" i="1"/>
  <c r="L227" i="1"/>
  <c r="L245" i="1"/>
  <c r="G16" i="13"/>
  <c r="H16" i="13"/>
  <c r="E16" i="13"/>
  <c r="L253" i="1"/>
  <c r="G19" i="13"/>
  <c r="H19" i="13"/>
  <c r="D19" i="13"/>
  <c r="L252" i="1"/>
  <c r="G18" i="13"/>
  <c r="H18" i="13"/>
  <c r="D18" i="13"/>
  <c r="L251" i="1"/>
  <c r="G17" i="13"/>
  <c r="H17" i="13"/>
  <c r="D17" i="13"/>
  <c r="L208" i="1"/>
  <c r="L226" i="1"/>
  <c r="L244" i="1"/>
  <c r="G15" i="13"/>
  <c r="H15" i="13"/>
  <c r="D15" i="13"/>
  <c r="L207" i="1"/>
  <c r="L225" i="1"/>
  <c r="L243" i="1"/>
  <c r="G14" i="13"/>
  <c r="H14" i="13"/>
  <c r="D14" i="13"/>
  <c r="L206" i="1"/>
  <c r="L224" i="1"/>
  <c r="L242" i="1"/>
  <c r="G13" i="13"/>
  <c r="H13" i="13"/>
  <c r="E13" i="13"/>
  <c r="L205" i="1"/>
  <c r="L223" i="1"/>
  <c r="L241" i="1"/>
  <c r="G12" i="13"/>
  <c r="H12" i="13"/>
  <c r="D12" i="13"/>
  <c r="L204" i="1"/>
  <c r="L222" i="1"/>
  <c r="L240" i="1"/>
  <c r="G8" i="13"/>
  <c r="H8" i="13"/>
  <c r="E8" i="13"/>
  <c r="L202" i="1"/>
  <c r="L220" i="1"/>
  <c r="L238" i="1"/>
  <c r="G6" i="13"/>
  <c r="H6" i="13"/>
  <c r="D6" i="13"/>
  <c r="F33" i="13"/>
  <c r="C45" i="2"/>
  <c r="G51" i="1"/>
  <c r="F51" i="1"/>
  <c r="C37" i="10"/>
  <c r="F40" i="2"/>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c r="G44" i="2"/>
  <c r="I458" i="1"/>
  <c r="J39" i="1"/>
  <c r="G38" i="2"/>
  <c r="C68" i="2"/>
  <c r="B2" i="13"/>
  <c r="C8" i="13"/>
  <c r="D39" i="13"/>
  <c r="G5" i="13"/>
  <c r="H5" i="13"/>
  <c r="L197" i="1"/>
  <c r="L198" i="1"/>
  <c r="L199" i="1"/>
  <c r="L200" i="1"/>
  <c r="L215" i="1"/>
  <c r="L216" i="1"/>
  <c r="L217" i="1"/>
  <c r="L218" i="1"/>
  <c r="L233" i="1"/>
  <c r="L234" i="1"/>
  <c r="L235" i="1"/>
  <c r="L236" i="1"/>
  <c r="D5" i="13"/>
  <c r="C5" i="13"/>
  <c r="G7" i="13"/>
  <c r="H7" i="13"/>
  <c r="L203" i="1"/>
  <c r="L221" i="1"/>
  <c r="L239" i="1"/>
  <c r="D7" i="13"/>
  <c r="C12" i="13"/>
  <c r="C17" i="13"/>
  <c r="J290" i="1"/>
  <c r="J309" i="1"/>
  <c r="J328" i="1"/>
  <c r="K290" i="1"/>
  <c r="K309" i="1"/>
  <c r="K328" i="1"/>
  <c r="L276" i="1"/>
  <c r="L277" i="1"/>
  <c r="L278" i="1"/>
  <c r="L279" i="1"/>
  <c r="L281" i="1"/>
  <c r="L282" i="1"/>
  <c r="L301" i="1"/>
  <c r="L320" i="1"/>
  <c r="C16" i="10"/>
  <c r="L283" i="1"/>
  <c r="L284" i="1"/>
  <c r="L285" i="1"/>
  <c r="L286" i="1"/>
  <c r="L287" i="1"/>
  <c r="L288" i="1"/>
  <c r="L295" i="1"/>
  <c r="L296" i="1"/>
  <c r="L297" i="1"/>
  <c r="L298" i="1"/>
  <c r="L300" i="1"/>
  <c r="L302" i="1"/>
  <c r="L303" i="1"/>
  <c r="L304" i="1"/>
  <c r="L305" i="1"/>
  <c r="L306" i="1"/>
  <c r="L307" i="1"/>
  <c r="L314" i="1"/>
  <c r="L315" i="1"/>
  <c r="L316" i="1"/>
  <c r="L317" i="1"/>
  <c r="L319" i="1"/>
  <c r="L321" i="1"/>
  <c r="L322" i="1"/>
  <c r="L323" i="1"/>
  <c r="L324" i="1"/>
  <c r="L325" i="1"/>
  <c r="L326" i="1"/>
  <c r="L333" i="1"/>
  <c r="L334" i="1"/>
  <c r="L335" i="1"/>
  <c r="L260" i="1"/>
  <c r="L261" i="1"/>
  <c r="L341" i="1"/>
  <c r="L342" i="1"/>
  <c r="L255" i="1"/>
  <c r="L336" i="1"/>
  <c r="C11" i="13"/>
  <c r="C10" i="13"/>
  <c r="C9" i="13"/>
  <c r="L361" i="1"/>
  <c r="L362" i="1"/>
  <c r="B4" i="12"/>
  <c r="B36" i="12"/>
  <c r="C36" i="12"/>
  <c r="B40" i="12"/>
  <c r="C40" i="12"/>
  <c r="B27" i="12"/>
  <c r="C27" i="12"/>
  <c r="B31" i="12"/>
  <c r="C31" i="12"/>
  <c r="B9" i="12"/>
  <c r="B13" i="12"/>
  <c r="C9" i="12"/>
  <c r="C13" i="12"/>
  <c r="A13" i="12"/>
  <c r="B18" i="12"/>
  <c r="B22" i="12"/>
  <c r="C18" i="12"/>
  <c r="C22" i="12"/>
  <c r="B1" i="12"/>
  <c r="L387" i="1"/>
  <c r="L388" i="1"/>
  <c r="L389" i="1"/>
  <c r="L390" i="1"/>
  <c r="L391" i="1"/>
  <c r="L392" i="1"/>
  <c r="L395" i="1"/>
  <c r="L396" i="1"/>
  <c r="L397" i="1"/>
  <c r="L398" i="1"/>
  <c r="L399" i="1"/>
  <c r="L400" i="1"/>
  <c r="L403" i="1"/>
  <c r="L404" i="1"/>
  <c r="L405" i="1"/>
  <c r="L406" i="1"/>
  <c r="L266" i="1"/>
  <c r="J60" i="1"/>
  <c r="G56" i="2"/>
  <c r="G59" i="2"/>
  <c r="G61" i="2"/>
  <c r="F2" i="11"/>
  <c r="L613" i="1"/>
  <c r="H663" i="1"/>
  <c r="L612" i="1"/>
  <c r="G663" i="1"/>
  <c r="L611" i="1"/>
  <c r="F663" i="1"/>
  <c r="C40" i="10"/>
  <c r="F60" i="1"/>
  <c r="G60" i="1"/>
  <c r="H60" i="1"/>
  <c r="I60" i="1"/>
  <c r="F79" i="1"/>
  <c r="F94" i="1"/>
  <c r="F111" i="1"/>
  <c r="G111" i="1"/>
  <c r="G112" i="1"/>
  <c r="H79" i="1"/>
  <c r="H94" i="1"/>
  <c r="H111" i="1"/>
  <c r="I111" i="1"/>
  <c r="I112" i="1"/>
  <c r="J111" i="1"/>
  <c r="J112" i="1"/>
  <c r="F121" i="1"/>
  <c r="F136" i="1"/>
  <c r="G121" i="1"/>
  <c r="G136" i="1"/>
  <c r="H121" i="1"/>
  <c r="H136" i="1"/>
  <c r="I121" i="1"/>
  <c r="I136" i="1"/>
  <c r="J121" i="1"/>
  <c r="J136" i="1"/>
  <c r="F147" i="1"/>
  <c r="F162" i="1"/>
  <c r="G147" i="1"/>
  <c r="G162" i="1"/>
  <c r="H147" i="1"/>
  <c r="H162" i="1"/>
  <c r="I147" i="1"/>
  <c r="I162" i="1"/>
  <c r="C11" i="10"/>
  <c r="C12" i="10"/>
  <c r="C13" i="10"/>
  <c r="C15" i="10"/>
  <c r="C17" i="10"/>
  <c r="C18" i="10"/>
  <c r="C19" i="10"/>
  <c r="C20" i="10"/>
  <c r="C21" i="10"/>
  <c r="L250" i="1"/>
  <c r="L332" i="1"/>
  <c r="L254" i="1"/>
  <c r="C25" i="10"/>
  <c r="L268" i="1"/>
  <c r="L269" i="1"/>
  <c r="L349" i="1"/>
  <c r="L350" i="1"/>
  <c r="I665" i="1"/>
  <c r="I670" i="1"/>
  <c r="L211" i="1"/>
  <c r="L247" i="1"/>
  <c r="F661" i="1"/>
  <c r="G661" i="1"/>
  <c r="H661" i="1"/>
  <c r="F662" i="1"/>
  <c r="G662" i="1"/>
  <c r="H662" i="1"/>
  <c r="I669" i="1"/>
  <c r="C42" i="10"/>
  <c r="C32" i="10"/>
  <c r="L374" i="1"/>
  <c r="L375" i="1"/>
  <c r="L376" i="1"/>
  <c r="L377" i="1"/>
  <c r="L378" i="1"/>
  <c r="L379" i="1"/>
  <c r="L380" i="1"/>
  <c r="B2" i="10"/>
  <c r="L344" i="1"/>
  <c r="L345" i="1"/>
  <c r="L346" i="1"/>
  <c r="L347" i="1"/>
  <c r="K351" i="1"/>
  <c r="L521" i="1"/>
  <c r="F549" i="1"/>
  <c r="L522" i="1"/>
  <c r="F550" i="1"/>
  <c r="L523" i="1"/>
  <c r="F551" i="1"/>
  <c r="L526" i="1"/>
  <c r="G549" i="1"/>
  <c r="L527" i="1"/>
  <c r="G550" i="1"/>
  <c r="L528" i="1"/>
  <c r="G551" i="1"/>
  <c r="L531" i="1"/>
  <c r="H549" i="1"/>
  <c r="L532" i="1"/>
  <c r="H550" i="1"/>
  <c r="L533" i="1"/>
  <c r="H551" i="1"/>
  <c r="L536" i="1"/>
  <c r="I549" i="1"/>
  <c r="L537" i="1"/>
  <c r="I550" i="1"/>
  <c r="L538" i="1"/>
  <c r="I551" i="1"/>
  <c r="L541" i="1"/>
  <c r="J549" i="1"/>
  <c r="L542" i="1"/>
  <c r="J550" i="1"/>
  <c r="L543" i="1"/>
  <c r="J551" i="1"/>
  <c r="E132" i="2"/>
  <c r="E131" i="2"/>
  <c r="K270" i="1"/>
  <c r="J270" i="1"/>
  <c r="I270" i="1"/>
  <c r="H270" i="1"/>
  <c r="G270" i="1"/>
  <c r="F270" i="1"/>
  <c r="C132" i="2"/>
  <c r="C131" i="2"/>
  <c r="A1" i="2"/>
  <c r="C8" i="2"/>
  <c r="D8" i="2"/>
  <c r="E8" i="2"/>
  <c r="F8" i="2"/>
  <c r="I439" i="1"/>
  <c r="J9" i="1"/>
  <c r="G8" i="2"/>
  <c r="C9" i="2"/>
  <c r="D9" i="2"/>
  <c r="E9" i="2"/>
  <c r="F9" i="2"/>
  <c r="I440" i="1"/>
  <c r="J10" i="1"/>
  <c r="G9" i="2"/>
  <c r="C10" i="2"/>
  <c r="C11" i="2"/>
  <c r="D11" i="2"/>
  <c r="E11" i="2"/>
  <c r="F11" i="2"/>
  <c r="I441" i="1"/>
  <c r="J12" i="1"/>
  <c r="G11" i="2"/>
  <c r="C12" i="2"/>
  <c r="D12" i="2"/>
  <c r="E12" i="2"/>
  <c r="F12" i="2"/>
  <c r="I442" i="1"/>
  <c r="J13" i="1"/>
  <c r="G12" i="2"/>
  <c r="C13" i="2"/>
  <c r="D13" i="2"/>
  <c r="E13" i="2"/>
  <c r="F13" i="2"/>
  <c r="I443" i="1"/>
  <c r="J14" i="1"/>
  <c r="G13" i="2"/>
  <c r="F14" i="2"/>
  <c r="C15" i="2"/>
  <c r="D15" i="2"/>
  <c r="E15" i="2"/>
  <c r="F15" i="2"/>
  <c r="C16" i="2"/>
  <c r="D16" i="2"/>
  <c r="E16" i="2"/>
  <c r="F16" i="2"/>
  <c r="I444" i="1"/>
  <c r="J17" i="1"/>
  <c r="C17" i="2"/>
  <c r="D17" i="2"/>
  <c r="E17" i="2"/>
  <c r="F17" i="2"/>
  <c r="I445" i="1"/>
  <c r="J18" i="1"/>
  <c r="G17" i="2"/>
  <c r="C21" i="2"/>
  <c r="D21" i="2"/>
  <c r="E21" i="2"/>
  <c r="F21" i="2"/>
  <c r="I448" i="1"/>
  <c r="J22" i="1"/>
  <c r="C22" i="2"/>
  <c r="D22" i="2"/>
  <c r="E22" i="2"/>
  <c r="F22" i="2"/>
  <c r="I449" i="1"/>
  <c r="J23" i="1"/>
  <c r="C23" i="2"/>
  <c r="D23" i="2"/>
  <c r="E23" i="2"/>
  <c r="F23" i="2"/>
  <c r="I450" i="1"/>
  <c r="J24" i="1"/>
  <c r="G23" i="2"/>
  <c r="C24" i="2"/>
  <c r="D24" i="2"/>
  <c r="E24" i="2"/>
  <c r="F24" i="2"/>
  <c r="C25" i="2"/>
  <c r="F25" i="2"/>
  <c r="C26" i="2"/>
  <c r="F26" i="2"/>
  <c r="C27" i="2"/>
  <c r="D27" i="2"/>
  <c r="E27" i="2"/>
  <c r="F27" i="2"/>
  <c r="C28" i="2"/>
  <c r="D28" i="2"/>
  <c r="E28" i="2"/>
  <c r="F28" i="2"/>
  <c r="C29" i="2"/>
  <c r="D29" i="2"/>
  <c r="E29" i="2"/>
  <c r="F29" i="2"/>
  <c r="C30" i="2"/>
  <c r="D30" i="2"/>
  <c r="E30" i="2"/>
  <c r="F30" i="2"/>
  <c r="I451" i="1"/>
  <c r="J31" i="1"/>
  <c r="G30" i="2"/>
  <c r="C34" i="2"/>
  <c r="D34" i="2"/>
  <c r="E34" i="2"/>
  <c r="F34" i="2"/>
  <c r="C35" i="2"/>
  <c r="D35" i="2"/>
  <c r="E35" i="2"/>
  <c r="F35" i="2"/>
  <c r="I454" i="1"/>
  <c r="J49" i="1"/>
  <c r="G48" i="2"/>
  <c r="I456" i="1"/>
  <c r="J43" i="1"/>
  <c r="I457" i="1"/>
  <c r="J37" i="1"/>
  <c r="I459" i="1"/>
  <c r="J48" i="1"/>
  <c r="G47" i="2"/>
  <c r="C49" i="2"/>
  <c r="C56" i="2"/>
  <c r="D56" i="2"/>
  <c r="E56" i="2"/>
  <c r="F56" i="2"/>
  <c r="C57" i="2"/>
  <c r="E57" i="2"/>
  <c r="C58" i="2"/>
  <c r="E58" i="2"/>
  <c r="C59" i="2"/>
  <c r="D59" i="2"/>
  <c r="E59" i="2"/>
  <c r="F59" i="2"/>
  <c r="D60" i="2"/>
  <c r="C61" i="2"/>
  <c r="C62" i="2"/>
  <c r="C63"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G81" i="2"/>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C110" i="2"/>
  <c r="E110" i="2"/>
  <c r="C111" i="2"/>
  <c r="E111" i="2"/>
  <c r="C112" i="2"/>
  <c r="E112" i="2"/>
  <c r="C113" i="2"/>
  <c r="E113" i="2"/>
  <c r="C114" i="2"/>
  <c r="E114" i="2"/>
  <c r="D115" i="2"/>
  <c r="F115" i="2"/>
  <c r="G115" i="2"/>
  <c r="C118" i="2"/>
  <c r="E118" i="2"/>
  <c r="C119" i="2"/>
  <c r="C120" i="2"/>
  <c r="C121" i="2"/>
  <c r="C122" i="2"/>
  <c r="C123" i="2"/>
  <c r="C124" i="2"/>
  <c r="C125" i="2"/>
  <c r="C128" i="2"/>
  <c r="E119" i="2"/>
  <c r="E120" i="2"/>
  <c r="E121" i="2"/>
  <c r="E122" i="2"/>
  <c r="E123" i="2"/>
  <c r="E124" i="2"/>
  <c r="E125" i="2"/>
  <c r="E128" i="2"/>
  <c r="D127" i="2"/>
  <c r="D128" i="2"/>
  <c r="F128" i="2"/>
  <c r="G128" i="2"/>
  <c r="C130" i="2"/>
  <c r="E130" i="2"/>
  <c r="F130" i="2"/>
  <c r="F144" i="2" s="1"/>
  <c r="F145" i="2" s="1"/>
  <c r="D134" i="2"/>
  <c r="D144" i="2"/>
  <c r="D145" i="2"/>
  <c r="E134" i="2"/>
  <c r="F134" i="2"/>
  <c r="K419" i="1"/>
  <c r="K427" i="1"/>
  <c r="K433" i="1"/>
  <c r="L263" i="1"/>
  <c r="C135" i="2"/>
  <c r="E135" i="2"/>
  <c r="L264" i="1"/>
  <c r="C136" i="2"/>
  <c r="L265" i="1"/>
  <c r="C137" i="2"/>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c r="G500" i="1"/>
  <c r="C161" i="2"/>
  <c r="H500" i="1"/>
  <c r="D161" i="2"/>
  <c r="I500" i="1"/>
  <c r="E161" i="2"/>
  <c r="J500" i="1"/>
  <c r="F161" i="2"/>
  <c r="B162" i="2"/>
  <c r="C162" i="2"/>
  <c r="D162" i="2"/>
  <c r="E162" i="2"/>
  <c r="F162" i="2"/>
  <c r="B163" i="2"/>
  <c r="C163" i="2"/>
  <c r="D163" i="2"/>
  <c r="E163" i="2"/>
  <c r="F163" i="2"/>
  <c r="F503" i="1"/>
  <c r="B164" i="2"/>
  <c r="G503" i="1"/>
  <c r="C164" i="2"/>
  <c r="H503" i="1"/>
  <c r="D164" i="2"/>
  <c r="I503" i="1"/>
  <c r="E164" i="2"/>
  <c r="J503" i="1"/>
  <c r="F164" i="2"/>
  <c r="F19" i="1"/>
  <c r="G19" i="1"/>
  <c r="H19" i="1"/>
  <c r="I19" i="1"/>
  <c r="F32" i="1"/>
  <c r="F52" i="1"/>
  <c r="G32" i="1"/>
  <c r="H32" i="1"/>
  <c r="I32" i="1"/>
  <c r="H617" i="1"/>
  <c r="G52" i="1"/>
  <c r="H618" i="1"/>
  <c r="H51" i="1"/>
  <c r="H52" i="1"/>
  <c r="H619" i="1"/>
  <c r="I51" i="1"/>
  <c r="I52" i="1"/>
  <c r="H620" i="1"/>
  <c r="F177" i="1"/>
  <c r="I177" i="1"/>
  <c r="F183" i="1"/>
  <c r="G183" i="1"/>
  <c r="H183" i="1"/>
  <c r="I183" i="1"/>
  <c r="J183" i="1"/>
  <c r="J192" i="1"/>
  <c r="F188" i="1"/>
  <c r="G188" i="1"/>
  <c r="H188" i="1"/>
  <c r="I188" i="1"/>
  <c r="F211" i="1"/>
  <c r="G211" i="1"/>
  <c r="H211" i="1"/>
  <c r="I211" i="1"/>
  <c r="J211" i="1"/>
  <c r="K211" i="1"/>
  <c r="F229" i="1"/>
  <c r="G229" i="1"/>
  <c r="G247" i="1"/>
  <c r="G256" i="1"/>
  <c r="G257" i="1"/>
  <c r="G271" i="1"/>
  <c r="H229" i="1"/>
  <c r="I229" i="1"/>
  <c r="J229" i="1"/>
  <c r="K229" i="1"/>
  <c r="F247" i="1"/>
  <c r="H247" i="1"/>
  <c r="I247" i="1"/>
  <c r="J247" i="1"/>
  <c r="K247" i="1"/>
  <c r="F256" i="1"/>
  <c r="H256" i="1"/>
  <c r="I256" i="1"/>
  <c r="J256" i="1"/>
  <c r="K256" i="1"/>
  <c r="F257" i="1"/>
  <c r="F271" i="1"/>
  <c r="L270" i="1"/>
  <c r="F290" i="1"/>
  <c r="G290" i="1"/>
  <c r="H290" i="1"/>
  <c r="H309" i="1"/>
  <c r="H328" i="1"/>
  <c r="H337" i="1"/>
  <c r="H338" i="1"/>
  <c r="H352" i="1"/>
  <c r="I290" i="1"/>
  <c r="F309" i="1"/>
  <c r="G309" i="1"/>
  <c r="I309" i="1"/>
  <c r="F328" i="1"/>
  <c r="G328" i="1"/>
  <c r="I328" i="1"/>
  <c r="F337" i="1"/>
  <c r="G337" i="1"/>
  <c r="I337" i="1"/>
  <c r="J337" i="1"/>
  <c r="J338" i="1"/>
  <c r="J352" i="1"/>
  <c r="K337" i="1"/>
  <c r="K338" i="1"/>
  <c r="K352" i="1"/>
  <c r="F362" i="1"/>
  <c r="G362" i="1"/>
  <c r="H362" i="1"/>
  <c r="I362" i="1"/>
  <c r="J362" i="1"/>
  <c r="K362" i="1"/>
  <c r="I368" i="1"/>
  <c r="F369" i="1"/>
  <c r="G369" i="1"/>
  <c r="H369" i="1"/>
  <c r="I369" i="1"/>
  <c r="L381" i="1"/>
  <c r="L382" i="1"/>
  <c r="G636" i="1"/>
  <c r="F382" i="1"/>
  <c r="G382" i="1"/>
  <c r="H382" i="1"/>
  <c r="I382" i="1"/>
  <c r="J382" i="1"/>
  <c r="K382" i="1"/>
  <c r="F393" i="1"/>
  <c r="G393" i="1"/>
  <c r="H393" i="1"/>
  <c r="I393" i="1"/>
  <c r="F401" i="1"/>
  <c r="G401" i="1"/>
  <c r="H401" i="1"/>
  <c r="I401" i="1"/>
  <c r="F407" i="1"/>
  <c r="G407" i="1"/>
  <c r="H407" i="1"/>
  <c r="I407" i="1"/>
  <c r="F408" i="1"/>
  <c r="G408" i="1"/>
  <c r="H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446" i="1"/>
  <c r="H446" i="1"/>
  <c r="I446" i="1"/>
  <c r="F452" i="1"/>
  <c r="G452" i="1"/>
  <c r="H452" i="1"/>
  <c r="I452" i="1"/>
  <c r="F460" i="1"/>
  <c r="G460" i="1"/>
  <c r="H460" i="1"/>
  <c r="I460" i="1"/>
  <c r="F461" i="1"/>
  <c r="G461" i="1"/>
  <c r="H461" i="1"/>
  <c r="I461" i="1"/>
  <c r="F470" i="1"/>
  <c r="G470" i="1"/>
  <c r="H470" i="1"/>
  <c r="I470" i="1"/>
  <c r="J470" i="1"/>
  <c r="F474" i="1"/>
  <c r="G474" i="1"/>
  <c r="H474" i="1"/>
  <c r="I474" i="1"/>
  <c r="J474" i="1"/>
  <c r="K495" i="1"/>
  <c r="K496" i="1"/>
  <c r="K497" i="1"/>
  <c r="K498" i="1"/>
  <c r="K499" i="1"/>
  <c r="K500" i="1"/>
  <c r="K501" i="1"/>
  <c r="K502" i="1"/>
  <c r="K503" i="1"/>
  <c r="F517" i="1"/>
  <c r="G517" i="1"/>
  <c r="H517" i="1"/>
  <c r="I517" i="1"/>
  <c r="F524" i="1"/>
  <c r="G524" i="1"/>
  <c r="H524" i="1"/>
  <c r="I524" i="1"/>
  <c r="J524" i="1"/>
  <c r="K524" i="1"/>
  <c r="L524" i="1"/>
  <c r="F529" i="1"/>
  <c r="G529" i="1"/>
  <c r="H529" i="1"/>
  <c r="I529" i="1"/>
  <c r="J529" i="1"/>
  <c r="K529" i="1"/>
  <c r="L529" i="1"/>
  <c r="F534" i="1"/>
  <c r="G534" i="1"/>
  <c r="H534" i="1"/>
  <c r="I534" i="1"/>
  <c r="J534" i="1"/>
  <c r="K534" i="1"/>
  <c r="L534" i="1"/>
  <c r="F539" i="1"/>
  <c r="G539" i="1"/>
  <c r="H539" i="1"/>
  <c r="I539" i="1"/>
  <c r="J539" i="1"/>
  <c r="K539" i="1"/>
  <c r="L539" i="1"/>
  <c r="F544" i="1"/>
  <c r="G544" i="1"/>
  <c r="H544" i="1"/>
  <c r="I544" i="1"/>
  <c r="J544" i="1"/>
  <c r="K544" i="1"/>
  <c r="L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c r="I598" i="1"/>
  <c r="H650" i="1"/>
  <c r="J598" i="1"/>
  <c r="H651" i="1"/>
  <c r="K602" i="1"/>
  <c r="K603" i="1"/>
  <c r="K604" i="1"/>
  <c r="H605" i="1"/>
  <c r="I605" i="1"/>
  <c r="J605" i="1"/>
  <c r="F614" i="1"/>
  <c r="G614" i="1"/>
  <c r="H614" i="1"/>
  <c r="I614" i="1"/>
  <c r="J614" i="1"/>
  <c r="K614" i="1"/>
  <c r="L614" i="1"/>
  <c r="G617" i="1"/>
  <c r="G618" i="1"/>
  <c r="G619" i="1"/>
  <c r="G620" i="1"/>
  <c r="G622" i="1"/>
  <c r="G623" i="1"/>
  <c r="G624" i="1"/>
  <c r="G625" i="1"/>
  <c r="H627" i="1"/>
  <c r="H628" i="1"/>
  <c r="H629" i="1"/>
  <c r="H630" i="1"/>
  <c r="H631" i="1"/>
  <c r="H632" i="1"/>
  <c r="H633" i="1"/>
  <c r="G634" i="1"/>
  <c r="H634" i="1"/>
  <c r="H635" i="1"/>
  <c r="H636" i="1"/>
  <c r="H637" i="1"/>
  <c r="H638" i="1"/>
  <c r="G639" i="1"/>
  <c r="H639" i="1"/>
  <c r="G640" i="1"/>
  <c r="H640" i="1"/>
  <c r="G641" i="1"/>
  <c r="H641" i="1"/>
  <c r="G642" i="1"/>
  <c r="H642" i="1"/>
  <c r="G643" i="1"/>
  <c r="H643" i="1"/>
  <c r="G644" i="1"/>
  <c r="H644" i="1"/>
  <c r="G645" i="1"/>
  <c r="H645" i="1"/>
  <c r="H647" i="1"/>
  <c r="G649" i="1"/>
  <c r="J649" i="1"/>
  <c r="G650" i="1"/>
  <c r="G651" i="1"/>
  <c r="G652" i="1"/>
  <c r="H652" i="1"/>
  <c r="G653" i="1"/>
  <c r="H653" i="1"/>
  <c r="G654" i="1"/>
  <c r="H654" i="1"/>
  <c r="H655" i="1"/>
  <c r="F192" i="1"/>
  <c r="L256" i="1"/>
  <c r="K257" i="1"/>
  <c r="K271" i="1"/>
  <c r="I257" i="1"/>
  <c r="I271" i="1"/>
  <c r="G164" i="2"/>
  <c r="C18" i="2"/>
  <c r="C26" i="10"/>
  <c r="L328" i="1"/>
  <c r="L351" i="1"/>
  <c r="I662" i="1"/>
  <c r="L290" i="1"/>
  <c r="A31" i="12"/>
  <c r="C70" i="2"/>
  <c r="A40" i="12"/>
  <c r="D62" i="2"/>
  <c r="D63" i="2"/>
  <c r="C18" i="13"/>
  <c r="C15" i="13"/>
  <c r="D18" i="2"/>
  <c r="C6" i="13"/>
  <c r="C91" i="2"/>
  <c r="F78" i="2"/>
  <c r="F81" i="2"/>
  <c r="D31" i="2"/>
  <c r="C78" i="2"/>
  <c r="C81" i="2"/>
  <c r="D50" i="2"/>
  <c r="G157" i="2"/>
  <c r="F18" i="2"/>
  <c r="G161" i="2"/>
  <c r="G156" i="2"/>
  <c r="E115" i="2"/>
  <c r="E103" i="2"/>
  <c r="D91" i="2"/>
  <c r="E62" i="2"/>
  <c r="E63" i="2"/>
  <c r="E31" i="2"/>
  <c r="G62" i="2"/>
  <c r="C19" i="13"/>
  <c r="C14" i="13"/>
  <c r="C13" i="13"/>
  <c r="J617" i="1"/>
  <c r="E78" i="2"/>
  <c r="E81" i="2"/>
  <c r="L427" i="1"/>
  <c r="J257" i="1"/>
  <c r="J271" i="1"/>
  <c r="H112" i="1"/>
  <c r="F112" i="1"/>
  <c r="J641" i="1"/>
  <c r="J639" i="1"/>
  <c r="K605" i="1"/>
  <c r="G648" i="1"/>
  <c r="J571" i="1"/>
  <c r="K571" i="1"/>
  <c r="L433" i="1"/>
  <c r="L419" i="1"/>
  <c r="D81" i="2"/>
  <c r="I169" i="1"/>
  <c r="H169" i="1"/>
  <c r="G552" i="1"/>
  <c r="J644" i="1"/>
  <c r="J643" i="1"/>
  <c r="J476" i="1"/>
  <c r="H626" i="1"/>
  <c r="H476" i="1"/>
  <c r="H624" i="1"/>
  <c r="J624" i="1"/>
  <c r="F476" i="1"/>
  <c r="H622" i="1"/>
  <c r="J622" i="1"/>
  <c r="I476" i="1"/>
  <c r="H625" i="1"/>
  <c r="J625" i="1"/>
  <c r="G476" i="1"/>
  <c r="H623" i="1"/>
  <c r="J623" i="1"/>
  <c r="G338" i="1"/>
  <c r="G352" i="1"/>
  <c r="F169" i="1"/>
  <c r="J140" i="1"/>
  <c r="F571" i="1"/>
  <c r="H257" i="1"/>
  <c r="H271" i="1"/>
  <c r="I552" i="1"/>
  <c r="K549" i="1"/>
  <c r="K550" i="1"/>
  <c r="G22" i="2"/>
  <c r="K598" i="1"/>
  <c r="G647" i="1"/>
  <c r="J647" i="1"/>
  <c r="K545" i="1"/>
  <c r="J552" i="1"/>
  <c r="H552" i="1"/>
  <c r="C29" i="10"/>
  <c r="I661" i="1"/>
  <c r="H140" i="1"/>
  <c r="L401" i="1"/>
  <c r="C139" i="2"/>
  <c r="L393" i="1"/>
  <c r="G22" i="13"/>
  <c r="C22" i="13"/>
  <c r="I25" i="13"/>
  <c r="C25" i="13"/>
  <c r="J651" i="1"/>
  <c r="J640" i="1"/>
  <c r="J634" i="1"/>
  <c r="H571" i="1"/>
  <c r="L560" i="1"/>
  <c r="J545" i="1"/>
  <c r="F338" i="1"/>
  <c r="F352" i="1"/>
  <c r="G192" i="1"/>
  <c r="H192" i="1"/>
  <c r="F552" i="1"/>
  <c r="C35" i="10"/>
  <c r="L309" i="1"/>
  <c r="J655" i="1"/>
  <c r="J645" i="1"/>
  <c r="L570" i="1"/>
  <c r="I571" i="1"/>
  <c r="I545" i="1"/>
  <c r="J636" i="1"/>
  <c r="G36" i="2"/>
  <c r="L565" i="1"/>
  <c r="G545" i="1"/>
  <c r="L545" i="1"/>
  <c r="H545" i="1"/>
  <c r="K551" i="1"/>
  <c r="K552" i="1"/>
  <c r="C138" i="2"/>
  <c r="I33" i="13"/>
  <c r="H660" i="1"/>
  <c r="H664" i="1"/>
  <c r="H667" i="1"/>
  <c r="G36" i="14"/>
  <c r="H36" i="14"/>
  <c r="I36" i="14"/>
  <c r="C10" i="10"/>
  <c r="G31" i="13"/>
  <c r="H31" i="13"/>
  <c r="D31" i="13"/>
  <c r="C109" i="2"/>
  <c r="C115" i="2"/>
  <c r="L229" i="1"/>
  <c r="G24" i="14"/>
  <c r="G4" i="14"/>
  <c r="H4" i="14"/>
  <c r="I4" i="14"/>
  <c r="C7" i="13"/>
  <c r="F660" i="1"/>
  <c r="F664" i="1"/>
  <c r="L257" i="1"/>
  <c r="L271" i="1"/>
  <c r="G632" i="1"/>
  <c r="J632" i="1"/>
  <c r="E33" i="13"/>
  <c r="D35" i="13"/>
  <c r="C16" i="13"/>
  <c r="L337" i="1"/>
  <c r="F62" i="2"/>
  <c r="F63" i="2"/>
  <c r="C23" i="10"/>
  <c r="G163" i="2"/>
  <c r="G162" i="2"/>
  <c r="G160" i="2"/>
  <c r="G159" i="2"/>
  <c r="G158" i="2"/>
  <c r="G103" i="2"/>
  <c r="F103" i="2"/>
  <c r="C103" i="2"/>
  <c r="F91" i="2"/>
  <c r="E50" i="2"/>
  <c r="E51" i="2"/>
  <c r="C50" i="2"/>
  <c r="F31" i="2"/>
  <c r="C31" i="2"/>
  <c r="E18" i="2"/>
  <c r="E144" i="2"/>
  <c r="F50" i="2"/>
  <c r="F51" i="2"/>
  <c r="E145" i="2"/>
  <c r="L338" i="1"/>
  <c r="L352" i="1"/>
  <c r="G633" i="1"/>
  <c r="J633" i="1"/>
  <c r="C24" i="10"/>
  <c r="G660" i="1"/>
  <c r="G664" i="1"/>
  <c r="H33" i="13"/>
  <c r="I338" i="1"/>
  <c r="I352" i="1"/>
  <c r="J650" i="1"/>
  <c r="L407" i="1"/>
  <c r="C140" i="2"/>
  <c r="C141" i="2"/>
  <c r="C144" i="2"/>
  <c r="C145" i="2"/>
  <c r="L571" i="1"/>
  <c r="I192" i="1"/>
  <c r="E91" i="2"/>
  <c r="L408" i="1"/>
  <c r="G637" i="1"/>
  <c r="J637" i="1"/>
  <c r="D51" i="2"/>
  <c r="J654" i="1"/>
  <c r="J653" i="1"/>
  <c r="G21" i="2"/>
  <c r="G31" i="2"/>
  <c r="J32" i="1"/>
  <c r="L434" i="1"/>
  <c r="G638" i="1"/>
  <c r="J638" i="1"/>
  <c r="J434" i="1"/>
  <c r="F434" i="1"/>
  <c r="K434" i="1"/>
  <c r="G134" i="2"/>
  <c r="G144" i="2"/>
  <c r="G145" i="2"/>
  <c r="H672" i="1"/>
  <c r="C6" i="10"/>
  <c r="G33" i="13"/>
  <c r="J193" i="1"/>
  <c r="G646" i="1"/>
  <c r="F104" i="2"/>
  <c r="H193" i="1"/>
  <c r="G629" i="1"/>
  <c r="J629" i="1"/>
  <c r="G169" i="1"/>
  <c r="C39" i="10"/>
  <c r="G140" i="1"/>
  <c r="F140" i="1"/>
  <c r="F193" i="1"/>
  <c r="G627" i="1"/>
  <c r="J627" i="1"/>
  <c r="C36" i="10"/>
  <c r="G63" i="2"/>
  <c r="G104" i="2"/>
  <c r="J618" i="1"/>
  <c r="G42" i="2"/>
  <c r="J51" i="1"/>
  <c r="G16" i="2"/>
  <c r="J19" i="1"/>
  <c r="G621" i="1"/>
  <c r="G18" i="2"/>
  <c r="F545" i="1"/>
  <c r="H434" i="1"/>
  <c r="J620" i="1"/>
  <c r="J619" i="1"/>
  <c r="D103" i="2"/>
  <c r="D104" i="2"/>
  <c r="I140" i="1"/>
  <c r="I193" i="1"/>
  <c r="G630" i="1"/>
  <c r="J630" i="1"/>
  <c r="A22" i="12"/>
  <c r="H646" i="1"/>
  <c r="G50" i="2"/>
  <c r="G51" i="2"/>
  <c r="H648" i="1"/>
  <c r="J648" i="1"/>
  <c r="C104" i="2"/>
  <c r="J652" i="1"/>
  <c r="J642" i="1"/>
  <c r="G571" i="1"/>
  <c r="I434" i="1"/>
  <c r="G434" i="1"/>
  <c r="E104" i="2"/>
  <c r="I663" i="1"/>
  <c r="C27" i="10"/>
  <c r="G635" i="1"/>
  <c r="J635" i="1"/>
  <c r="C28" i="10"/>
  <c r="D23" i="10"/>
  <c r="H24" i="14"/>
  <c r="I24" i="14"/>
  <c r="G667" i="1"/>
  <c r="G672" i="1"/>
  <c r="C5" i="10"/>
  <c r="I660" i="1"/>
  <c r="I664" i="1"/>
  <c r="F672" i="1"/>
  <c r="C4" i="10"/>
  <c r="F667" i="1"/>
  <c r="C31" i="13"/>
  <c r="C51" i="2"/>
  <c r="G631" i="1"/>
  <c r="J631" i="1"/>
  <c r="J646" i="1"/>
  <c r="G193" i="1"/>
  <c r="G628" i="1"/>
  <c r="J628" i="1"/>
  <c r="G626" i="1"/>
  <c r="J626" i="1"/>
  <c r="J52" i="1"/>
  <c r="H621" i="1"/>
  <c r="J621" i="1"/>
  <c r="C38" i="10"/>
  <c r="D25" i="10"/>
  <c r="D22" i="10"/>
  <c r="D18" i="10"/>
  <c r="D27" i="10"/>
  <c r="D15" i="10"/>
  <c r="D21" i="10"/>
  <c r="D24" i="10"/>
  <c r="D20" i="10"/>
  <c r="D11" i="10"/>
  <c r="D12" i="10"/>
  <c r="D13" i="10"/>
  <c r="D17" i="10"/>
  <c r="D19" i="10"/>
  <c r="D10" i="10"/>
  <c r="D26" i="10"/>
  <c r="C30" i="10"/>
  <c r="D16" i="10"/>
  <c r="D33" i="13"/>
  <c r="D36" i="13"/>
  <c r="I667" i="1"/>
  <c r="H656" i="1"/>
  <c r="C41" i="10"/>
  <c r="D38" i="10"/>
  <c r="D28" i="10"/>
  <c r="D37" i="10"/>
  <c r="D36" i="10"/>
  <c r="D35" i="10"/>
  <c r="D40" i="10"/>
  <c r="D39" i="10"/>
  <c r="D41" i="10"/>
  <c r="I672" i="1" l="1"/>
  <c r="C7" i="10"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<sst xmlns="http://schemas.openxmlformats.org/spreadsheetml/2006/main" count="5516" uniqueCount="1621">
  <si>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</si>
  <si>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</si>
  <si>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</si>
  <si>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</si>
  <si>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</si>
  <si>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</si>
  <si>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</si>
  <si>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</si>
  <si>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</si>
  <si>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</si>
  <si>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</si>
  <si>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</si>
  <si>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</si>
  <si>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</si>
  <si>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</si>
  <si>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</si>
  <si>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</si>
  <si>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</si>
  <si>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</si>
  <si>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</si>
  <si>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</si>
  <si>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</si>
  <si>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</si>
  <si>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</si>
  <si>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</si>
  <si>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</si>
  <si>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</si>
  <si>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</si>
  <si>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</si>
  <si>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</si>
  <si>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</si>
  <si>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</si>
  <si>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</si>
  <si>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</si>
  <si>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</si>
  <si>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</si>
  <si>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</si>
  <si>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</si>
  <si>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</si>
  <si>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</si>
  <si>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</si>
  <si>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</si>
  <si>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</si>
  <si>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</si>
  <si>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</si>
  <si>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</si>
  <si>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</si>
  <si>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</si>
  <si>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</si>
  <si>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</si>
  <si>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</si>
  <si>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</si>
  <si>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</si>
  <si>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</si>
  <si>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</si>
  <si>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</si>
  <si>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</si>
  <si>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</si>
  <si>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</si>
  <si>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</si>
  <si>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</si>
  <si>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</si>
  <si>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</si>
  <si>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</si>
  <si>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</si>
  <si>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</si>
  <si>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</si>
  <si>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</si>
  <si>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</si>
  <si>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</si>
  <si>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</si>
  <si>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</si>
  <si>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</si>
  <si>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</si>
  <si>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</si>
  <si>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</si>
  <si>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</si>
  <si>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</si>
  <si>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</si>
  <si>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</si>
  <si>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</si>
  <si>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</si>
  <si>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</si>
  <si>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</si>
  <si>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</si>
  <si>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</si>
  <si>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</si>
  <si>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</si>
  <si>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</si>
  <si>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</si>
  <si>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</si>
  <si>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</si>
  <si>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</si>
  <si>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</si>
  <si>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</si>
  <si>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</si>
  <si>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</si>
  <si>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</si>
  <si>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</si>
  <si>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</si>
  <si>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</si>
  <si>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</si>
  <si>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</si>
  <si>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</si>
  <si>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</si>
  <si>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</si>
  <si>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</si>
  <si>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</si>
  <si>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</si>
  <si>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</si>
  <si>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</si>
  <si>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</si>
  <si>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</si>
  <si>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</si>
  <si>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</si>
  <si>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</si>
  <si>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</si>
  <si>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</si>
  <si>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</si>
  <si>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</si>
  <si>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</si>
  <si>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</si>
  <si>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</si>
  <si>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</si>
  <si>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</si>
  <si>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</si>
  <si>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</si>
  <si>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</si>
  <si>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</si>
  <si>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</si>
  <si>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</si>
  <si>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</si>
  <si>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</si>
  <si>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</si>
  <si>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</si>
  <si>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</si>
  <si>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</si>
  <si>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</si>
  <si>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</si>
  <si>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</si>
  <si>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</si>
  <si>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</si>
  <si>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</si>
  <si>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</si>
  <si>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</si>
  <si>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</si>
  <si>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</si>
  <si>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</si>
  <si>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</si>
  <si>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</si>
  <si>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</si>
  <si>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</si>
  <si>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</si>
  <si>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</si>
  <si>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</si>
  <si>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</si>
  <si>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</si>
  <si>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</si>
  <si>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</si>
  <si>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</si>
  <si>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</si>
  <si>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</si>
  <si>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</si>
  <si>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</si>
  <si>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</si>
  <si>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</si>
  <si>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</si>
  <si>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</si>
  <si>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</si>
  <si>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</si>
  <si>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</si>
  <si>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</si>
  <si>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</si>
  <si>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</si>
  <si>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</si>
  <si>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</si>
  <si>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</si>
  <si>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</si>
  <si>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</si>
  <si>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</si>
  <si>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</si>
  <si>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</si>
  <si>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</si>
  <si>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</si>
  <si>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</si>
  <si>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</si>
  <si>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</si>
  <si>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</si>
  <si>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</si>
  <si>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</si>
  <si>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</si>
  <si>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</si>
  <si>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</si>
  <si>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</si>
  <si>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</si>
  <si>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</si>
  <si>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</si>
  <si>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</si>
  <si>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</si>
  <si>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</si>
  <si>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</si>
  <si>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</si>
  <si>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</si>
  <si>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</si>
  <si>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</si>
  <si>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</si>
  <si>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</si>
  <si>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</si>
  <si>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</si>
  <si>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</si>
  <si>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</si>
  <si>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</si>
  <si>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</si>
  <si>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</si>
  <si>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</si>
  <si>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</si>
  <si>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</si>
  <si>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</si>
  <si>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</si>
  <si>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</si>
  <si>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</si>
  <si>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</si>
  <si>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</si>
  <si>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</si>
  <si>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</si>
  <si>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</si>
  <si>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</si>
  <si>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</si>
  <si>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</si>
  <si>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</si>
  <si>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</si>
  <si>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</si>
  <si>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</si>
  <si>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</si>
  <si>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</si>
  <si>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</si>
  <si>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</si>
  <si>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</si>
  <si>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</si>
  <si>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</si>
  <si>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</si>
  <si>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</si>
  <si>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</si>
  <si>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</si>
  <si>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</si>
  <si>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</si>
  <si>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</si>
  <si>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</si>
  <si>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</si>
  <si>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</si>
  <si>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</si>
  <si>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</si>
  <si>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</si>
  <si>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</si>
  <si>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</si>
  <si>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</si>
  <si>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</si>
  <si>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</si>
  <si>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</si>
  <si>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</si>
  <si>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</si>
  <si>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</si>
  <si>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</si>
  <si>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</si>
  <si>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</si>
  <si>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</si>
  <si>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</si>
  <si>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</si>
  <si>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</si>
  <si>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</si>
  <si>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</si>
  <si>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</si>
  <si>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</si>
  <si>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</si>
  <si>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</si>
  <si>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</si>
  <si>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</si>
  <si>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</si>
  <si>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</si>
  <si>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</si>
  <si>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</si>
  <si>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</si>
  <si>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</si>
  <si>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</si>
  <si>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</si>
  <si>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</si>
  <si>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</si>
  <si>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</si>
  <si>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</si>
  <si>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</si>
  <si>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</si>
  <si>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</si>
  <si>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</si>
  <si>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</si>
  <si>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</si>
  <si>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</si>
  <si>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</si>
  <si>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</si>
  <si>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</si>
  <si>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</si>
  <si>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</si>
  <si>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</si>
  <si>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</si>
  <si>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</si>
  <si>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</si>
  <si>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</si>
  <si>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</si>
  <si>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</si>
  <si>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</si>
  <si>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</si>
  <si>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</si>
  <si>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</si>
  <si>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</si>
  <si>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</si>
  <si>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</si>
  <si>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</si>
  <si>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</si>
  <si>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</si>
  <si>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</si>
  <si>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</si>
  <si>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</si>
  <si>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</si>
  <si>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</si>
  <si>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</si>
  <si>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</si>
  <si>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</si>
  <si>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</si>
  <si>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</si>
  <si>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</si>
  <si>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</si>
  <si>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</si>
  <si>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</si>
  <si>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</si>
  <si>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</si>
  <si>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</si>
  <si>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</si>
  <si>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</si>
  <si>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</si>
  <si>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</si>
  <si>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</si>
  <si>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</si>
  <si>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</si>
  <si>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</si>
  <si>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</si>
  <si>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</si>
  <si>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</si>
  <si>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</si>
  <si>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</si>
  <si>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</si>
  <si>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</si>
  <si>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</si>
  <si>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</si>
  <si>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</si>
  <si>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</si>
  <si>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</si>
  <si>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</si>
  <si>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</si>
  <si>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</si>
  <si>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</si>
  <si>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</si>
  <si>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</si>
  <si>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</si>
  <si>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</si>
  <si>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</si>
  <si>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</si>
  <si>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</si>
  <si>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</si>
  <si>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</si>
  <si>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</si>
  <si>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</si>
  <si>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</si>
  <si>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</si>
  <si>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</si>
  <si>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</si>
  <si>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</si>
  <si>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</si>
  <si>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</si>
  <si>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</si>
  <si>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</si>
  <si>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</si>
  <si>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</si>
  <si>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</si>
  <si>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</si>
  <si>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</si>
  <si>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</si>
  <si>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</si>
  <si>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</si>
  <si>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</si>
  <si>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</si>
  <si>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</si>
  <si>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</si>
  <si>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</si>
  <si>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</si>
  <si>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</si>
  <si>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</si>
  <si>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</si>
  <si>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</si>
  <si>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</si>
  <si>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</si>
  <si>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</si>
  <si>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</si>
  <si>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</si>
  <si>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</si>
  <si>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</si>
  <si>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</si>
  <si>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</si>
  <si>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</si>
  <si>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</si>
  <si>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</si>
  <si>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</si>
  <si>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</si>
  <si>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</si>
  <si>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</si>
  <si>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</si>
  <si>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</si>
  <si>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</si>
  <si>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</si>
  <si>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</si>
  <si>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</si>
  <si>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</si>
  <si>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</si>
  <si>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</si>
  <si>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</si>
  <si>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</si>
  <si>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</si>
  <si>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</si>
  <si>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</si>
  <si>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</si>
  <si>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</si>
  <si>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</si>
  <si>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</si>
  <si>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</si>
  <si>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</si>
  <si>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</si>
  <si>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</si>
  <si>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</si>
  <si>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</si>
  <si>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</si>
  <si>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</si>
  <si>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</si>
  <si>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</si>
  <si>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</si>
  <si>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</si>
  <si>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</si>
  <si>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</si>
  <si>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</si>
  <si>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</si>
  <si>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</si>
  <si>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</si>
  <si>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</si>
  <si>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</si>
  <si>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</si>
  <si>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</si>
  <si>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</si>
  <si>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</si>
  <si>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</si>
  <si>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</si>
  <si>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</si>
  <si>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</si>
  <si>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</si>
  <si>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</si>
  <si>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</si>
  <si>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</si>
  <si>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</si>
  <si>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</si>
  <si>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</si>
  <si>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</si>
  <si>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</si>
  <si>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</si>
  <si>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</si>
  <si>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</si>
  <si>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</si>
  <si>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</si>
  <si>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</si>
  <si>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</si>
  <si>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</si>
  <si>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</si>
  <si>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</si>
  <si>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</si>
  <si>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</si>
  <si>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</si>
  <si>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</si>
  <si>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</si>
  <si>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</si>
  <si>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</si>
  <si>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</si>
  <si>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</si>
  <si>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</si>
  <si>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</si>
  <si>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</si>
  <si>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</si>
  <si>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</si>
  <si>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</si>
  <si>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</si>
  <si>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</si>
  <si>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</si>
  <si>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</si>
  <si>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</si>
  <si>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</si>
  <si>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</si>
  <si>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</si>
  <si>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</si>
  <si>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</si>
  <si>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</si>
  <si>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</si>
  <si>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</si>
  <si>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</si>
  <si>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</si>
  <si>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</si>
  <si>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</si>
  <si>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</si>
  <si>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</si>
  <si>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</si>
  <si>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</si>
  <si>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</si>
  <si>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</si>
  <si>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</si>
  <si>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</si>
  <si>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</si>
  <si>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</si>
  <si>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</si>
  <si>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</si>
  <si>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</si>
  <si>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</si>
  <si>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</si>
  <si>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</si>
  <si>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</si>
  <si>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</si>
  <si>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</si>
  <si>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</si>
  <si>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</si>
  <si>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</si>
  <si>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</si>
  <si>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</si>
  <si>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</si>
  <si>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</si>
  <si>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</si>
  <si>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</si>
  <si>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</si>
  <si>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</si>
  <si>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</si>
  <si>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</si>
  <si>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</si>
  <si>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</si>
  <si>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</si>
  <si>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</si>
  <si>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</si>
  <si>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</si>
  <si>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</si>
  <si>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</si>
  <si>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</si>
  <si>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</si>
  <si>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</si>
  <si>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</si>
  <si>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</si>
  <si>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</si>
  <si>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</si>
  <si>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</si>
  <si>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</si>
  <si>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</si>
  <si>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</si>
  <si>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</si>
  <si>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</si>
  <si>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</si>
  <si>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</si>
  <si>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</si>
  <si>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</si>
  <si>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</si>
  <si>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</si>
  <si>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</si>
  <si>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</si>
  <si>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</si>
  <si>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</si>
  <si>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</si>
  <si>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</si>
  <si>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</si>
  <si>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</si>
  <si>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</si>
  <si>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</si>
  <si>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</si>
  <si>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</si>
  <si>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</si>
  <si>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</si>
  <si>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</si>
  <si>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</si>
  <si>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</si>
  <si>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</si>
  <si>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</si>
  <si>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</si>
  <si>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</si>
  <si>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</si>
  <si>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</si>
  <si>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</si>
  <si>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</si>
  <si>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</si>
  <si>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</si>
  <si>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</si>
  <si>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</si>
  <si>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</si>
  <si>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</si>
  <si>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</si>
  <si>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</si>
  <si>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</si>
  <si>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</si>
  <si>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</si>
  <si>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</si>
  <si>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</si>
  <si>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</si>
  <si>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</si>
  <si>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</si>
  <si>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</si>
  <si>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</si>
  <si>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</si>
  <si>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</si>
  <si>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</si>
  <si>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</si>
  <si>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</si>
  <si>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</si>
  <si>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</si>
  <si>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</si>
  <si>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</si>
  <si>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</si>
  <si>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</si>
  <si>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</si>
  <si>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</si>
  <si>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</si>
  <si>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</si>
  <si>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</si>
  <si>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</si>
  <si>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</si>
  <si>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</si>
  <si>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</si>
  <si>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</si>
  <si>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</si>
  <si>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</si>
  <si>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</si>
  <si>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</si>
  <si>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</si>
  <si>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</si>
  <si>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</si>
  <si>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</si>
  <si>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</si>
  <si>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</si>
  <si>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</si>
  <si>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</si>
  <si>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</si>
  <si>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</si>
  <si>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</si>
  <si>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</si>
  <si>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</si>
  <si>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</si>
  <si>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</si>
  <si>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</si>
  <si>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</si>
  <si>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</si>
  <si>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</si>
  <si>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</si>
  <si>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</si>
  <si>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</si>
  <si>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</si>
  <si>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</si>
  <si>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</si>
  <si>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</si>
  <si>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</si>
  <si>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</si>
  <si>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</si>
  <si>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</si>
  <si>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</si>
  <si>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</si>
  <si>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</si>
  <si>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</si>
  <si>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</si>
  <si>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</si>
  <si>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</si>
  <si>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</si>
  <si>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</si>
  <si>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</si>
  <si>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</si>
  <si>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</si>
  <si>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</si>
  <si>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</si>
  <si>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</si>
  <si>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</si>
  <si>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</si>
  <si>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</si>
  <si>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</si>
  <si>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</si>
  <si>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</si>
  <si>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</si>
  <si>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</si>
  <si>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</si>
  <si>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</si>
  <si>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</si>
  <si>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</si>
  <si>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</si>
  <si>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</si>
  <si>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</si>
  <si>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</si>
  <si>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</si>
  <si>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</si>
  <si>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</si>
  <si>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</si>
  <si>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</si>
  <si>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</si>
  <si>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</si>
  <si>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</si>
  <si>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</si>
  <si>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</si>
  <si>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</si>
  <si>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</si>
  <si>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</si>
  <si>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</si>
  <si>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</si>
  <si>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</si>
  <si>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</si>
  <si>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</si>
  <si>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</si>
  <si>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</si>
  <si>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</si>
  <si>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</si>
  <si>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</si>
  <si>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</si>
  <si>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</si>
  <si>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</si>
  <si>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</si>
  <si>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</si>
  <si>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</si>
  <si>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</si>
  <si>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</si>
  <si>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</si>
  <si>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</si>
  <si>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</si>
  <si>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</si>
  <si>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</si>
  <si>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</si>
  <si>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</si>
  <si>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</si>
  <si>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</si>
  <si>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</si>
  <si>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</si>
  <si>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</si>
  <si>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</si>
  <si>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</si>
  <si>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</si>
  <si>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</si>
  <si>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</si>
  <si>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</si>
  <si>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</si>
  <si>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</si>
  <si>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</si>
  <si>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</si>
  <si>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</si>
  <si>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</si>
  <si>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</si>
  <si>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</si>
  <si>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</si>
  <si>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</si>
  <si>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</si>
  <si>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</si>
  <si>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</si>
  <si>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</si>
  <si>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</si>
  <si>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</si>
  <si>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</si>
  <si>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</si>
  <si>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</si>
  <si>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</si>
  <si>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</si>
  <si>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</si>
  <si>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</si>
  <si>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</si>
  <si>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</si>
  <si>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</si>
  <si>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</si>
  <si>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</si>
  <si>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</si>
  <si>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</si>
  <si>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</si>
  <si>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</si>
  <si>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</si>
  <si>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</si>
  <si>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</si>
  <si>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</si>
  <si>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</si>
  <si>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</si>
  <si>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</si>
  <si>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</si>
  <si>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</si>
  <si>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</si>
  <si>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</si>
  <si>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</si>
  <si>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</si>
  <si>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</si>
  <si>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</si>
  <si>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</si>
  <si>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</si>
  <si>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</si>
  <si>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</si>
  <si>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</si>
  <si>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</si>
  <si>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</si>
  <si>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</si>
  <si>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</si>
  <si>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</si>
  <si>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</si>
  <si>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</si>
  <si>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</si>
  <si>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</si>
  <si>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</si>
  <si>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</si>
  <si>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</si>
  <si>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</si>
  <si>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</si>
  <si>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</si>
  <si>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</si>
  <si>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</si>
  <si>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</si>
  <si>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</si>
  <si>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</si>
  <si>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</si>
  <si>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</si>
  <si>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</si>
  <si>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</si>
  <si>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</si>
  <si>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</si>
  <si>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</si>
  <si>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</si>
  <si>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</si>
  <si>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</si>
  <si>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</si>
  <si>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</si>
  <si>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</si>
  <si>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</si>
  <si>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</si>
  <si>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</si>
  <si>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</si>
  <si>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</si>
  <si>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</si>
  <si>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</si>
  <si>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</si>
  <si>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</si>
  <si>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</si>
  <si>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</si>
  <si>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</si>
  <si>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</si>
  <si>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</si>
  <si>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</si>
  <si>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</si>
  <si>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</si>
  <si>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</si>
  <si>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</si>
  <si>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</si>
  <si>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</si>
  <si>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</si>
  <si>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</si>
  <si>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</si>
  <si>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</si>
  <si>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</si>
  <si>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</si>
  <si>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</si>
  <si>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</si>
  <si>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</si>
  <si>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</si>
  <si>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</si>
  <si>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</si>
  <si>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</si>
  <si>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</si>
  <si>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</si>
  <si>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</si>
  <si>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</si>
  <si>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</si>
  <si>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</si>
  <si>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</si>
  <si>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</si>
  <si>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</si>
  <si>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</si>
  <si>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</si>
  <si>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</si>
  <si>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</si>
  <si>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</si>
  <si>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</si>
  <si>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</si>
  <si>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</si>
  <si>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</si>
  <si>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</si>
  <si>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</si>
  <si>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</si>
  <si>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</si>
  <si>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</si>
  <si>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</si>
  <si>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</si>
  <si>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</si>
  <si>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</si>
  <si>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</si>
  <si>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</si>
  <si>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</si>
  <si>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</si>
  <si>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</si>
  <si>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</si>
  <si>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</si>
  <si>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</si>
  <si>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</si>
  <si>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</si>
  <si>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</si>
  <si>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</si>
  <si>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</si>
  <si>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</si>
  <si>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</si>
  <si>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</si>
  <si>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</si>
  <si>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</si>
  <si>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</si>
  <si>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</si>
  <si>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</si>
  <si>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</si>
  <si>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</si>
  <si>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</si>
  <si>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</si>
  <si>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</si>
  <si>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</si>
  <si>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</si>
  <si>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</si>
  <si>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</si>
  <si>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</si>
  <si>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</si>
  <si>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</si>
  <si>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</si>
  <si>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</si>
  <si>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</si>
  <si>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</si>
  <si>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</si>
  <si>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</si>
  <si>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</si>
  <si>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</si>
  <si>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</si>
  <si>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</si>
  <si>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</si>
  <si>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</si>
  <si>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</si>
  <si>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</si>
  <si>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</si>
  <si>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</si>
  <si>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</si>
  <si>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</si>
  <si>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</si>
  <si>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</si>
  <si>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</si>
  <si>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</si>
  <si>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</si>
  <si>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</si>
  <si>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</si>
  <si>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</si>
  <si>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</si>
  <si>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</si>
  <si>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</si>
  <si>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</si>
  <si>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</si>
  <si>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</si>
  <si>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</si>
  <si>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</si>
  <si>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</si>
  <si>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</si>
  <si>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</si>
  <si>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</si>
  <si>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</si>
  <si>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</si>
  <si>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</si>
  <si>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</si>
  <si>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</si>
  <si>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</si>
  <si>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</si>
  <si>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</si>
  <si>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</si>
  <si>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</si>
  <si>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</si>
  <si>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</si>
  <si>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</si>
  <si>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</si>
  <si>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</si>
  <si>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</si>
  <si>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</si>
  <si>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</si>
  <si>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</si>
  <si>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</si>
  <si>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</si>
  <si>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</si>
  <si>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</si>
  <si>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</si>
  <si>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</si>
  <si>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</si>
  <si>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</si>
  <si>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</si>
  <si>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</si>
  <si>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</si>
  <si>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</si>
  <si>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</si>
  <si>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</si>
  <si>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</si>
  <si>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</si>
  <si>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</si>
  <si>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</si>
  <si>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</si>
  <si>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</si>
  <si>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</si>
  <si>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</si>
  <si>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</si>
  <si>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</si>
  <si>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</si>
  <si>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</si>
  <si>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</si>
  <si>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</si>
  <si>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</si>
  <si>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</si>
  <si>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</si>
  <si>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</si>
  <si>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</si>
  <si>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</si>
  <si>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</si>
  <si>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</si>
  <si>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</si>
  <si>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</si>
  <si>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</si>
  <si>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</si>
  <si>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</si>
  <si>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</si>
  <si>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</si>
  <si>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</si>
  <si>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</si>
  <si>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</si>
  <si>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</si>
  <si>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</si>
  <si>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</si>
  <si>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</si>
  <si>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</si>
  <si>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</si>
  <si>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</si>
  <si>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</si>
  <si>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</si>
  <si>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</si>
  <si>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</si>
  <si>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</si>
  <si>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</si>
  <si>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</si>
  <si>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</si>
  <si>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</si>
  <si>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</si>
  <si>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</si>
  <si>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</si>
  <si>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</si>
  <si>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</si>
  <si>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</si>
  <si>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</si>
  <si>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</si>
  <si>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</si>
  <si>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</si>
  <si>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</si>
  <si>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</si>
  <si>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</si>
  <si>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</si>
  <si>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</si>
  <si>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</si>
  <si>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</si>
  <si>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</si>
  <si>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</si>
  <si>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</si>
  <si>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</si>
  <si>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</si>
  <si>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</si>
  <si>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</si>
  <si>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</si>
  <si>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</si>
  <si>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</si>
  <si>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</si>
  <si>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</si>
  <si>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</si>
  <si>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</si>
  <si>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</si>
  <si>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</si>
  <si>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</si>
  <si>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</si>
  <si>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</si>
  <si>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</si>
  <si>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</si>
  <si>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</si>
  <si>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</si>
  <si>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</si>
  <si>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</si>
  <si>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</si>
  <si>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</si>
  <si>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</si>
  <si>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</si>
  <si>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</si>
  <si>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</si>
  <si>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</si>
  <si>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</si>
  <si>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</si>
  <si>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</si>
  <si>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</si>
  <si>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</si>
  <si>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</si>
  <si>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</si>
  <si>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</si>
  <si>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</si>
  <si>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</si>
  <si>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</si>
  <si>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</si>
  <si>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</si>
  <si>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</si>
  <si>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</si>
  <si>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</si>
  <si>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</si>
  <si>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</si>
  <si>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</si>
  <si>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</si>
  <si>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</si>
  <si>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</si>
  <si>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</si>
  <si>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</si>
  <si>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</si>
  <si>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</si>
  <si>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</si>
  <si>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</si>
  <si>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</si>
  <si>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</si>
  <si>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</si>
  <si>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</si>
  <si>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</si>
  <si>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</si>
  <si>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</si>
  <si>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</si>
  <si>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</si>
  <si>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</si>
  <si>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</si>
  <si>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</si>
  <si>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</si>
  <si>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</si>
  <si>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</si>
  <si>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</si>
  <si>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</si>
  <si>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</si>
  <si>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</si>
  <si>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</si>
  <si>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</si>
  <si>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</si>
  <si>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</si>
  <si>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</si>
  <si>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</si>
  <si>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</si>
  <si>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</si>
  <si>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</si>
  <si>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</si>
  <si>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</si>
  <si>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</si>
  <si>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</si>
  <si>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</si>
  <si>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</si>
  <si>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</si>
  <si>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</si>
  <si>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</si>
  <si>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</si>
  <si>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</si>
  <si>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</si>
  <si>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</si>
  <si>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</si>
  <si>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</si>
  <si>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</si>
  <si>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</si>
  <si>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</si>
  <si>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</si>
  <si>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</si>
  <si>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</si>
  <si>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</si>
  <si>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</si>
  <si>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</si>
  <si>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</si>
  <si>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</si>
  <si>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</si>
  <si>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</si>
  <si>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</si>
  <si>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</si>
  <si>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</si>
  <si>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</si>
  <si>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</si>
  <si>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</si>
  <si>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</si>
  <si>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</si>
  <si>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</si>
  <si>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</si>
  <si>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</si>
  <si>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</si>
  <si>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</si>
  <si>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</si>
  <si>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</si>
  <si>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</si>
  <si>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</si>
  <si>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</si>
  <si>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</si>
  <si>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</si>
  <si>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</si>
  <si>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</si>
  <si>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</si>
  <si>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</si>
  <si>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</si>
  <si>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</si>
  <si>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</si>
  <si>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</si>
  <si>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</si>
  <si>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</si>
  <si>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</si>
  <si>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</si>
  <si>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</si>
  <si>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</si>
  <si>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</si>
  <si>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</si>
  <si>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</si>
  <si>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</si>
  <si>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</si>
  <si>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</si>
  <si>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</si>
  <si>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</si>
  <si>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</si>
  <si>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</si>
  <si>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</si>
  <si>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</si>
  <si>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</si>
  <si>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</si>
  <si>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</si>
  <si>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</si>
  <si>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</si>
  <si>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</si>
  <si>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</si>
  <si>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</si>
  <si>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</si>
  <si>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</si>
  <si>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</si>
  <si>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</si>
  <si>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</si>
  <si>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</si>
  <si>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</si>
  <si>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</si>
  <si>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</si>
  <si>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</si>
  <si>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</si>
  <si>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</si>
  <si>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</si>
  <si>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</si>
  <si>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</si>
  <si>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</si>
  <si>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</si>
  <si>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</si>
  <si>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</si>
  <si>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</si>
  <si>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</si>
  <si>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</si>
  <si>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</si>
  <si>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</si>
  <si>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</si>
  <si>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</si>
  <si>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</si>
  <si>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</si>
  <si>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</si>
  <si>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</si>
  <si>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</si>
  <si>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</si>
  <si>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</si>
  <si>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</si>
  <si>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</si>
  <si>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</si>
  <si>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</si>
  <si>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</si>
  <si>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</si>
  <si>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</si>
  <si>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</si>
  <si>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</si>
  <si>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</si>
  <si>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</si>
  <si>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</si>
  <si>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</si>
  <si>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</si>
  <si>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</si>
  <si>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</si>
  <si>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</si>
  <si>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</si>
  <si>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</si>
  <si>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</si>
  <si>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</si>
  <si>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</si>
  <si>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</si>
  <si>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</si>
  <si>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</si>
  <si>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</si>
  <si>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</si>
  <si>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</si>
  <si>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</si>
  <si>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</si>
  <si>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</si>
  <si>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</si>
  <si>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</si>
  <si>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</si>
  <si>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</si>
  <si>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</si>
  <si>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</si>
  <si>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</si>
  <si>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</si>
  <si>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</si>
  <si>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</si>
  <si>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</si>
  <si>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</si>
  <si>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</si>
  <si>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</si>
  <si>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</si>
  <si>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</si>
  <si>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</si>
  <si>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</si>
  <si>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</si>
  <si>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</si>
  <si>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</si>
  <si>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</si>
  <si>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</si>
  <si>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</si>
  <si>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</si>
  <si>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</si>
  <si>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</si>
  <si>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</si>
  <si>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</si>
  <si>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</si>
  <si>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</si>
  <si>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</si>
  <si>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</si>
  <si>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</si>
  <si>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</si>
  <si>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</si>
  <si>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</si>
  <si>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</si>
  <si>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</si>
  <si>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</si>
  <si>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</si>
  <si>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</si>
  <si>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</si>
  <si>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</si>
  <si>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</si>
  <si>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</si>
  <si>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</si>
  <si>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</si>
  <si>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</si>
  <si>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</si>
  <si>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</si>
  <si>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</si>
  <si>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</si>
  <si>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</si>
  <si>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</si>
  <si>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</si>
  <si>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</si>
  <si>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</si>
  <si>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</si>
  <si>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</si>
  <si>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</si>
  <si>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</si>
  <si>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</si>
  <si>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</si>
  <si>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</si>
  <si>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</si>
  <si>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</si>
  <si>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</si>
  <si>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</si>
  <si>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</si>
  <si>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</si>
  <si>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</si>
  <si>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</si>
  <si>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</si>
  <si>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</si>
  <si>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</si>
  <si>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</si>
  <si>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</si>
  <si>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</si>
  <si>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</si>
  <si>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</si>
  <si>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</si>
  <si>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</si>
  <si>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</si>
  <si>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</si>
  <si>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</si>
  <si>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</si>
  <si>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</si>
  <si>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</si>
  <si>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</si>
  <si>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</si>
  <si>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</si>
  <si>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</si>
  <si>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</si>
  <si>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</si>
  <si>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</si>
  <si>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</si>
  <si>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</si>
  <si>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</si>
  <si>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</si>
  <si>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</si>
  <si>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</si>
  <si>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</si>
  <si>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</si>
  <si>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</si>
  <si>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</si>
  <si>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</si>
  <si>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</si>
  <si>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</si>
  <si>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</si>
  <si>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</si>
  <si>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</si>
  <si>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</si>
  <si>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</si>
  <si>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</si>
  <si>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</si>
  <si>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</si>
  <si>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</si>
  <si>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</si>
  <si>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</si>
  <si>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</si>
  <si>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</si>
  <si>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</si>
  <si>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</si>
  <si>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</si>
  <si>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</si>
  <si>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</si>
  <si>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</si>
  <si>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</si>
  <si>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</si>
  <si>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</si>
  <si>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</si>
  <si>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</si>
  <si>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</si>
  <si>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</si>
  <si>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</si>
  <si>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</si>
  <si>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</si>
  <si>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</si>
  <si>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</si>
  <si>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</si>
  <si>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</si>
  <si>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</si>
  <si>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</si>
  <si>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</si>
  <si>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</si>
  <si>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</si>
  <si>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</si>
  <si>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</si>
  <si>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</si>
  <si>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</si>
  <si>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</si>
  <si>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</si>
  <si>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</si>
  <si>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</si>
  <si>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</si>
  <si>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</si>
  <si>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</si>
  <si>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</si>
  <si>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</si>
  <si>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</si>
  <si>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</si>
  <si>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</si>
  <si>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</si>
  <si>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</si>
  <si>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</si>
  <si>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</si>
  <si>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</si>
  <si>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</si>
  <si>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</si>
  <si>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</si>
  <si>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</si>
  <si>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</si>
  <si>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</si>
  <si>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</si>
  <si>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</si>
  <si>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</si>
  <si>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</si>
  <si>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</si>
  <si>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</si>
  <si>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</si>
  <si>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</si>
  <si>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</si>
  <si>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</si>
  <si>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</si>
  <si>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</si>
  <si>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</si>
  <si>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</si>
  <si>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</si>
  <si>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</si>
  <si>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</si>
  <si>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</si>
  <si>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</si>
  <si>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</si>
  <si>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</si>
  <si>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</si>
  <si>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</si>
  <si>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</si>
  <si>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</si>
  <si>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</si>
  <si>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</si>
  <si>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</si>
  <si>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</si>
  <si>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</si>
  <si>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</si>
  <si>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</si>
  <si>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</si>
  <si>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</si>
  <si>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</si>
  <si>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</si>
  <si>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</si>
  <si>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</si>
  <si>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</si>
  <si>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</si>
  <si>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</si>
  <si>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</si>
  <si>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</si>
  <si>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</si>
  <si>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</si>
  <si>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</si>
  <si>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</si>
  <si>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</si>
  <si>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</si>
  <si>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</si>
  <si>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</si>
  <si>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</si>
  <si>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</si>
  <si>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</si>
  <si>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</si>
  <si>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</si>
  <si>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</si>
  <si>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</si>
  <si>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</si>
  <si>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</si>
  <si>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</si>
  <si>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</si>
  <si>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</si>
  <si>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</si>
  <si>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</si>
  <si>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</si>
  <si>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</si>
  <si>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</si>
  <si>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</si>
  <si>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</si>
  <si>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</si>
  <si>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</si>
  <si>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</si>
  <si>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</si>
  <si>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</si>
  <si>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</si>
  <si>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</si>
  <si>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</si>
  <si>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</si>
  <si>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</si>
  <si>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</si>
  <si>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</si>
  <si>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</si>
  <si>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</si>
  <si>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</si>
  <si>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</si>
  <si>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</si>
  <si>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</si>
  <si>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</si>
  <si>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</si>
  <si>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</si>
  <si>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</si>
  <si>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</si>
  <si>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</si>
  <si>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</si>
  <si>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</si>
  <si>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</si>
  <si>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</si>
  <si>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</si>
  <si>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</si>
  <si>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</si>
  <si>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</si>
  <si>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</si>
  <si>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</si>
  <si>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</si>
  <si>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</si>
  <si>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</si>
  <si>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</si>
  <si>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</si>
  <si>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</si>
  <si>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</si>
  <si>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</si>
  <si>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</si>
  <si>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</si>
  <si>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</si>
  <si>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</si>
  <si>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</si>
  <si>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</si>
  <si>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</si>
  <si>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</si>
  <si>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</si>
  <si>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</si>
  <si>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</si>
  <si>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</si>
  <si>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</si>
  <si>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</si>
  <si>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</si>
  <si>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</si>
  <si>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</si>
  <si>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</si>
  <si>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</si>
  <si>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</si>
  <si>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</si>
  <si>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</si>
  <si>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</si>
  <si>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</si>
  <si>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</si>
  <si>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</si>
  <si>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</si>
  <si>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Dresden School District - SAU 70</t>
  </si>
  <si>
    <t>01/15/07</t>
  </si>
  <si>
    <t>Aug 2027</t>
  </si>
  <si>
    <t>12/22/04</t>
  </si>
  <si>
    <t>1/15/25</t>
  </si>
  <si>
    <t>8/15/03</t>
  </si>
  <si>
    <t>Aug 2024</t>
  </si>
  <si>
    <t>8/15/01</t>
  </si>
  <si>
    <t>Aug 2022</t>
  </si>
  <si>
    <t>Prior year Reserved for Continuing Appropriations (A/P)</t>
  </si>
  <si>
    <t>Rounding from Trustee's reports - $1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</si>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</sst>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5"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u/>
      <sz val="8"/>
      <color theme="10"/>
      <name val="Arial"/>
    </font>
    <font>
      <u/>
      <sz val="8"/>
      <color theme="11"/>
      <name val="Arial"/>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auto="1"/>
      </bottom>
      <diagonal/>
    </border>
    <border>
      <left/>
      <right/>
      <top/>
      <bottom style="medium">
        <color auto="1"/>
      </bottom>
      <diagonal/>
    </border>
    <border>
      <left/>
      <right/>
      <top style="double">
        <color auto="1"/>
      </top>
      <bottom/>
      <diagonal/>
    </border>
    <border>
      <left/>
      <right/>
      <top style="double">
        <color auto="1"/>
      </top>
      <bottom style="double">
        <color auto="1"/>
      </bottom>
      <diagonal/>
    </border>
    <border>
      <left/>
      <right/>
      <top style="thin">
        <color auto="1"/>
      </top>
      <bottom/>
      <diagonal/>
    </border>
    <border>
      <left/>
      <right/>
      <top/>
      <bottom style="double">
        <color auto="1"/>
      </bottom>
      <diagonal/>
    </border>
    <border>
      <left/>
      <right/>
      <top style="medium">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right style="thin">
        <color auto="1"/>
      </right>
      <top/>
      <bottom style="thick">
        <color auto="1"/>
      </bottom>
      <diagonal/>
    </border>
    <border>
      <left/>
      <right style="thick">
        <color auto="1"/>
      </right>
      <top/>
      <bottom style="thick">
        <color auto="1"/>
      </bottom>
      <diagonal/>
    </border>
    <border>
      <left style="thick">
        <color auto="1"/>
      </left>
      <right/>
      <top style="thick">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5">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xf numFmtId="0" fontId="63" fillId="0" borderId="0" applyNumberFormat="0" applyFill="0" applyBorder="0" applyAlignment="0" applyProtection="0"/>
    <xf numFmtId="0" fontId="64" fillId="0" borderId="0" applyNumberFormat="0" applyFill="0" applyBorder="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Followed Hyperlink" xfId="44" builtinId="9" hidde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3" builtinId="8" hidde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5" zoomScaleNormal="125" zoomScalePageLayoutView="125" workbookViewId="0">
      <pane xSplit="5" ySplit="3" topLeftCell="F643" activePane="bottomRight" state="frozen"/>
      <selection pane="topRight" activeCell="F1" sqref="F1"/>
      <selection pane="bottomLeft" activeCell="A4" sqref="A4"/>
      <selection pane="bottomRight" activeCell="H670" sqref="H670"/>
    </sheetView>
  </sheetViews>
  <sheetFormatPr defaultColWidth="9"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142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400+400-36558.86+140-178687.53</f>
        <v>-214306.39</v>
      </c>
      <c r="G9" s="18"/>
      <c r="H9" s="18"/>
      <c r="I9" s="18"/>
      <c r="J9" s="67">
        <f>SUM(I439)</f>
        <v>90207.57</v>
      </c>
      <c r="K9" s="24" t="s">
        <v>288</v>
      </c>
      <c r="L9" s="24" t="s">
        <v>288</v>
      </c>
      <c r="M9" s="8"/>
      <c r="N9" s="266"/>
    </row>
    <row r="10" spans="1:14" s="3" customFormat="1" ht="12.2" customHeight="1" x14ac:dyDescent="0.15">
      <c r="A10" s="1" t="s">
        <v>562</v>
      </c>
      <c r="B10" s="2" t="s">
        <v>289</v>
      </c>
      <c r="C10" s="6">
        <v>2</v>
      </c>
      <c r="D10" s="2" t="s">
        <v>428</v>
      </c>
      <c r="E10" s="6">
        <v>110</v>
      </c>
      <c r="F10" s="18">
        <v>1664240.26</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25602.36</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f>23570.49+7967.38</f>
        <v>31537.870000000003</v>
      </c>
      <c r="G13" s="18"/>
      <c r="H13" s="18">
        <v>80162.06</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-10000</v>
      </c>
      <c r="G14" s="18">
        <v>67.099999999999994</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12248.62</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1483720.3600000003</v>
      </c>
      <c r="G19" s="41">
        <f>SUM(G9:G18)</f>
        <v>25669.46</v>
      </c>
      <c r="H19" s="41">
        <f>SUM(H9:H18)</f>
        <v>80162.06</v>
      </c>
      <c r="I19" s="41">
        <f>SUM(I9:I18)</f>
        <v>0</v>
      </c>
      <c r="J19" s="41">
        <f>SUM(J9:J18)</f>
        <v>90207.57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54420.21</v>
      </c>
      <c r="G22" s="18">
        <v>-149019.49</v>
      </c>
      <c r="H22" s="18">
        <v>-22364.5</v>
      </c>
      <c r="I22" s="18">
        <v>-1690.72</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142837.35999999999</v>
      </c>
      <c r="G24" s="18">
        <v>104884.35</v>
      </c>
      <c r="H24" s="18">
        <v>-89.95</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38401.69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-15900</v>
      </c>
      <c r="G31" s="18">
        <v>-43566.11</v>
      </c>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219759.25999999998</v>
      </c>
      <c r="G32" s="41">
        <f>SUM(G22:G31)</f>
        <v>-87701.249999999985</v>
      </c>
      <c r="H32" s="41">
        <f>SUM(H22:H31)</f>
        <v>-22454.45</v>
      </c>
      <c r="I32" s="41">
        <f>SUM(I22:I31)</f>
        <v>-1690.72</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13391.06</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87768.35+25602.36</f>
        <v>113370.71</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f>331272.01+14610.69</f>
        <v>345882.7</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102616.51</v>
      </c>
      <c r="I48" s="18"/>
      <c r="J48" s="13">
        <f>SUM(I459)</f>
        <v>90207.57</v>
      </c>
      <c r="K48" s="24" t="s">
        <v>288</v>
      </c>
      <c r="L48" s="24" t="s">
        <v>288</v>
      </c>
      <c r="M48" s="8"/>
      <c r="N48" s="266"/>
    </row>
    <row r="49" spans="1:14" s="3" customFormat="1" ht="12.2" customHeight="1" x14ac:dyDescent="0.15">
      <c r="A49" s="1" t="s">
        <v>859</v>
      </c>
      <c r="B49" s="2" t="s">
        <v>289</v>
      </c>
      <c r="C49" s="6">
        <v>34</v>
      </c>
      <c r="D49" s="2"/>
      <c r="E49" s="6">
        <v>753</v>
      </c>
      <c r="F49" s="18"/>
      <c r="G49" s="18"/>
      <c r="H49" s="18"/>
      <c r="I49" s="18">
        <f>14410-1223.28-11496</f>
        <v>1690.7199999999993</v>
      </c>
      <c r="J49" s="13">
        <f>I454</f>
        <v>0</v>
      </c>
      <c r="K49" s="24"/>
      <c r="L49" s="24"/>
      <c r="M49" s="8"/>
      <c r="N49" s="266"/>
    </row>
    <row r="50" spans="1:14" s="3" customFormat="1" ht="12.2" customHeight="1" thickBot="1" x14ac:dyDescent="0.2">
      <c r="A50" s="29" t="s">
        <v>840</v>
      </c>
      <c r="B50" s="2" t="s">
        <v>289</v>
      </c>
      <c r="C50" s="71">
        <v>35</v>
      </c>
      <c r="D50" s="2" t="s">
        <v>653</v>
      </c>
      <c r="E50" s="6">
        <v>770</v>
      </c>
      <c r="F50" s="18">
        <f>602892.22+316405.81-14610.69</f>
        <v>904687.34000000008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1263961.1000000001</v>
      </c>
      <c r="G51" s="41">
        <f>SUM(G35:G50)</f>
        <v>113370.71</v>
      </c>
      <c r="H51" s="41">
        <f>SUM(H35:H50)</f>
        <v>102616.51</v>
      </c>
      <c r="I51" s="41">
        <f>SUM(I35:I50)</f>
        <v>1690.7199999999993</v>
      </c>
      <c r="J51" s="41">
        <f>SUM(J35:J50)</f>
        <v>90207.57</v>
      </c>
      <c r="K51" s="45" t="s">
        <v>288</v>
      </c>
      <c r="L51" s="45" t="s">
        <v>288</v>
      </c>
      <c r="N51" s="264"/>
    </row>
    <row r="52" spans="1:14" s="3" customFormat="1" ht="12.2" customHeight="1" thickTop="1" x14ac:dyDescent="0.15">
      <c r="A52" s="38" t="s">
        <v>455</v>
      </c>
      <c r="B52" s="39" t="s">
        <v>289</v>
      </c>
      <c r="C52" s="6">
        <v>37</v>
      </c>
      <c r="D52" s="39" t="s">
        <v>653</v>
      </c>
      <c r="E52" s="39"/>
      <c r="F52" s="41">
        <f>F51+F32</f>
        <v>1483720.36</v>
      </c>
      <c r="G52" s="41">
        <f>G51+G32</f>
        <v>25669.460000000021</v>
      </c>
      <c r="H52" s="41">
        <f>H51+H32</f>
        <v>80162.06</v>
      </c>
      <c r="I52" s="41">
        <f>I51+I32</f>
        <v>0</v>
      </c>
      <c r="J52" s="41">
        <f>J51+J32</f>
        <v>90207.57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6644872+10897769</f>
        <v>17542641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17542641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240630.42</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1427759.48+2035218-99835</f>
        <v>3363142.48</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1535613.12</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5139386.0199999996</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46843.6</v>
      </c>
      <c r="G96" s="18"/>
      <c r="H96" s="18"/>
      <c r="I96" s="18"/>
      <c r="J96" s="18">
        <v>1764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687696.05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133576.35999999999</v>
      </c>
      <c r="G98" s="24" t="s">
        <v>288</v>
      </c>
      <c r="H98" s="18">
        <v>169315.4</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29569.75</v>
      </c>
      <c r="G101" s="18">
        <v>12933.08</v>
      </c>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100000</v>
      </c>
      <c r="G102" s="18"/>
      <c r="H102" s="18">
        <f>29371.2+100959.73</f>
        <v>130330.93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603</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2576.59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11746.79</v>
      </c>
      <c r="G110" s="18">
        <v>1137.51</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324916.08999999997</v>
      </c>
      <c r="G111" s="41">
        <f>SUM(G96:G110)</f>
        <v>701766.64</v>
      </c>
      <c r="H111" s="41">
        <f>SUM(H96:H110)</f>
        <v>299646.32999999996</v>
      </c>
      <c r="I111" s="41">
        <f>SUM(I96:I110)</f>
        <v>0</v>
      </c>
      <c r="J111" s="41">
        <f>SUM(J96:J110)</f>
        <v>1764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23006943.109999999</v>
      </c>
      <c r="G112" s="41">
        <f>G60+G111</f>
        <v>701766.64</v>
      </c>
      <c r="H112" s="41">
        <f>H60+H79+H94+H111</f>
        <v>299646.32999999996</v>
      </c>
      <c r="I112" s="41">
        <f>I60+I111</f>
        <v>0</v>
      </c>
      <c r="J112" s="41">
        <f>J60+J111</f>
        <v>1764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2937539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2937539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404588.39</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9846.5400000000009</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f>16205.76+722.4</f>
        <v>16928.16</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431363.08999999997</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3368902.09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61983.56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45801.36+41925.99</f>
        <v>87727.35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229612.14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0</v>
      </c>
      <c r="G162" s="41">
        <f>SUM(G150:G161)</f>
        <v>0</v>
      </c>
      <c r="H162" s="41">
        <f>SUM(H150:H161)</f>
        <v>379323.05000000005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0</v>
      </c>
      <c r="G169" s="41">
        <f>G147+G162+SUM(G163:G168)</f>
        <v>0</v>
      </c>
      <c r="H169" s="41">
        <f>H147+H162+SUM(H163:H168)</f>
        <v>379323.05000000005</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49007.91</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49007.91</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49007.91</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26375845.199999999</v>
      </c>
      <c r="G193" s="47">
        <f>G112+G140+G169+G192</f>
        <v>750774.55</v>
      </c>
      <c r="H193" s="47">
        <f>H112+H140+H169+H192</f>
        <v>678969.38</v>
      </c>
      <c r="I193" s="47">
        <f>I112+I140+I169+I192</f>
        <v>0</v>
      </c>
      <c r="J193" s="47">
        <f>J112+J140+J192</f>
        <v>1764</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2653883.9500000002</v>
      </c>
      <c r="G197" s="18">
        <v>970782.98</v>
      </c>
      <c r="H197" s="18">
        <v>60725.82</v>
      </c>
      <c r="I197" s="18">
        <v>76694.38</v>
      </c>
      <c r="J197" s="18">
        <v>116854.41</v>
      </c>
      <c r="K197" s="18">
        <v>-2036.48</v>
      </c>
      <c r="L197" s="19">
        <f>SUM(F197:K197)</f>
        <v>3876905.06</v>
      </c>
      <c r="M197" s="8"/>
      <c r="N197" s="266"/>
    </row>
    <row r="198" spans="1:14" s="3" customFormat="1" ht="12.2" customHeight="1" x14ac:dyDescent="0.15">
      <c r="A198" s="1" t="s">
        <v>439</v>
      </c>
      <c r="B198" s="2" t="s">
        <v>341</v>
      </c>
      <c r="C198" s="2" t="s">
        <v>291</v>
      </c>
      <c r="D198" s="2" t="s">
        <v>431</v>
      </c>
      <c r="E198" s="6">
        <v>1200</v>
      </c>
      <c r="F198" s="18">
        <v>871017.75</v>
      </c>
      <c r="G198" s="18">
        <v>535663.05000000005</v>
      </c>
      <c r="H198" s="18">
        <v>16910.150000000001</v>
      </c>
      <c r="I198" s="18">
        <v>5302.92</v>
      </c>
      <c r="J198" s="18">
        <v>408.18</v>
      </c>
      <c r="K198" s="18"/>
      <c r="L198" s="19">
        <f>SUM(F198:K198)</f>
        <v>1429302.0499999998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29694.94</v>
      </c>
      <c r="G200" s="18">
        <v>3762.08</v>
      </c>
      <c r="H200" s="18">
        <v>5854.4</v>
      </c>
      <c r="I200" s="18"/>
      <c r="J200" s="18"/>
      <c r="K200" s="18"/>
      <c r="L200" s="19">
        <f>SUM(F200:K200)</f>
        <v>39311.42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227221.92</v>
      </c>
      <c r="G202" s="18">
        <v>123003.05</v>
      </c>
      <c r="H202" s="18">
        <v>1470.28</v>
      </c>
      <c r="I202" s="18">
        <v>3554.18</v>
      </c>
      <c r="J202" s="18"/>
      <c r="K202" s="18">
        <v>105</v>
      </c>
      <c r="L202" s="19">
        <f t="shared" ref="L202:L208" si="0">SUM(F202:K202)</f>
        <v>355354.43000000005</v>
      </c>
      <c r="M202" s="8"/>
      <c r="N202" s="266"/>
    </row>
    <row r="203" spans="1:14" s="3" customFormat="1" ht="12.2" customHeight="1" x14ac:dyDescent="0.15">
      <c r="A203" s="1" t="s">
        <v>443</v>
      </c>
      <c r="B203" s="2" t="s">
        <v>341</v>
      </c>
      <c r="C203" s="2" t="s">
        <v>295</v>
      </c>
      <c r="D203" s="2" t="s">
        <v>431</v>
      </c>
      <c r="E203" s="6">
        <v>2200</v>
      </c>
      <c r="F203" s="18">
        <v>108612.48</v>
      </c>
      <c r="G203" s="18">
        <v>120637.84</v>
      </c>
      <c r="H203" s="18">
        <v>13351.24</v>
      </c>
      <c r="I203" s="18">
        <v>29291.29</v>
      </c>
      <c r="J203" s="18">
        <v>2861.88</v>
      </c>
      <c r="K203" s="18"/>
      <c r="L203" s="19">
        <f t="shared" si="0"/>
        <v>274754.73</v>
      </c>
      <c r="M203" s="8"/>
      <c r="N203" s="266"/>
    </row>
    <row r="204" spans="1:14" s="3" customFormat="1" ht="12.2" customHeight="1" x14ac:dyDescent="0.15">
      <c r="A204" s="1" t="s">
        <v>444</v>
      </c>
      <c r="B204" s="2" t="s">
        <v>341</v>
      </c>
      <c r="C204" s="2" t="s">
        <v>296</v>
      </c>
      <c r="D204" s="2" t="s">
        <v>431</v>
      </c>
      <c r="E204" s="6">
        <v>2300</v>
      </c>
      <c r="F204" s="18">
        <v>4430.09</v>
      </c>
      <c r="G204" s="18">
        <v>354.69</v>
      </c>
      <c r="H204" s="18">
        <v>329566.26</v>
      </c>
      <c r="I204" s="18"/>
      <c r="J204" s="18"/>
      <c r="K204" s="18">
        <v>5690.55</v>
      </c>
      <c r="L204" s="19">
        <f t="shared" si="0"/>
        <v>340041.59</v>
      </c>
      <c r="M204" s="8"/>
      <c r="N204" s="266"/>
    </row>
    <row r="205" spans="1:14" s="3" customFormat="1" ht="12.2" customHeight="1" x14ac:dyDescent="0.15">
      <c r="A205" s="1" t="s">
        <v>445</v>
      </c>
      <c r="B205" s="2" t="s">
        <v>341</v>
      </c>
      <c r="C205" s="2" t="s">
        <v>297</v>
      </c>
      <c r="D205" s="2" t="s">
        <v>431</v>
      </c>
      <c r="E205" s="6">
        <v>2400</v>
      </c>
      <c r="F205" s="18">
        <v>342933.38</v>
      </c>
      <c r="G205" s="18">
        <v>227486.62</v>
      </c>
      <c r="H205" s="18">
        <v>26874.89</v>
      </c>
      <c r="I205" s="18">
        <v>2874.12</v>
      </c>
      <c r="J205" s="18"/>
      <c r="K205" s="18">
        <v>349</v>
      </c>
      <c r="L205" s="19">
        <f t="shared" si="0"/>
        <v>600518.01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316337.65000000002</v>
      </c>
      <c r="G207" s="18">
        <v>142844.75</v>
      </c>
      <c r="H207" s="18">
        <v>127446.77</v>
      </c>
      <c r="I207" s="18">
        <v>89680.54</v>
      </c>
      <c r="J207" s="18">
        <v>3673.63</v>
      </c>
      <c r="K207" s="18">
        <v>-13345.16</v>
      </c>
      <c r="L207" s="19">
        <f t="shared" si="0"/>
        <v>666638.18000000005</v>
      </c>
      <c r="M207" s="8"/>
      <c r="N207" s="266"/>
    </row>
    <row r="208" spans="1:14" s="3" customFormat="1" ht="12.2" customHeight="1" x14ac:dyDescent="0.15">
      <c r="A208" s="1" t="s">
        <v>448</v>
      </c>
      <c r="B208" s="2" t="s">
        <v>341</v>
      </c>
      <c r="C208" s="2" t="s">
        <v>300</v>
      </c>
      <c r="D208" s="2" t="s">
        <v>431</v>
      </c>
      <c r="E208" s="6">
        <v>2700</v>
      </c>
      <c r="F208" s="18"/>
      <c r="G208" s="18"/>
      <c r="H208" s="18">
        <v>17536.189999999999</v>
      </c>
      <c r="I208" s="18"/>
      <c r="J208" s="18"/>
      <c r="K208" s="18"/>
      <c r="L208" s="19">
        <f t="shared" si="0"/>
        <v>17536.189999999999</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4554132.16</v>
      </c>
      <c r="G211" s="41">
        <f t="shared" si="1"/>
        <v>2124535.06</v>
      </c>
      <c r="H211" s="41">
        <f t="shared" si="1"/>
        <v>599736</v>
      </c>
      <c r="I211" s="41">
        <f t="shared" si="1"/>
        <v>207397.43</v>
      </c>
      <c r="J211" s="41">
        <f t="shared" si="1"/>
        <v>123798.1</v>
      </c>
      <c r="K211" s="41">
        <f t="shared" si="1"/>
        <v>-9237.09</v>
      </c>
      <c r="L211" s="41">
        <f t="shared" si="1"/>
        <v>7600361.6599999992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4955619.49</v>
      </c>
      <c r="G233" s="18">
        <v>1862072.33</v>
      </c>
      <c r="H233" s="18">
        <v>98413.53</v>
      </c>
      <c r="I233" s="18">
        <v>127683.75</v>
      </c>
      <c r="J233" s="18">
        <v>186661.01</v>
      </c>
      <c r="K233" s="18">
        <v>9726.2199999999993</v>
      </c>
      <c r="L233" s="19">
        <f>SUM(F233:K233)</f>
        <v>7240176.3300000001</v>
      </c>
      <c r="M233" s="8"/>
      <c r="N233" s="266"/>
    </row>
    <row r="234" spans="1:14" s="3" customFormat="1" ht="12.2" customHeight="1" x14ac:dyDescent="0.15">
      <c r="A234" s="1" t="s">
        <v>439</v>
      </c>
      <c r="B234" s="2" t="s">
        <v>350</v>
      </c>
      <c r="C234" s="2" t="s">
        <v>291</v>
      </c>
      <c r="D234" s="2" t="s">
        <v>431</v>
      </c>
      <c r="E234" s="6">
        <v>1200</v>
      </c>
      <c r="F234" s="18">
        <v>814812.91</v>
      </c>
      <c r="G234" s="18">
        <v>434221.48</v>
      </c>
      <c r="H234" s="18">
        <v>29216.06</v>
      </c>
      <c r="I234" s="18">
        <v>2084.37</v>
      </c>
      <c r="J234" s="18"/>
      <c r="K234" s="18">
        <v>643</v>
      </c>
      <c r="L234" s="19">
        <f>SUM(F234:K234)</f>
        <v>1280977.8200000003</v>
      </c>
      <c r="M234" s="8"/>
      <c r="N234" s="266"/>
    </row>
    <row r="235" spans="1:14" s="3" customFormat="1" ht="12.2" customHeight="1" x14ac:dyDescent="0.15">
      <c r="A235" s="1" t="s">
        <v>440</v>
      </c>
      <c r="B235" s="2" t="s">
        <v>350</v>
      </c>
      <c r="C235" s="2" t="s">
        <v>292</v>
      </c>
      <c r="D235" s="2" t="s">
        <v>431</v>
      </c>
      <c r="E235" s="6">
        <v>1300</v>
      </c>
      <c r="F235" s="18"/>
      <c r="G235" s="18"/>
      <c r="H235" s="18">
        <v>89747.75</v>
      </c>
      <c r="I235" s="18"/>
      <c r="J235" s="18"/>
      <c r="K235" s="18"/>
      <c r="L235" s="19">
        <f>SUM(F235:K235)</f>
        <v>89747.75</v>
      </c>
      <c r="M235" s="8"/>
      <c r="N235" s="266"/>
    </row>
    <row r="236" spans="1:14" s="3" customFormat="1" ht="12.2" customHeight="1" x14ac:dyDescent="0.15">
      <c r="A236" s="1" t="s">
        <v>441</v>
      </c>
      <c r="B236" s="2" t="s">
        <v>350</v>
      </c>
      <c r="C236" s="2" t="s">
        <v>293</v>
      </c>
      <c r="D236" s="2" t="s">
        <v>431</v>
      </c>
      <c r="E236" s="6">
        <v>1400</v>
      </c>
      <c r="F236" s="18">
        <v>489266.17</v>
      </c>
      <c r="G236" s="18">
        <v>140643.69</v>
      </c>
      <c r="H236" s="18">
        <v>182754.35</v>
      </c>
      <c r="I236" s="18">
        <v>10482.58</v>
      </c>
      <c r="J236" s="18">
        <v>32269.49</v>
      </c>
      <c r="K236" s="18">
        <v>7045.88</v>
      </c>
      <c r="L236" s="19">
        <f>SUM(F236:K236)</f>
        <v>862462.15999999992</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732884.88</v>
      </c>
      <c r="G238" s="18">
        <v>268082.92</v>
      </c>
      <c r="H238" s="18">
        <v>16594.87</v>
      </c>
      <c r="I238" s="18">
        <v>7006.93</v>
      </c>
      <c r="J238" s="18"/>
      <c r="K238" s="18">
        <v>680</v>
      </c>
      <c r="L238" s="19">
        <f t="shared" ref="L238:L244" si="4">SUM(F238:K238)</f>
        <v>1025249.6000000001</v>
      </c>
      <c r="M238" s="8"/>
      <c r="N238" s="266"/>
    </row>
    <row r="239" spans="1:14" s="3" customFormat="1" ht="12.2" customHeight="1" x14ac:dyDescent="0.15">
      <c r="A239" s="1" t="s">
        <v>443</v>
      </c>
      <c r="B239" s="2" t="s">
        <v>350</v>
      </c>
      <c r="C239" s="2" t="s">
        <v>295</v>
      </c>
      <c r="D239" s="2" t="s">
        <v>431</v>
      </c>
      <c r="E239" s="6">
        <v>2200</v>
      </c>
      <c r="F239" s="18">
        <v>138830.32999999999</v>
      </c>
      <c r="G239" s="18">
        <v>141101.29</v>
      </c>
      <c r="H239" s="18">
        <v>31725.279999999999</v>
      </c>
      <c r="I239" s="18">
        <v>68704.149999999994</v>
      </c>
      <c r="J239" s="18">
        <v>41544.949999999997</v>
      </c>
      <c r="K239" s="18">
        <v>832</v>
      </c>
      <c r="L239" s="19">
        <f t="shared" si="4"/>
        <v>422738.00000000006</v>
      </c>
      <c r="M239" s="8"/>
      <c r="N239" s="266"/>
    </row>
    <row r="240" spans="1:14" s="3" customFormat="1" ht="12.2" customHeight="1" x14ac:dyDescent="0.15">
      <c r="A240" s="1" t="s">
        <v>444</v>
      </c>
      <c r="B240" s="2" t="s">
        <v>350</v>
      </c>
      <c r="C240" s="2" t="s">
        <v>296</v>
      </c>
      <c r="D240" s="2" t="s">
        <v>431</v>
      </c>
      <c r="E240" s="6">
        <v>2300</v>
      </c>
      <c r="F240" s="18">
        <v>8848.41</v>
      </c>
      <c r="G240" s="18">
        <v>708.43</v>
      </c>
      <c r="H240" s="18">
        <v>658256.04</v>
      </c>
      <c r="I240" s="18"/>
      <c r="J240" s="18"/>
      <c r="K240" s="18">
        <v>11365.98</v>
      </c>
      <c r="L240" s="19">
        <f t="shared" si="4"/>
        <v>679178.86</v>
      </c>
      <c r="M240" s="8"/>
      <c r="N240" s="266"/>
    </row>
    <row r="241" spans="1:14" s="3" customFormat="1" ht="12.2" customHeight="1" x14ac:dyDescent="0.15">
      <c r="A241" s="1" t="s">
        <v>445</v>
      </c>
      <c r="B241" s="2" t="s">
        <v>350</v>
      </c>
      <c r="C241" s="2" t="s">
        <v>297</v>
      </c>
      <c r="D241" s="2" t="s">
        <v>431</v>
      </c>
      <c r="E241" s="6">
        <v>2400</v>
      </c>
      <c r="F241" s="18">
        <v>854286.29</v>
      </c>
      <c r="G241" s="18">
        <v>598272.68000000005</v>
      </c>
      <c r="H241" s="18">
        <v>94121.02</v>
      </c>
      <c r="I241" s="18">
        <v>19073.189999999999</v>
      </c>
      <c r="J241" s="18">
        <v>568.02</v>
      </c>
      <c r="K241" s="18">
        <v>3975</v>
      </c>
      <c r="L241" s="19">
        <f t="shared" si="4"/>
        <v>1570296.2000000002</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526482.66</v>
      </c>
      <c r="G243" s="18">
        <v>254109.01</v>
      </c>
      <c r="H243" s="18">
        <v>280124.14</v>
      </c>
      <c r="I243" s="18">
        <v>238792.12</v>
      </c>
      <c r="J243" s="18">
        <v>13079.77</v>
      </c>
      <c r="K243" s="18">
        <v>-26654.84</v>
      </c>
      <c r="L243" s="19">
        <f t="shared" si="4"/>
        <v>1285932.8600000001</v>
      </c>
      <c r="M243" s="8"/>
      <c r="N243" s="266"/>
    </row>
    <row r="244" spans="1:14" s="3" customFormat="1" ht="12.2" customHeight="1" x14ac:dyDescent="0.15">
      <c r="A244" s="1" t="s">
        <v>448</v>
      </c>
      <c r="B244" s="2" t="s">
        <v>350</v>
      </c>
      <c r="C244" s="2" t="s">
        <v>300</v>
      </c>
      <c r="D244" s="2" t="s">
        <v>431</v>
      </c>
      <c r="E244" s="6">
        <v>2700</v>
      </c>
      <c r="F244" s="18"/>
      <c r="G244" s="18"/>
      <c r="H244" s="18">
        <v>148606.51</v>
      </c>
      <c r="I244" s="18"/>
      <c r="J244" s="18">
        <v>23288.2</v>
      </c>
      <c r="K244" s="18">
        <v>52977.67</v>
      </c>
      <c r="L244" s="19">
        <f t="shared" si="4"/>
        <v>224872.38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8521031.1400000006</v>
      </c>
      <c r="G247" s="41">
        <f t="shared" si="5"/>
        <v>3699211.83</v>
      </c>
      <c r="H247" s="41">
        <f t="shared" si="5"/>
        <v>1629559.55</v>
      </c>
      <c r="I247" s="41">
        <f t="shared" si="5"/>
        <v>473827.08999999997</v>
      </c>
      <c r="J247" s="41">
        <f t="shared" si="5"/>
        <v>297411.44</v>
      </c>
      <c r="K247" s="41">
        <f t="shared" si="5"/>
        <v>60590.91</v>
      </c>
      <c r="L247" s="41">
        <f t="shared" si="5"/>
        <v>14681631.959999999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251033.56</v>
      </c>
      <c r="I255" s="18"/>
      <c r="J255" s="18"/>
      <c r="K255" s="18"/>
      <c r="L255" s="19">
        <f t="shared" si="6"/>
        <v>251033.56</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251033.56</v>
      </c>
      <c r="I256" s="41">
        <f t="shared" si="7"/>
        <v>0</v>
      </c>
      <c r="J256" s="41">
        <f t="shared" si="7"/>
        <v>0</v>
      </c>
      <c r="K256" s="41">
        <f t="shared" si="7"/>
        <v>0</v>
      </c>
      <c r="L256" s="41">
        <f>SUM(F256:K256)</f>
        <v>251033.56</v>
      </c>
      <c r="M256" s="8"/>
      <c r="N256" s="266"/>
    </row>
    <row r="257" spans="1:14" s="3" customFormat="1" ht="12.2" customHeight="1" thickTop="1" x14ac:dyDescent="0.15">
      <c r="A257" s="38" t="s">
        <v>462</v>
      </c>
      <c r="B257" s="40">
        <v>10</v>
      </c>
      <c r="C257" s="40">
        <v>8</v>
      </c>
      <c r="D257" s="39" t="s">
        <v>431</v>
      </c>
      <c r="E257" s="40"/>
      <c r="F257" s="41">
        <f t="shared" ref="F257:L257" si="8">F211+F229+F247+F256</f>
        <v>13075163.300000001</v>
      </c>
      <c r="G257" s="41">
        <f t="shared" si="8"/>
        <v>5823746.8900000006</v>
      </c>
      <c r="H257" s="41">
        <f t="shared" si="8"/>
        <v>2480329.11</v>
      </c>
      <c r="I257" s="41">
        <f t="shared" si="8"/>
        <v>681224.52</v>
      </c>
      <c r="J257" s="41">
        <f t="shared" si="8"/>
        <v>421209.54000000004</v>
      </c>
      <c r="K257" s="41">
        <f t="shared" si="8"/>
        <v>51353.820000000007</v>
      </c>
      <c r="L257" s="41">
        <f t="shared" si="8"/>
        <v>22533027.179999996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1825363.78</v>
      </c>
      <c r="L260" s="19">
        <f>SUM(F260:K260)</f>
        <v>1825363.78</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1652040.52</v>
      </c>
      <c r="L261" s="19">
        <f>SUM(F261:K261)</f>
        <v>1652040.52</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49007.91</v>
      </c>
      <c r="L263" s="19">
        <f>SUM(F263:K263)</f>
        <v>49007.91</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3526412.21</v>
      </c>
      <c r="L270" s="41">
        <f t="shared" si="9"/>
        <v>3526412.21</v>
      </c>
      <c r="N270" s="264"/>
    </row>
    <row r="271" spans="1:14" s="3" customFormat="1" ht="12.2" customHeight="1" thickTop="1" x14ac:dyDescent="0.2">
      <c r="A271" s="43" t="s">
        <v>464</v>
      </c>
      <c r="B271" s="40">
        <v>10</v>
      </c>
      <c r="C271" s="40">
        <v>18</v>
      </c>
      <c r="D271" s="39" t="s">
        <v>431</v>
      </c>
      <c r="E271" s="40"/>
      <c r="F271" s="42">
        <f t="shared" ref="F271:L271" si="11">F257+F270</f>
        <v>13075163.300000001</v>
      </c>
      <c r="G271" s="42">
        <f t="shared" si="11"/>
        <v>5823746.8900000006</v>
      </c>
      <c r="H271" s="42">
        <f t="shared" si="11"/>
        <v>2480329.11</v>
      </c>
      <c r="I271" s="42">
        <f t="shared" si="11"/>
        <v>681224.52</v>
      </c>
      <c r="J271" s="42">
        <f t="shared" si="11"/>
        <v>421209.54000000004</v>
      </c>
      <c r="K271" s="42">
        <f t="shared" si="11"/>
        <v>3577766.03</v>
      </c>
      <c r="L271" s="42">
        <f t="shared" si="11"/>
        <v>26059439.389999997</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33778.82</v>
      </c>
      <c r="G276" s="18">
        <v>16482.47</v>
      </c>
      <c r="H276" s="18">
        <v>22781.17</v>
      </c>
      <c r="I276" s="18">
        <v>375</v>
      </c>
      <c r="J276" s="18">
        <v>1279.99</v>
      </c>
      <c r="K276" s="18"/>
      <c r="L276" s="19">
        <f>SUM(F276:K276)</f>
        <v>74697.45</v>
      </c>
      <c r="M276" s="8"/>
      <c r="N276" s="266"/>
    </row>
    <row r="277" spans="1:14" s="3" customFormat="1" ht="12.2" customHeight="1" x14ac:dyDescent="0.15">
      <c r="A277" s="1" t="s">
        <v>439</v>
      </c>
      <c r="B277" s="2" t="s">
        <v>357</v>
      </c>
      <c r="C277" s="2" t="s">
        <v>291</v>
      </c>
      <c r="D277" s="2" t="s">
        <v>431</v>
      </c>
      <c r="E277" s="6">
        <v>1200</v>
      </c>
      <c r="F277" s="18">
        <v>104768</v>
      </c>
      <c r="G277" s="18"/>
      <c r="H277" s="18"/>
      <c r="I277" s="18"/>
      <c r="J277" s="18">
        <v>6364.45</v>
      </c>
      <c r="K277" s="18"/>
      <c r="L277" s="19">
        <f>SUM(F277:K277)</f>
        <v>111132.45</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138546.82</v>
      </c>
      <c r="G290" s="42">
        <f t="shared" si="13"/>
        <v>16482.47</v>
      </c>
      <c r="H290" s="42">
        <f t="shared" si="13"/>
        <v>22781.17</v>
      </c>
      <c r="I290" s="42">
        <f t="shared" si="13"/>
        <v>375</v>
      </c>
      <c r="J290" s="42">
        <f t="shared" si="13"/>
        <v>7644.44</v>
      </c>
      <c r="K290" s="42">
        <f t="shared" si="13"/>
        <v>0</v>
      </c>
      <c r="L290" s="41">
        <f t="shared" si="13"/>
        <v>185829.9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37111</v>
      </c>
      <c r="G314" s="18">
        <v>6400.05</v>
      </c>
      <c r="H314" s="18">
        <v>279006.21000000002</v>
      </c>
      <c r="I314" s="18">
        <v>643.54999999999995</v>
      </c>
      <c r="J314" s="18">
        <v>38531.370000000003</v>
      </c>
      <c r="K314" s="18"/>
      <c r="L314" s="19">
        <f>SUM(F314:K314)</f>
        <v>361692.18</v>
      </c>
      <c r="M314" s="8"/>
      <c r="N314" s="266"/>
    </row>
    <row r="315" spans="1:14" s="3" customFormat="1" ht="12.2" customHeight="1" x14ac:dyDescent="0.15">
      <c r="A315" s="1" t="s">
        <v>439</v>
      </c>
      <c r="B315" s="2" t="s">
        <v>359</v>
      </c>
      <c r="C315" s="2" t="s">
        <v>291</v>
      </c>
      <c r="D315" s="2" t="s">
        <v>431</v>
      </c>
      <c r="E315" s="6">
        <v>1200</v>
      </c>
      <c r="F315" s="18">
        <v>104769</v>
      </c>
      <c r="G315" s="18">
        <v>6658.29</v>
      </c>
      <c r="H315" s="18">
        <v>4090</v>
      </c>
      <c r="I315" s="18">
        <v>470.4</v>
      </c>
      <c r="J315" s="18">
        <v>1142.05</v>
      </c>
      <c r="K315" s="18"/>
      <c r="L315" s="19">
        <f>SUM(F315:K315)</f>
        <v>117129.73999999999</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141880</v>
      </c>
      <c r="G328" s="42">
        <f t="shared" si="17"/>
        <v>13058.34</v>
      </c>
      <c r="H328" s="42">
        <f t="shared" si="17"/>
        <v>283096.21000000002</v>
      </c>
      <c r="I328" s="42">
        <f t="shared" si="17"/>
        <v>1113.9499999999998</v>
      </c>
      <c r="J328" s="42">
        <f t="shared" si="17"/>
        <v>39673.420000000006</v>
      </c>
      <c r="K328" s="42">
        <f t="shared" si="17"/>
        <v>0</v>
      </c>
      <c r="L328" s="41">
        <f t="shared" si="17"/>
        <v>478821.92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280426.82</v>
      </c>
      <c r="G338" s="41">
        <f t="shared" si="20"/>
        <v>29540.81</v>
      </c>
      <c r="H338" s="41">
        <f t="shared" si="20"/>
        <v>305877.38</v>
      </c>
      <c r="I338" s="41">
        <f t="shared" si="20"/>
        <v>1488.9499999999998</v>
      </c>
      <c r="J338" s="41">
        <f t="shared" si="20"/>
        <v>47317.860000000008</v>
      </c>
      <c r="K338" s="41">
        <f t="shared" si="20"/>
        <v>0</v>
      </c>
      <c r="L338" s="41">
        <f t="shared" si="20"/>
        <v>664651.81999999995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280426.82</v>
      </c>
      <c r="G352" s="41">
        <f>G338</f>
        <v>29540.81</v>
      </c>
      <c r="H352" s="41">
        <f>H338</f>
        <v>305877.38</v>
      </c>
      <c r="I352" s="41">
        <f>I338</f>
        <v>1488.9499999999998</v>
      </c>
      <c r="J352" s="41">
        <f>J338</f>
        <v>47317.860000000008</v>
      </c>
      <c r="K352" s="47">
        <f>K338+K351</f>
        <v>0</v>
      </c>
      <c r="L352" s="41">
        <f>L338+L351</f>
        <v>664651.81999999995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74206.59</v>
      </c>
      <c r="G358" s="18">
        <v>30750.639999999999</v>
      </c>
      <c r="H358" s="18">
        <f>8442.68+93.96</f>
        <v>8536.64</v>
      </c>
      <c r="I358" s="18">
        <v>127592.21</v>
      </c>
      <c r="J358" s="18">
        <v>169.98</v>
      </c>
      <c r="K358" s="18"/>
      <c r="L358" s="13">
        <f>SUM(F358:K358)</f>
        <v>241256.06000000003</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f>12505.2+389188</f>
        <v>401693.2</v>
      </c>
      <c r="I360" s="18"/>
      <c r="J360" s="18">
        <v>552.89</v>
      </c>
      <c r="K360" s="18"/>
      <c r="L360" s="19">
        <f>SUM(F360:K360)</f>
        <v>402246.09</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74206.59</v>
      </c>
      <c r="G362" s="47">
        <f t="shared" si="22"/>
        <v>30750.639999999999</v>
      </c>
      <c r="H362" s="47">
        <f t="shared" si="22"/>
        <v>410229.84</v>
      </c>
      <c r="I362" s="47">
        <f t="shared" si="22"/>
        <v>127592.21</v>
      </c>
      <c r="J362" s="47">
        <f t="shared" si="22"/>
        <v>722.87</v>
      </c>
      <c r="K362" s="47">
        <f t="shared" si="22"/>
        <v>0</v>
      </c>
      <c r="L362" s="47">
        <f t="shared" si="22"/>
        <v>643502.15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122154.7</v>
      </c>
      <c r="G367" s="18"/>
      <c r="H367" s="18"/>
      <c r="I367" s="56">
        <f>SUM(F367:H367)</f>
        <v>122154.7</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5437.51</v>
      </c>
      <c r="G368" s="63"/>
      <c r="H368" s="63"/>
      <c r="I368" s="56">
        <f>SUM(F368:H368)</f>
        <v>5437.51</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127592.20999999999</v>
      </c>
      <c r="G369" s="47">
        <f>SUM(G367:G368)</f>
        <v>0</v>
      </c>
      <c r="H369" s="47">
        <f>SUM(H367:H368)</f>
        <v>0</v>
      </c>
      <c r="I369" s="47">
        <f>SUM(I367:I368)</f>
        <v>127592.20999999999</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v>11496</v>
      </c>
      <c r="I375" s="18"/>
      <c r="J375" s="18"/>
      <c r="K375" s="18"/>
      <c r="L375" s="13">
        <f t="shared" ref="L375:L381" si="23">SUM(F375:K375)</f>
        <v>11496</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11496</v>
      </c>
      <c r="I382" s="41">
        <f t="shared" si="24"/>
        <v>0</v>
      </c>
      <c r="J382" s="47">
        <f t="shared" si="24"/>
        <v>0</v>
      </c>
      <c r="K382" s="47">
        <f t="shared" si="24"/>
        <v>0</v>
      </c>
      <c r="L382" s="47">
        <f t="shared" si="24"/>
        <v>11496</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f>2403-639</f>
        <v>1764</v>
      </c>
      <c r="I398" s="18"/>
      <c r="J398" s="24" t="s">
        <v>288</v>
      </c>
      <c r="K398" s="24" t="s">
        <v>288</v>
      </c>
      <c r="L398" s="56">
        <f t="shared" si="26"/>
        <v>1764</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1764</v>
      </c>
      <c r="I401" s="47">
        <f>SUM(I395:I400)</f>
        <v>0</v>
      </c>
      <c r="J401" s="45" t="s">
        <v>288</v>
      </c>
      <c r="K401" s="45" t="s">
        <v>288</v>
      </c>
      <c r="L401" s="47">
        <f>SUM(L395:L400)</f>
        <v>1764</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1764</v>
      </c>
      <c r="I408" s="47">
        <f>I393+I401+I407</f>
        <v>0</v>
      </c>
      <c r="J408" s="24" t="s">
        <v>288</v>
      </c>
      <c r="K408" s="24" t="s">
        <v>288</v>
      </c>
      <c r="L408" s="47">
        <f>L393+L401+L407</f>
        <v>1764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56125.57</v>
      </c>
      <c r="G439" s="18">
        <v>34082</v>
      </c>
      <c r="H439" s="18"/>
      <c r="I439" s="56">
        <f t="shared" ref="I439:I445" si="33">SUM(F439:H439)</f>
        <v>90207.57</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56125.57</v>
      </c>
      <c r="G446" s="13">
        <f>SUM(G439:G445)</f>
        <v>34082</v>
      </c>
      <c r="H446" s="13">
        <f>SUM(H439:H445)</f>
        <v>0</v>
      </c>
      <c r="I446" s="13">
        <f>SUM(I439:I445)</f>
        <v>90207.57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56125.57</v>
      </c>
      <c r="G459" s="18">
        <v>34082</v>
      </c>
      <c r="H459" s="18"/>
      <c r="I459" s="56">
        <f t="shared" si="34"/>
        <v>90207.57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56125.57</v>
      </c>
      <c r="G460" s="83">
        <f>SUM(G454:G459)</f>
        <v>34082</v>
      </c>
      <c r="H460" s="83">
        <f>SUM(H454:H459)</f>
        <v>0</v>
      </c>
      <c r="I460" s="83">
        <f>SUM(I454:I459)</f>
        <v>90207.57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56125.57</v>
      </c>
      <c r="G461" s="42">
        <f>G452+G460</f>
        <v>34082</v>
      </c>
      <c r="H461" s="42">
        <f>H452+H460</f>
        <v>0</v>
      </c>
      <c r="I461" s="42">
        <f>I452+I460</f>
        <v>90207.57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1220320.6499999999</v>
      </c>
      <c r="G465" s="18">
        <v>6098.31</v>
      </c>
      <c r="H465" s="18">
        <v>99681.09</v>
      </c>
      <c r="I465" s="18">
        <v>13186.72</v>
      </c>
      <c r="J465" s="18">
        <v>88442.57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26375845.199999999</v>
      </c>
      <c r="G468" s="18">
        <f>725172.19+25602.36</f>
        <v>750774.54999999993</v>
      </c>
      <c r="H468" s="18">
        <v>678969.38</v>
      </c>
      <c r="I468" s="18">
        <v>0</v>
      </c>
      <c r="J468" s="18">
        <f>2403-639</f>
        <v>1764</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v>1</v>
      </c>
      <c r="K469" s="24" t="s">
        <v>288</v>
      </c>
      <c r="L469" s="24" t="s">
        <v>288</v>
      </c>
      <c r="N469" s="265"/>
    </row>
    <row r="470" spans="1:14" s="52" customFormat="1" ht="12.2" customHeight="1" x14ac:dyDescent="0.2">
      <c r="A470" s="92" t="s">
        <v>425</v>
      </c>
      <c r="B470" s="75">
        <v>19</v>
      </c>
      <c r="C470" s="80">
        <v>4</v>
      </c>
      <c r="D470" s="2" t="s">
        <v>432</v>
      </c>
      <c r="E470" s="80"/>
      <c r="F470" s="53">
        <f>SUM(F468:F469)</f>
        <v>26375845.199999999</v>
      </c>
      <c r="G470" s="53">
        <f>SUM(G468:G469)</f>
        <v>750774.54999999993</v>
      </c>
      <c r="H470" s="53">
        <f>SUM(H468:H469)</f>
        <v>678969.38</v>
      </c>
      <c r="I470" s="53">
        <f>SUM(I468:I469)</f>
        <v>0</v>
      </c>
      <c r="J470" s="53">
        <f>SUM(J468:J469)</f>
        <v>1765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26059439.390000001</v>
      </c>
      <c r="G472" s="18">
        <v>643502.15</v>
      </c>
      <c r="H472" s="18">
        <v>664651.81999999995</v>
      </c>
      <c r="I472" s="18">
        <v>11496</v>
      </c>
      <c r="J472" s="18"/>
      <c r="K472" s="24" t="s">
        <v>288</v>
      </c>
      <c r="L472" s="24" t="s">
        <v>288</v>
      </c>
      <c r="N472" s="265"/>
    </row>
    <row r="473" spans="1:14" s="52" customFormat="1" ht="12.2" customHeight="1" x14ac:dyDescent="0.2">
      <c r="A473" s="93" t="s">
        <v>613</v>
      </c>
      <c r="B473" s="75">
        <v>19</v>
      </c>
      <c r="C473" s="80">
        <v>6</v>
      </c>
      <c r="D473" s="2" t="s">
        <v>432</v>
      </c>
      <c r="E473" s="80"/>
      <c r="F473" s="18">
        <v>272765.36</v>
      </c>
      <c r="G473" s="18"/>
      <c r="H473" s="18">
        <v>11382.14</v>
      </c>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26332204.75</v>
      </c>
      <c r="G474" s="53">
        <f>SUM(G472:G473)</f>
        <v>643502.15</v>
      </c>
      <c r="H474" s="53">
        <f>SUM(H472:H473)</f>
        <v>676033.96</v>
      </c>
      <c r="I474" s="53">
        <f>SUM(I472:I473)</f>
        <v>11496</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1263961.0999999978</v>
      </c>
      <c r="G476" s="53">
        <f>(G465+G470)- G474</f>
        <v>113370.70999999996</v>
      </c>
      <c r="H476" s="53">
        <f>(H465+H470)- H474</f>
        <v>102616.51000000001</v>
      </c>
      <c r="I476" s="53">
        <f>(I465+I470)- I474</f>
        <v>1690.7199999999993</v>
      </c>
      <c r="J476" s="53">
        <f>(J465+J470)- J474</f>
        <v>90207.57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1619</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1618</v>
      </c>
      <c r="B483" s="112"/>
      <c r="C483" s="112"/>
      <c r="D483" s="112"/>
      <c r="E483" s="112"/>
      <c r="F483" s="112"/>
      <c r="G483" s="112"/>
      <c r="H483" s="112"/>
      <c r="I483" s="112" t="s">
        <v>18</v>
      </c>
      <c r="J483" s="112"/>
      <c r="K483" s="95"/>
      <c r="L483" s="95"/>
      <c r="N483" s="265"/>
    </row>
    <row r="484" spans="1:14" s="52" customFormat="1" ht="12.2" customHeight="1" x14ac:dyDescent="0.2">
      <c r="A484" s="174" t="s">
        <v>1618</v>
      </c>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v>20</v>
      </c>
      <c r="H490" s="154">
        <v>20</v>
      </c>
      <c r="I490" s="154">
        <v>20</v>
      </c>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t="s">
        <v>1612</v>
      </c>
      <c r="H491" s="155" t="s">
        <v>1614</v>
      </c>
      <c r="I491" s="155" t="s">
        <v>1616</v>
      </c>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t="s">
        <v>1613</v>
      </c>
      <c r="H492" s="155" t="s">
        <v>1615</v>
      </c>
      <c r="I492" s="155" t="s">
        <v>1617</v>
      </c>
      <c r="J492" s="154"/>
      <c r="K492" s="24" t="s">
        <v>288</v>
      </c>
      <c r="L492" s="24" t="s">
        <v>288</v>
      </c>
      <c r="N492" s="265"/>
    </row>
    <row r="493" spans="1:14" s="52" customFormat="1" ht="12.2" customHeight="1" x14ac:dyDescent="0.2">
      <c r="A493" s="22" t="s">
        <v>617</v>
      </c>
      <c r="B493" s="75">
        <v>20</v>
      </c>
      <c r="C493" s="115">
        <v>4</v>
      </c>
      <c r="D493" s="2" t="s">
        <v>432</v>
      </c>
      <c r="E493" s="115"/>
      <c r="F493" s="18">
        <v>2532900</v>
      </c>
      <c r="G493" s="18">
        <v>4000000</v>
      </c>
      <c r="H493" s="18">
        <v>38460936</v>
      </c>
      <c r="I493" s="18">
        <v>1100000</v>
      </c>
      <c r="J493" s="18"/>
      <c r="K493" s="24" t="s">
        <v>288</v>
      </c>
      <c r="L493" s="24" t="s">
        <v>288</v>
      </c>
      <c r="N493" s="265"/>
    </row>
    <row r="494" spans="1:14" s="52" customFormat="1" ht="12.2" customHeight="1" x14ac:dyDescent="0.2">
      <c r="A494" s="22" t="s">
        <v>618</v>
      </c>
      <c r="B494" s="75">
        <v>20</v>
      </c>
      <c r="C494" s="115">
        <v>5</v>
      </c>
      <c r="D494" s="2" t="s">
        <v>432</v>
      </c>
      <c r="E494" s="115"/>
      <c r="F494" s="18">
        <v>4.08</v>
      </c>
      <c r="G494" s="18">
        <v>4.47</v>
      </c>
      <c r="H494" s="18">
        <v>4.62</v>
      </c>
      <c r="I494" s="18">
        <v>4.71</v>
      </c>
      <c r="J494" s="18"/>
      <c r="K494" s="24" t="s">
        <v>288</v>
      </c>
      <c r="L494" s="24" t="s">
        <v>288</v>
      </c>
      <c r="N494" s="265"/>
    </row>
    <row r="495" spans="1:14" s="52" customFormat="1" ht="12.2" customHeight="1" x14ac:dyDescent="0.2">
      <c r="A495" s="22" t="s">
        <v>619</v>
      </c>
      <c r="B495" s="75">
        <v>20</v>
      </c>
      <c r="C495" s="115">
        <v>6</v>
      </c>
      <c r="D495" s="2" t="s">
        <v>432</v>
      </c>
      <c r="E495" s="115"/>
      <c r="F495" s="18">
        <v>879075</v>
      </c>
      <c r="G495" s="18">
        <f>854487+165481</f>
        <v>1019968</v>
      </c>
      <c r="H495" s="18">
        <f>6338902+1453720</f>
        <v>7792622</v>
      </c>
      <c r="I495" s="18">
        <f>165000+55000</f>
        <v>220000</v>
      </c>
      <c r="J495" s="18"/>
      <c r="K495" s="53">
        <f>SUM(F495:J495)</f>
        <v>9911665</v>
      </c>
      <c r="L495" s="24" t="s">
        <v>288</v>
      </c>
      <c r="N495" s="265"/>
    </row>
    <row r="496" spans="1:14" s="52" customFormat="1" ht="12.2" customHeight="1" x14ac:dyDescent="0.2">
      <c r="A496" s="22" t="s">
        <v>620</v>
      </c>
      <c r="B496" s="75">
        <v>20</v>
      </c>
      <c r="C496" s="115">
        <v>7</v>
      </c>
      <c r="D496" s="2" t="s">
        <v>432</v>
      </c>
      <c r="E496" s="115"/>
      <c r="F496" s="18">
        <v>0</v>
      </c>
      <c r="G496" s="18">
        <v>0</v>
      </c>
      <c r="H496" s="18">
        <v>0</v>
      </c>
      <c r="I496" s="18">
        <v>0</v>
      </c>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116275</v>
      </c>
      <c r="G497" s="18">
        <v>165481</v>
      </c>
      <c r="H497" s="18">
        <v>1453720</v>
      </c>
      <c r="I497" s="18">
        <v>55000</v>
      </c>
      <c r="J497" s="18"/>
      <c r="K497" s="53">
        <f t="shared" si="35"/>
        <v>1790476</v>
      </c>
      <c r="L497" s="24" t="s">
        <v>288</v>
      </c>
      <c r="N497" s="265"/>
    </row>
    <row r="498" spans="1:14" s="52" customFormat="1" ht="12.2" customHeight="1" x14ac:dyDescent="0.2">
      <c r="A498" s="200" t="s">
        <v>622</v>
      </c>
      <c r="B498" s="201">
        <v>20</v>
      </c>
      <c r="C498" s="202">
        <v>9</v>
      </c>
      <c r="D498" s="203" t="s">
        <v>432</v>
      </c>
      <c r="E498" s="202"/>
      <c r="F498" s="204">
        <v>762350</v>
      </c>
      <c r="G498" s="204">
        <v>854486</v>
      </c>
      <c r="H498" s="204">
        <v>6338902</v>
      </c>
      <c r="I498" s="204">
        <v>165000</v>
      </c>
      <c r="J498" s="204"/>
      <c r="K498" s="205">
        <f t="shared" si="35"/>
        <v>8120738</v>
      </c>
      <c r="L498" s="206" t="s">
        <v>288</v>
      </c>
      <c r="N498" s="265"/>
    </row>
    <row r="499" spans="1:14" s="52" customFormat="1" ht="12.2" customHeight="1" thickBot="1" x14ac:dyDescent="0.25">
      <c r="A499" s="22" t="s">
        <v>623</v>
      </c>
      <c r="B499" s="75">
        <v>20</v>
      </c>
      <c r="C499" s="115">
        <v>10</v>
      </c>
      <c r="D499" s="2" t="s">
        <v>432</v>
      </c>
      <c r="E499" s="115"/>
      <c r="F499" s="18">
        <v>716801</v>
      </c>
      <c r="G499" s="18">
        <v>994008</v>
      </c>
      <c r="H499" s="18">
        <v>8393498</v>
      </c>
      <c r="I499" s="18">
        <v>12375</v>
      </c>
      <c r="J499" s="18"/>
      <c r="K499" s="53">
        <f t="shared" si="35"/>
        <v>10116682</v>
      </c>
      <c r="L499" s="24" t="s">
        <v>288</v>
      </c>
      <c r="N499" s="265"/>
    </row>
    <row r="500" spans="1:14" s="52" customFormat="1" ht="12.2" customHeight="1" thickTop="1" x14ac:dyDescent="0.2">
      <c r="A500" s="139" t="s">
        <v>624</v>
      </c>
      <c r="B500" s="44">
        <v>20</v>
      </c>
      <c r="C500" s="195">
        <v>11</v>
      </c>
      <c r="D500" s="39" t="s">
        <v>432</v>
      </c>
      <c r="E500" s="195"/>
      <c r="F500" s="42">
        <f>SUM(F498:F499)</f>
        <v>1479151</v>
      </c>
      <c r="G500" s="42">
        <f>SUM(G498:G499)</f>
        <v>1848494</v>
      </c>
      <c r="H500" s="42">
        <f>SUM(H498:H499)</f>
        <v>14732400</v>
      </c>
      <c r="I500" s="42">
        <f>SUM(I498:I499)</f>
        <v>177375</v>
      </c>
      <c r="J500" s="42">
        <f>SUM(J498:J499)</f>
        <v>0</v>
      </c>
      <c r="K500" s="42">
        <f t="shared" si="35"/>
        <v>18237420</v>
      </c>
      <c r="L500" s="45" t="s">
        <v>288</v>
      </c>
      <c r="N500" s="265"/>
    </row>
    <row r="501" spans="1:14" s="52" customFormat="1" ht="12.2" customHeight="1" x14ac:dyDescent="0.2">
      <c r="A501" s="200" t="s">
        <v>651</v>
      </c>
      <c r="B501" s="201">
        <v>20</v>
      </c>
      <c r="C501" s="202">
        <v>12</v>
      </c>
      <c r="D501" s="203" t="s">
        <v>432</v>
      </c>
      <c r="E501" s="202"/>
      <c r="F501" s="204">
        <v>111169</v>
      </c>
      <c r="G501" s="204">
        <v>158643</v>
      </c>
      <c r="H501" s="204">
        <v>1387097</v>
      </c>
      <c r="I501" s="204">
        <v>55000</v>
      </c>
      <c r="J501" s="204"/>
      <c r="K501" s="205">
        <f t="shared" si="35"/>
        <v>1711909</v>
      </c>
      <c r="L501" s="206" t="s">
        <v>288</v>
      </c>
      <c r="N501" s="265"/>
    </row>
    <row r="502" spans="1:14" s="52" customFormat="1" ht="12.2" customHeight="1" thickBot="1" x14ac:dyDescent="0.25">
      <c r="A502" s="22" t="s">
        <v>625</v>
      </c>
      <c r="B502" s="75">
        <v>20</v>
      </c>
      <c r="C502" s="115">
        <v>13</v>
      </c>
      <c r="D502" s="2" t="s">
        <v>432</v>
      </c>
      <c r="E502" s="115"/>
      <c r="F502" s="18">
        <v>71987</v>
      </c>
      <c r="G502" s="18">
        <v>148420</v>
      </c>
      <c r="H502" s="18">
        <v>1557271</v>
      </c>
      <c r="I502" s="18">
        <v>6875</v>
      </c>
      <c r="J502" s="18"/>
      <c r="K502" s="53">
        <f t="shared" si="35"/>
        <v>1784553</v>
      </c>
      <c r="L502" s="24" t="s">
        <v>288</v>
      </c>
      <c r="N502" s="265"/>
    </row>
    <row r="503" spans="1:14" s="52" customFormat="1" ht="12.2" customHeight="1" thickTop="1" x14ac:dyDescent="0.2">
      <c r="A503" s="139" t="s">
        <v>626</v>
      </c>
      <c r="B503" s="44">
        <v>20</v>
      </c>
      <c r="C503" s="195">
        <v>14</v>
      </c>
      <c r="D503" s="39" t="s">
        <v>432</v>
      </c>
      <c r="E503" s="195"/>
      <c r="F503" s="42">
        <f>SUM(F501:F502)</f>
        <v>183156</v>
      </c>
      <c r="G503" s="42">
        <f>SUM(G501:G502)</f>
        <v>307063</v>
      </c>
      <c r="H503" s="42">
        <f>SUM(H501:H502)</f>
        <v>2944368</v>
      </c>
      <c r="I503" s="42">
        <f>SUM(I501:I502)</f>
        <v>61875</v>
      </c>
      <c r="J503" s="42">
        <f>SUM(J501:J502)</f>
        <v>0</v>
      </c>
      <c r="K503" s="42">
        <f t="shared" si="35"/>
        <v>3496462</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975785.75</v>
      </c>
      <c r="G521" s="18">
        <v>535663.05000000005</v>
      </c>
      <c r="H521" s="18">
        <v>16910.150000000001</v>
      </c>
      <c r="I521" s="18">
        <v>5577.42</v>
      </c>
      <c r="J521" s="18">
        <v>6772.63</v>
      </c>
      <c r="K521" s="18"/>
      <c r="L521" s="88">
        <f>SUM(F521:K521)</f>
        <v>1540708.9999999998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919581.91</v>
      </c>
      <c r="G523" s="18">
        <v>439504.77</v>
      </c>
      <c r="H523" s="18">
        <v>33306.06</v>
      </c>
      <c r="I523" s="18">
        <v>2754.77</v>
      </c>
      <c r="J523" s="18">
        <v>1142.05</v>
      </c>
      <c r="K523" s="18">
        <v>643</v>
      </c>
      <c r="L523" s="88">
        <f>SUM(F523:K523)</f>
        <v>1396932.5600000003</v>
      </c>
      <c r="N523" s="265"/>
    </row>
    <row r="524" spans="1:14" s="52" customFormat="1" ht="12.2" customHeight="1" thickTop="1" x14ac:dyDescent="0.2">
      <c r="A524" s="139" t="s">
        <v>63</v>
      </c>
      <c r="B524" s="107">
        <v>21</v>
      </c>
      <c r="C524" s="195">
        <v>4</v>
      </c>
      <c r="D524" s="196" t="s">
        <v>432</v>
      </c>
      <c r="E524" s="195"/>
      <c r="F524" s="108">
        <f>SUM(F521:F523)</f>
        <v>1895367.6600000001</v>
      </c>
      <c r="G524" s="108">
        <f t="shared" ref="G524:L524" si="36">SUM(G521:G523)</f>
        <v>975167.82000000007</v>
      </c>
      <c r="H524" s="108">
        <f t="shared" si="36"/>
        <v>50216.21</v>
      </c>
      <c r="I524" s="108">
        <f t="shared" si="36"/>
        <v>8332.19</v>
      </c>
      <c r="J524" s="108">
        <f t="shared" si="36"/>
        <v>7914.68</v>
      </c>
      <c r="K524" s="108">
        <f t="shared" si="36"/>
        <v>643</v>
      </c>
      <c r="L524" s="89">
        <f t="shared" si="36"/>
        <v>2937641.56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0</v>
      </c>
      <c r="I529" s="89">
        <f t="shared" si="37"/>
        <v>0</v>
      </c>
      <c r="J529" s="89">
        <f t="shared" si="37"/>
        <v>0</v>
      </c>
      <c r="K529" s="89">
        <f t="shared" si="37"/>
        <v>0</v>
      </c>
      <c r="L529" s="89">
        <f t="shared" si="37"/>
        <v>0</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49258</v>
      </c>
      <c r="G533" s="18">
        <v>25422</v>
      </c>
      <c r="H533" s="18"/>
      <c r="I533" s="18"/>
      <c r="J533" s="18"/>
      <c r="K533" s="18"/>
      <c r="L533" s="88">
        <f>SUM(F533:K533)</f>
        <v>74680</v>
      </c>
      <c r="M533" s="8"/>
      <c r="N533" s="266"/>
    </row>
    <row r="534" spans="1:14" s="3" customFormat="1" ht="12.2" customHeight="1" thickTop="1" x14ac:dyDescent="0.15">
      <c r="A534" s="139" t="s">
        <v>67</v>
      </c>
      <c r="B534" s="107">
        <v>21</v>
      </c>
      <c r="C534" s="107">
        <v>12</v>
      </c>
      <c r="D534" s="158" t="s">
        <v>432</v>
      </c>
      <c r="E534" s="107"/>
      <c r="F534" s="89">
        <f>SUM(F531:F533)</f>
        <v>49258</v>
      </c>
      <c r="G534" s="89">
        <f t="shared" ref="G534:L534" si="38">SUM(G531:G533)</f>
        <v>25422</v>
      </c>
      <c r="H534" s="89">
        <f t="shared" si="38"/>
        <v>0</v>
      </c>
      <c r="I534" s="89">
        <f t="shared" si="38"/>
        <v>0</v>
      </c>
      <c r="J534" s="89">
        <f t="shared" si="38"/>
        <v>0</v>
      </c>
      <c r="K534" s="89">
        <f t="shared" si="38"/>
        <v>0</v>
      </c>
      <c r="L534" s="89">
        <f t="shared" si="38"/>
        <v>74680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1931.29</v>
      </c>
      <c r="I538" s="18"/>
      <c r="J538" s="18"/>
      <c r="K538" s="18"/>
      <c r="L538" s="88">
        <f>SUM(F538:K538)</f>
        <v>1931.29</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1931.29</v>
      </c>
      <c r="I539" s="89">
        <f t="shared" si="39"/>
        <v>0</v>
      </c>
      <c r="J539" s="89">
        <f t="shared" si="39"/>
        <v>0</v>
      </c>
      <c r="K539" s="89">
        <f t="shared" si="39"/>
        <v>0</v>
      </c>
      <c r="L539" s="89">
        <f t="shared" si="39"/>
        <v>1931.29</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685.6</v>
      </c>
      <c r="I541" s="18"/>
      <c r="J541" s="18"/>
      <c r="K541" s="18"/>
      <c r="L541" s="88">
        <f>SUM(F541:K541)</f>
        <v>685.6</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13729.28</v>
      </c>
      <c r="I543" s="18"/>
      <c r="J543" s="18"/>
      <c r="K543" s="18"/>
      <c r="L543" s="88">
        <f>SUM(F543:K543)</f>
        <v>13729.28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14414.880000000001</v>
      </c>
      <c r="I544" s="193">
        <f t="shared" si="40"/>
        <v>0</v>
      </c>
      <c r="J544" s="193">
        <f t="shared" si="40"/>
        <v>0</v>
      </c>
      <c r="K544" s="193">
        <f t="shared" si="40"/>
        <v>0</v>
      </c>
      <c r="L544" s="193">
        <f t="shared" si="40"/>
        <v>14414.880000000001</v>
      </c>
      <c r="M544" s="8"/>
      <c r="N544" s="266"/>
    </row>
    <row r="545" spans="1:14" s="3" customFormat="1" ht="12.2" customHeight="1" thickTop="1" x14ac:dyDescent="0.15">
      <c r="A545" s="98" t="s">
        <v>72</v>
      </c>
      <c r="B545" s="107">
        <v>21</v>
      </c>
      <c r="C545" s="107">
        <v>21</v>
      </c>
      <c r="D545" s="158" t="s">
        <v>432</v>
      </c>
      <c r="E545" s="107"/>
      <c r="F545" s="89">
        <f>F524+F529+F534+F539+F544</f>
        <v>1944625.6600000001</v>
      </c>
      <c r="G545" s="89">
        <f t="shared" ref="G545:L545" si="41">G524+G529+G534+G539+G544</f>
        <v>1000589.8200000001</v>
      </c>
      <c r="H545" s="89">
        <f t="shared" si="41"/>
        <v>66562.38</v>
      </c>
      <c r="I545" s="89">
        <f t="shared" si="41"/>
        <v>8332.19</v>
      </c>
      <c r="J545" s="89">
        <f t="shared" si="41"/>
        <v>7914.68</v>
      </c>
      <c r="K545" s="89">
        <f t="shared" si="41"/>
        <v>643</v>
      </c>
      <c r="L545" s="89">
        <f t="shared" si="41"/>
        <v>3028667.73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1540708.9999999998</v>
      </c>
      <c r="G549" s="87">
        <f>L526</f>
        <v>0</v>
      </c>
      <c r="H549" s="87">
        <f>L531</f>
        <v>0</v>
      </c>
      <c r="I549" s="87">
        <f>L536</f>
        <v>0</v>
      </c>
      <c r="J549" s="87">
        <f>L541</f>
        <v>685.6</v>
      </c>
      <c r="K549" s="87">
        <f>SUM(F549:J549)</f>
        <v>1541394.5999999999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1396932.5600000003</v>
      </c>
      <c r="G551" s="87">
        <f>L528</f>
        <v>0</v>
      </c>
      <c r="H551" s="87">
        <f>L533</f>
        <v>74680</v>
      </c>
      <c r="I551" s="87">
        <f>L538</f>
        <v>1931.29</v>
      </c>
      <c r="J551" s="87">
        <f>L543</f>
        <v>13729.28</v>
      </c>
      <c r="K551" s="87">
        <f>SUM(F551:J551)</f>
        <v>1487273.1300000004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2937641.56</v>
      </c>
      <c r="G552" s="89">
        <f t="shared" si="42"/>
        <v>0</v>
      </c>
      <c r="H552" s="89">
        <f t="shared" si="42"/>
        <v>74680</v>
      </c>
      <c r="I552" s="89">
        <f t="shared" si="42"/>
        <v>1931.29</v>
      </c>
      <c r="J552" s="89">
        <f t="shared" si="42"/>
        <v>14414.880000000001</v>
      </c>
      <c r="K552" s="89">
        <f t="shared" si="42"/>
        <v>3028667.7300000004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c r="K591" s="104">
        <f t="shared" ref="K591:K597" si="48">SUM(H591:J591)</f>
        <v>0</v>
      </c>
      <c r="L591" s="24" t="s">
        <v>288</v>
      </c>
      <c r="M591" s="8"/>
      <c r="N591" s="266"/>
    </row>
    <row r="592" spans="1:14" s="3" customFormat="1" ht="12.2" customHeight="1" x14ac:dyDescent="0.15">
      <c r="A592" s="3" t="s">
        <v>638</v>
      </c>
      <c r="B592" s="75">
        <v>23</v>
      </c>
      <c r="C592" s="75">
        <v>2</v>
      </c>
      <c r="D592" s="2" t="s">
        <v>432</v>
      </c>
      <c r="E592" s="75"/>
      <c r="F592" s="102">
        <v>2722</v>
      </c>
      <c r="G592" s="103" t="s">
        <v>97</v>
      </c>
      <c r="H592" s="18">
        <v>685.6</v>
      </c>
      <c r="I592" s="18"/>
      <c r="J592" s="18">
        <f>34.28+13695</f>
        <v>13729.28</v>
      </c>
      <c r="K592" s="104">
        <f t="shared" si="48"/>
        <v>14414.880000000001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43282.17</v>
      </c>
      <c r="K593" s="104">
        <f t="shared" si="48"/>
        <v>43282.17</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v>94475.13</v>
      </c>
      <c r="K594" s="104">
        <f t="shared" si="48"/>
        <v>94475.13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11149.46</v>
      </c>
      <c r="I595" s="18"/>
      <c r="J595" s="18">
        <v>34103.129999999997</v>
      </c>
      <c r="K595" s="104">
        <f t="shared" si="48"/>
        <v>45252.59</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5701.13</v>
      </c>
      <c r="I596" s="18"/>
      <c r="J596" s="18">
        <f>52977.67-13695</f>
        <v>39282.67</v>
      </c>
      <c r="K596" s="104">
        <f t="shared" si="48"/>
        <v>44983.799999999996</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17536.189999999999</v>
      </c>
      <c r="I598" s="108">
        <f>SUM(I591:I597)</f>
        <v>0</v>
      </c>
      <c r="J598" s="108">
        <f>SUM(J591:J597)</f>
        <v>224872.38</v>
      </c>
      <c r="K598" s="108">
        <f>SUM(K591:K597)</f>
        <v>242408.56999999998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154670.14-169.98</f>
        <v>154500.16</v>
      </c>
      <c r="I604" s="18"/>
      <c r="J604" s="18">
        <v>314027.24</v>
      </c>
      <c r="K604" s="104">
        <f>SUM(H604:J604)</f>
        <v>468527.4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154500.16</v>
      </c>
      <c r="I605" s="108">
        <f>SUM(I602:I604)</f>
        <v>0</v>
      </c>
      <c r="J605" s="108">
        <f>SUM(J602:J604)</f>
        <v>314027.24</v>
      </c>
      <c r="K605" s="108">
        <f>SUM(K602:K604)</f>
        <v>468527.4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7537.14</v>
      </c>
      <c r="G611" s="18">
        <v>1482.81</v>
      </c>
      <c r="H611" s="18">
        <v>134.24</v>
      </c>
      <c r="I611" s="18"/>
      <c r="J611" s="18"/>
      <c r="K611" s="18"/>
      <c r="L611" s="88">
        <f>SUM(F611:K611)</f>
        <v>9154.19</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10229.01</v>
      </c>
      <c r="G613" s="18">
        <v>1699.73</v>
      </c>
      <c r="H613" s="18">
        <v>709.5</v>
      </c>
      <c r="I613" s="18"/>
      <c r="J613" s="18"/>
      <c r="K613" s="18"/>
      <c r="L613" s="88">
        <f>SUM(F613:K613)</f>
        <v>12638.24</v>
      </c>
      <c r="M613" s="8"/>
      <c r="N613" s="266"/>
    </row>
    <row r="614" spans="1:14" s="3" customFormat="1" ht="12.2" customHeight="1" thickTop="1" x14ac:dyDescent="0.15">
      <c r="A614" s="98" t="s">
        <v>340</v>
      </c>
      <c r="B614" s="107">
        <v>23</v>
      </c>
      <c r="C614" s="107">
        <v>16</v>
      </c>
      <c r="D614" s="39" t="s">
        <v>432</v>
      </c>
      <c r="E614" s="107"/>
      <c r="F614" s="108">
        <f t="shared" ref="F614:L614" si="49">SUM(F611:F613)</f>
        <v>17766.150000000001</v>
      </c>
      <c r="G614" s="108">
        <f t="shared" si="49"/>
        <v>3182.54</v>
      </c>
      <c r="H614" s="108">
        <f t="shared" si="49"/>
        <v>843.74</v>
      </c>
      <c r="I614" s="108">
        <f t="shared" si="49"/>
        <v>0</v>
      </c>
      <c r="J614" s="108">
        <f t="shared" si="49"/>
        <v>0</v>
      </c>
      <c r="K614" s="108">
        <f t="shared" si="49"/>
        <v>0</v>
      </c>
      <c r="L614" s="89">
        <f t="shared" si="49"/>
        <v>21792.43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1483720.3600000003</v>
      </c>
      <c r="H617" s="109">
        <f>SUM(F52)</f>
        <v>1483720.36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25669.46</v>
      </c>
      <c r="H618" s="109">
        <f>SUM(G52)</f>
        <v>25669.460000000021</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80162.06</v>
      </c>
      <c r="H619" s="109">
        <f>SUM(H52)</f>
        <v>80162.06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90207.57</v>
      </c>
      <c r="H621" s="109">
        <f>SUM(J52)</f>
        <v>90207.57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1263961.1000000001</v>
      </c>
      <c r="H622" s="109">
        <f>F476</f>
        <v>1263961.0999999978</v>
      </c>
      <c r="I622" s="121" t="s">
        <v>101</v>
      </c>
      <c r="J622" s="109">
        <f t="shared" ref="J622:J655" si="50">G622-H622</f>
        <v>2.3283064365386963E-9</v>
      </c>
      <c r="K622" s="109"/>
      <c r="L622" s="109"/>
      <c r="M622" s="8"/>
    </row>
    <row r="623" spans="1:14" s="3" customFormat="1" ht="12.2" customHeight="1" x14ac:dyDescent="0.15">
      <c r="A623" s="97"/>
      <c r="B623" s="105"/>
      <c r="C623" s="119"/>
      <c r="D623" s="119"/>
      <c r="E623" s="119"/>
      <c r="F623" s="119" t="s">
        <v>866</v>
      </c>
      <c r="G623" s="109">
        <f>G51</f>
        <v>113370.71</v>
      </c>
      <c r="H623" s="109">
        <f>G476</f>
        <v>113370.70999999996</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102616.51</v>
      </c>
      <c r="H624" s="109">
        <f>H476</f>
        <v>102616.51000000001</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1690.7199999999993</v>
      </c>
      <c r="H625" s="109">
        <f>I476</f>
        <v>1690.7199999999993</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90207.57</v>
      </c>
      <c r="H626" s="109">
        <f>J476</f>
        <v>90207.57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26375845.199999999</v>
      </c>
      <c r="H627" s="104">
        <f>SUM(F468)</f>
        <v>26375845.199999999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750774.55</v>
      </c>
      <c r="H628" s="104">
        <f>SUM(G468)</f>
        <v>750774.54999999993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678969.38</v>
      </c>
      <c r="H629" s="104">
        <f>SUM(H468)</f>
        <v>678969.38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1764</v>
      </c>
      <c r="H631" s="104">
        <f>SUM(J468)</f>
        <v>1764</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26059439.389999997</v>
      </c>
      <c r="H632" s="104">
        <f>SUM(F472)</f>
        <v>26059439.390000001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664651.81999999995</v>
      </c>
      <c r="H633" s="104">
        <f>SUM(H472)</f>
        <v>664651.81999999995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127592.21</v>
      </c>
      <c r="H634" s="104">
        <f>I369</f>
        <v>127592.20999999999</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643502.15</v>
      </c>
      <c r="H635" s="104">
        <f>SUM(G472)</f>
        <v>643502.15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11496</v>
      </c>
      <c r="H636" s="104">
        <f>SUM(I472)</f>
        <v>11496</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1764</v>
      </c>
      <c r="H637" s="164">
        <f>SUM(J468)</f>
        <v>1764</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56125.57</v>
      </c>
      <c r="H639" s="104">
        <f>SUM(F461)</f>
        <v>56125.57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34082</v>
      </c>
      <c r="H640" s="104">
        <f>SUM(G461)</f>
        <v>34082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90207.57</v>
      </c>
      <c r="H642" s="104">
        <f>SUM(I461)</f>
        <v>90207.57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1764</v>
      </c>
      <c r="H644" s="104">
        <f>H408</f>
        <v>1764</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1764</v>
      </c>
      <c r="H646" s="104">
        <f>L408</f>
        <v>1764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242408.56999999998</v>
      </c>
      <c r="H647" s="104">
        <f>L208+L226+L244</f>
        <v>242408.57</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468527.4</v>
      </c>
      <c r="H648" s="104">
        <f>(J257+J338)-(J255+J336)</f>
        <v>468527.4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17536.189999999999</v>
      </c>
      <c r="H649" s="104">
        <f>H598</f>
        <v>17536.189999999999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224872.38</v>
      </c>
      <c r="H651" s="104">
        <f>J598</f>
        <v>224872.38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49007.91</v>
      </c>
      <c r="H652" s="104">
        <f>K263+K345</f>
        <v>49007.91</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8027447.6199999992</v>
      </c>
      <c r="G660" s="19">
        <f>(L229+L309+L359)</f>
        <v>0</v>
      </c>
      <c r="H660" s="19">
        <f>(L247+L328+L360)</f>
        <v>15562699.969999999</v>
      </c>
      <c r="I660" s="19">
        <f>SUM(F660:H660)</f>
        <v>23590147.589999996</v>
      </c>
      <c r="J660" s="13"/>
      <c r="K660" s="13"/>
      <c r="L660" s="13"/>
      <c r="M660" s="9"/>
    </row>
    <row r="661" spans="1:13" s="3" customFormat="1" ht="12.2" customHeight="1" x14ac:dyDescent="0.2">
      <c r="A661" s="1" t="s">
        <v>127</v>
      </c>
      <c r="F661" s="19">
        <f>(L358/IF(SUM(L358:L360)=0,1,SUM(L358:L360))*(SUM(G97:G110)))</f>
        <v>263100.06051392126</v>
      </c>
      <c r="G661" s="19">
        <f>(L359/IF(SUM(L358:L360)=0,1,SUM(L358:L360))*(SUM(G97:G110)))</f>
        <v>0</v>
      </c>
      <c r="H661" s="19">
        <f>(L360/IF(SUM(L358:L360)=0,1,SUM(L358:L360))*(SUM(G97:G110)))</f>
        <v>438666.57948607882</v>
      </c>
      <c r="I661" s="19">
        <f>SUM(F661:H661)</f>
        <v>701766.64000000013</v>
      </c>
      <c r="J661"/>
      <c r="K661" s="13"/>
      <c r="L661" s="13"/>
      <c r="M661" s="9"/>
    </row>
    <row r="662" spans="1:13" s="3" customFormat="1" ht="12.2" customHeight="1" x14ac:dyDescent="0.2">
      <c r="A662" s="1" t="s">
        <v>128</v>
      </c>
      <c r="F662" s="19">
        <f>(L208+L287)-(J208+J287)</f>
        <v>17536.189999999999</v>
      </c>
      <c r="G662" s="19">
        <f>(L226+L306)-(J226+J306)</f>
        <v>0</v>
      </c>
      <c r="H662" s="19">
        <f>(L244+L325)-(J244+J325)</f>
        <v>201584.18</v>
      </c>
      <c r="I662" s="19">
        <f>SUM(F662:H662)</f>
        <v>219120.37</v>
      </c>
      <c r="J662"/>
      <c r="K662" s="13"/>
      <c r="L662" s="13"/>
      <c r="M662" s="8"/>
    </row>
    <row r="663" spans="1:13" s="3" customFormat="1" ht="12.2" customHeight="1" x14ac:dyDescent="0.15">
      <c r="A663" s="198" t="s">
        <v>129</v>
      </c>
      <c r="B663" s="169"/>
      <c r="C663" s="169"/>
      <c r="D663" s="169"/>
      <c r="E663" s="169"/>
      <c r="F663" s="199">
        <f>SUM(F575:F587)+SUM(H602:H604)+SUM(L611)</f>
        <v>163654.35</v>
      </c>
      <c r="G663" s="199">
        <f>SUM(G575:G587)+SUM(I602:I604)+L612</f>
        <v>0</v>
      </c>
      <c r="H663" s="199">
        <f>SUM(H575:H587)+SUM(J602:J604)+L613</f>
        <v>326665.48</v>
      </c>
      <c r="I663" s="19">
        <f>SUM(F663:H663)</f>
        <v>490319.82999999996</v>
      </c>
      <c r="J663" s="13"/>
      <c r="K663" s="13"/>
      <c r="L663" s="13"/>
      <c r="M663" s="9"/>
    </row>
    <row r="664" spans="1:13" s="3" customFormat="1" ht="12.2" customHeight="1" x14ac:dyDescent="0.15">
      <c r="A664" s="1" t="s">
        <v>130</v>
      </c>
      <c r="F664" s="19">
        <f>F660-SUM(F661:F663)</f>
        <v>7583157.0194860781</v>
      </c>
      <c r="G664" s="19">
        <f>G660-SUM(G661:G663)</f>
        <v>0</v>
      </c>
      <c r="H664" s="19">
        <f>H660-SUM(H661:H663)</f>
        <v>14595783.730513919</v>
      </c>
      <c r="I664" s="19">
        <f>I660-SUM(I661:I663)</f>
        <v>22178940.749999996</v>
      </c>
      <c r="J664" s="13"/>
      <c r="K664" s="13"/>
      <c r="L664" s="13"/>
      <c r="M664" s="9"/>
    </row>
    <row r="665" spans="1:13" s="3" customFormat="1" ht="12.2" customHeight="1" x14ac:dyDescent="0.2">
      <c r="A665" s="1" t="s">
        <v>131</v>
      </c>
      <c r="F665" s="246">
        <v>375.98</v>
      </c>
      <c r="G665" s="247"/>
      <c r="H665" s="247">
        <v>738.64</v>
      </c>
      <c r="I665" s="19">
        <f>SUM(F665:H665)</f>
        <v>1114.6199999999999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20169.04</v>
      </c>
      <c r="G667" s="19" t="e">
        <f>ROUND(G664/G665,2)</f>
        <v>#DIV/0!</v>
      </c>
      <c r="H667" s="19">
        <f>ROUND(H664/H665,2)</f>
        <v>19760.349999999999</v>
      </c>
      <c r="I667" s="19">
        <f>ROUND(I664/I665,2)</f>
        <v>19898.21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-1.17</v>
      </c>
      <c r="I670" s="19">
        <f>SUM(F670:H670)</f>
        <v>-1.17</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20169.04</v>
      </c>
      <c r="G672" s="19" t="e">
        <f>ROUND((G664+G669)/(G665+G670),2)</f>
        <v>#DIV/0!</v>
      </c>
      <c r="H672" s="19">
        <f>ROUND((H664+H669)/(H665+H670),2)</f>
        <v>19791.7</v>
      </c>
      <c r="I672" s="19">
        <f>ROUND((I664+I669)/(I665+I670),2)</f>
        <v>19919.12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78" orientation="landscape" r:id="rId1"/>
  <headerFooter alignWithMargins="0">
    <oddHeader xml:space="preserve">&amp;CDOE 25 for 2018-2019
</oddHeader>
    <oddFooter>&amp;L&amp;F&amp;CPage &amp;P&amp;R&amp;D&amp;T</oddFooter>
  </headerFooter>
  <rowBreaks count="24" manualBreakCount="24">
    <brk id="52" max="11" man="1"/>
    <brk id="79" max="11" man="1"/>
    <brk id="112" max="11" man="1"/>
    <brk id="140" max="11" man="1"/>
    <brk id="169" max="11" man="1"/>
    <brk id="193" max="11" man="1"/>
    <brk id="211" max="16383" man="1"/>
    <brk id="229" max="11" man="1"/>
    <brk id="247" max="11" man="1"/>
    <brk id="271" max="11" man="1"/>
    <brk id="291" max="11" man="1"/>
    <brk id="309" max="11" man="1"/>
    <brk id="328" max="11" man="1"/>
    <brk id="352" max="11" man="1"/>
    <brk id="382" max="11" man="1"/>
    <brk id="408" max="11" man="1"/>
    <brk id="434" max="11" man="1"/>
    <brk id="461" max="11" man="1"/>
    <brk id="486" max="11" man="1"/>
    <brk id="517" max="11" man="1"/>
    <brk id="546" max="11" man="1"/>
    <brk id="588" max="11" man="1"/>
    <brk id="615" max="11" man="1"/>
    <brk id="657" max="11" man="1"/>
  </rowBreaks>
  <ignoredErrors>
    <ignoredError sqref="F2:L2" numberStoredAsText="1"/>
  </ignoredError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25" zoomScaleNormal="125" zoomScalePageLayoutView="125" workbookViewId="0">
      <selection activeCell="B40" sqref="B40"/>
    </sheetView>
  </sheetViews>
  <sheetFormatPr defaultColWidth="9" defaultRowHeight="11.25" x14ac:dyDescent="0.2"/>
  <cols>
    <col min="1" max="1" width="26.6640625" customWidth="1"/>
    <col min="2" max="2" width="33.83203125" customWidth="1"/>
    <col min="3" max="3" width="29.33203125" customWidth="1"/>
  </cols>
  <sheetData>
    <row r="1" spans="1:3" x14ac:dyDescent="0.2">
      <c r="A1" s="233" t="s">
        <v>781</v>
      </c>
      <c r="B1" s="232" t="str">
        <f>'DOE25'!A2</f>
        <v>Dresden School District - SAU 70</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7680393.2600000007</v>
      </c>
      <c r="C9" s="229">
        <f>'DOE25'!G197+'DOE25'!G215+'DOE25'!G233+'DOE25'!G276+'DOE25'!G295+'DOE25'!G314</f>
        <v>2855737.83</v>
      </c>
    </row>
    <row r="10" spans="1:3" x14ac:dyDescent="0.2">
      <c r="A10" t="s">
        <v>775</v>
      </c>
      <c r="B10" s="240">
        <f>47424+2466415+4583770</f>
        <v>7097609</v>
      </c>
      <c r="C10" s="240">
        <v>2600249.23</v>
      </c>
    </row>
    <row r="11" spans="1:3" x14ac:dyDescent="0.2">
      <c r="A11" t="s">
        <v>776</v>
      </c>
      <c r="B11" s="240">
        <f>88867+204274+50868.13</f>
        <v>344009.13</v>
      </c>
      <c r="C11" s="240">
        <f>61014+129627+0.2</f>
        <v>190641.2</v>
      </c>
    </row>
    <row r="12" spans="1:3" x14ac:dyDescent="0.2">
      <c r="A12" t="s">
        <v>777</v>
      </c>
      <c r="B12" s="240">
        <f>9957+51896+30000+38500+57554+50868.13</f>
        <v>238775.13</v>
      </c>
      <c r="C12" s="240">
        <f>30589+935+3833+29490+0.4</f>
        <v>64847.4</v>
      </c>
    </row>
    <row r="13" spans="1:3" x14ac:dyDescent="0.2">
      <c r="A13" t="str">
        <f>IF(B9=B13,IF(C9=C13,"Check Total OK","Check Total Error"),"Check Total Error")</f>
        <v>Check Total OK</v>
      </c>
      <c r="B13" s="231">
        <f>SUM(B10:B12)</f>
        <v>7680393.2599999998</v>
      </c>
      <c r="C13" s="231">
        <f>SUM(C10:C12)</f>
        <v>2855737.83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1895367.6600000001</v>
      </c>
      <c r="C18" s="229">
        <f>'DOE25'!G198+'DOE25'!G216+'DOE25'!G234+'DOE25'!G277+'DOE25'!G296+'DOE25'!G315</f>
        <v>976542.82000000007</v>
      </c>
    </row>
    <row r="19" spans="1:3" x14ac:dyDescent="0.2">
      <c r="A19" t="s">
        <v>775</v>
      </c>
      <c r="B19" s="240">
        <f>567924+568108+100000</f>
        <v>1236032</v>
      </c>
      <c r="C19" s="240">
        <f>270545+228579-23362.18</f>
        <v>475761.82</v>
      </c>
    </row>
    <row r="20" spans="1:3" x14ac:dyDescent="0.2">
      <c r="A20" t="s">
        <v>776</v>
      </c>
      <c r="B20" s="240">
        <f>320882+293204+36828.43</f>
        <v>650914.43000000005</v>
      </c>
      <c r="C20" s="240">
        <f>280588+219445</f>
        <v>500033</v>
      </c>
    </row>
    <row r="21" spans="1:3" x14ac:dyDescent="0.2">
      <c r="A21" t="s">
        <v>777</v>
      </c>
      <c r="B21" s="240">
        <f>1000+7421.23</f>
        <v>8421.23</v>
      </c>
      <c r="C21" s="240">
        <f>748</f>
        <v>748</v>
      </c>
    </row>
    <row r="22" spans="1:3" x14ac:dyDescent="0.2">
      <c r="A22" t="str">
        <f>IF(B18=B22,IF(C18=C22,"Check Total OK","Check Total Error"),"Check Total Error")</f>
        <v>Check Total OK</v>
      </c>
      <c r="B22" s="231">
        <f>SUM(B19:B21)</f>
        <v>1895367.6600000001</v>
      </c>
      <c r="C22" s="231">
        <f>SUM(C19:C21)</f>
        <v>976542.82000000007</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518961.11</v>
      </c>
      <c r="C36" s="235">
        <f>'DOE25'!G200+'DOE25'!G218+'DOE25'!G236+'DOE25'!G279+'DOE25'!G298+'DOE25'!G317</f>
        <v>144405.76999999999</v>
      </c>
    </row>
    <row r="37" spans="1:3" x14ac:dyDescent="0.2">
      <c r="A37" t="s">
        <v>775</v>
      </c>
      <c r="B37" s="240"/>
      <c r="C37" s="240"/>
    </row>
    <row r="38" spans="1:3" x14ac:dyDescent="0.2">
      <c r="A38" t="s">
        <v>776</v>
      </c>
      <c r="B38" s="240"/>
      <c r="C38" s="240"/>
    </row>
    <row r="39" spans="1:3" x14ac:dyDescent="0.2">
      <c r="A39" t="s">
        <v>777</v>
      </c>
      <c r="B39" s="240">
        <v>518961.11</v>
      </c>
      <c r="C39" s="240">
        <v>144405.76999999999</v>
      </c>
    </row>
    <row r="40" spans="1:3" x14ac:dyDescent="0.2">
      <c r="A40" t="str">
        <f>IF(B36=B40,IF(C36=C40,"Check Total OK","Check Total Error"),"Check Total Error")</f>
        <v>Check Total OK</v>
      </c>
      <c r="B40" s="231">
        <f>SUM(B37:B39)</f>
        <v>518961.11</v>
      </c>
      <c r="C40" s="231">
        <f>SUM(C37:C39)</f>
        <v>144405.76999999999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zoomScalePageLayoutView="90" workbookViewId="0">
      <pane ySplit="4" topLeftCell="A5" activePane="bottomLeft" state="frozen"/>
      <selection activeCell="F46" sqref="F46"/>
      <selection pane="bottomLeft" activeCell="F30" sqref="F30"/>
    </sheetView>
  </sheetViews>
  <sheetFormatPr defaultColWidth="9" defaultRowHeight="11.25" x14ac:dyDescent="0.2"/>
  <cols>
    <col min="1" max="1" width="10.83203125" customWidth="1"/>
    <col min="2" max="2" width="41.1640625" customWidth="1"/>
    <col min="3" max="3" width="13.33203125" bestFit="1" customWidth="1"/>
    <col min="4" max="5" width="17.83203125" customWidth="1"/>
    <col min="6" max="6" width="17" customWidth="1"/>
    <col min="7" max="7" width="15.3320312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Dresden School District - SAU 70</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14818882.59</v>
      </c>
      <c r="D5" s="20">
        <f>SUM('DOE25'!L197:L200)+SUM('DOE25'!L215:L218)+SUM('DOE25'!L233:L236)-F5-G5-H5</f>
        <v>14467310.880000001</v>
      </c>
      <c r="E5" s="243"/>
      <c r="F5" s="244"/>
      <c r="G5" s="53">
        <f>SUM('DOE25'!J197:J200)+SUM('DOE25'!J215:J218)+SUM('DOE25'!J233:J236)</f>
        <v>336193.08999999997</v>
      </c>
      <c r="H5" s="53">
        <f>SUM('DOE25'!K197:K200)+SUM('DOE25'!K215:K218)+SUM('DOE25'!K233:K236)</f>
        <v>15378.619999999999</v>
      </c>
      <c r="I5" s="256"/>
    </row>
    <row r="6" spans="1:9" x14ac:dyDescent="0.2">
      <c r="A6" s="32">
        <v>2100</v>
      </c>
      <c r="B6" t="s">
        <v>796</v>
      </c>
      <c r="C6" s="276">
        <f t="shared" si="0"/>
        <v>1380604.0300000003</v>
      </c>
      <c r="D6" s="20">
        <f>'DOE25'!L202+'DOE25'!L220+'DOE25'!L238-F6-G6-H6</f>
        <v>1379819.0300000003</v>
      </c>
      <c r="E6" s="243"/>
      <c r="F6" s="244"/>
      <c r="G6" s="53">
        <f>'DOE25'!J202+'DOE25'!J220+'DOE25'!J238</f>
        <v>0</v>
      </c>
      <c r="H6" s="53">
        <f>'DOE25'!K202+'DOE25'!K220+'DOE25'!K238</f>
        <v>785</v>
      </c>
      <c r="I6" s="256"/>
    </row>
    <row r="7" spans="1:9" x14ac:dyDescent="0.2">
      <c r="A7" s="32">
        <v>2200</v>
      </c>
      <c r="B7" t="s">
        <v>821</v>
      </c>
      <c r="C7" s="276">
        <f t="shared" si="0"/>
        <v>697492.73</v>
      </c>
      <c r="D7" s="20">
        <f>'DOE25'!L203+'DOE25'!L221+'DOE25'!L239-F7-G7-H7</f>
        <v>652253.9</v>
      </c>
      <c r="E7" s="243"/>
      <c r="F7" s="244"/>
      <c r="G7" s="53">
        <f>'DOE25'!J203+'DOE25'!J221+'DOE25'!J239</f>
        <v>44406.829999999994</v>
      </c>
      <c r="H7" s="53">
        <f>'DOE25'!K203+'DOE25'!K221+'DOE25'!K239</f>
        <v>832</v>
      </c>
      <c r="I7" s="256"/>
    </row>
    <row r="8" spans="1:9" x14ac:dyDescent="0.2">
      <c r="A8" s="32">
        <v>2300</v>
      </c>
      <c r="B8" t="s">
        <v>797</v>
      </c>
      <c r="C8" s="276">
        <f t="shared" si="0"/>
        <v>777785.6</v>
      </c>
      <c r="D8" s="243"/>
      <c r="E8" s="20">
        <f>'DOE25'!L204+'DOE25'!L222+'DOE25'!L240-F8-G8-H8-D9-D11</f>
        <v>760729.07</v>
      </c>
      <c r="F8" s="244"/>
      <c r="G8" s="53">
        <f>'DOE25'!J204+'DOE25'!J222+'DOE25'!J240</f>
        <v>0</v>
      </c>
      <c r="H8" s="53">
        <f>'DOE25'!K204+'DOE25'!K222+'DOE25'!K240</f>
        <v>17056.53</v>
      </c>
      <c r="I8" s="256"/>
    </row>
    <row r="9" spans="1:9" ht="14.25" x14ac:dyDescent="0.2">
      <c r="A9" s="32">
        <v>2310</v>
      </c>
      <c r="B9" s="185" t="s">
        <v>890</v>
      </c>
      <c r="C9" s="276">
        <f t="shared" si="0"/>
        <v>114461.45</v>
      </c>
      <c r="D9" s="244">
        <v>114461.45</v>
      </c>
      <c r="E9" s="243"/>
      <c r="F9" s="253"/>
      <c r="G9" s="253"/>
      <c r="H9" s="253"/>
      <c r="I9" s="256"/>
    </row>
    <row r="10" spans="1:9" ht="14.25" x14ac:dyDescent="0.2">
      <c r="A10" s="32">
        <v>2317</v>
      </c>
      <c r="B10" s="185" t="s">
        <v>891</v>
      </c>
      <c r="C10" s="276">
        <f t="shared" si="0"/>
        <v>12870</v>
      </c>
      <c r="D10" s="243"/>
      <c r="E10" s="244">
        <v>12870</v>
      </c>
      <c r="F10" s="253"/>
      <c r="G10" s="253"/>
      <c r="H10" s="253"/>
      <c r="I10" s="256"/>
    </row>
    <row r="11" spans="1:9" ht="14.25" x14ac:dyDescent="0.2">
      <c r="A11" s="32">
        <v>2321</v>
      </c>
      <c r="B11" s="185" t="s">
        <v>892</v>
      </c>
      <c r="C11" s="276">
        <f t="shared" si="0"/>
        <v>126973.4</v>
      </c>
      <c r="D11" s="244">
        <v>126973.4</v>
      </c>
      <c r="E11" s="243"/>
      <c r="F11" s="253"/>
      <c r="G11" s="253"/>
      <c r="H11" s="253"/>
      <c r="I11" s="256"/>
    </row>
    <row r="12" spans="1:9" x14ac:dyDescent="0.2">
      <c r="A12" s="32">
        <v>2400</v>
      </c>
      <c r="B12" t="s">
        <v>711</v>
      </c>
      <c r="C12" s="276">
        <f t="shared" si="0"/>
        <v>2170814.21</v>
      </c>
      <c r="D12" s="20">
        <f>'DOE25'!L205+'DOE25'!L223+'DOE25'!L241-F12-G12-H12</f>
        <v>2165922.19</v>
      </c>
      <c r="E12" s="243"/>
      <c r="F12" s="244"/>
      <c r="G12" s="53">
        <f>'DOE25'!J205+'DOE25'!J223+'DOE25'!J241</f>
        <v>568.02</v>
      </c>
      <c r="H12" s="53">
        <f>'DOE25'!K205+'DOE25'!K223+'DOE25'!K241</f>
        <v>4324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1952571.04</v>
      </c>
      <c r="D14" s="20">
        <f>'DOE25'!L207+'DOE25'!L225+'DOE25'!L243-F14-G14-H14</f>
        <v>1827340</v>
      </c>
      <c r="E14" s="243"/>
      <c r="F14" s="244">
        <v>148477.64000000001</v>
      </c>
      <c r="G14" s="53">
        <f>'DOE25'!J207+'DOE25'!J225+'DOE25'!J243</f>
        <v>16753.400000000001</v>
      </c>
      <c r="H14" s="53">
        <f>'DOE25'!K207+'DOE25'!K225+'DOE25'!K243</f>
        <v>-40000</v>
      </c>
      <c r="I14" s="256"/>
    </row>
    <row r="15" spans="1:9" x14ac:dyDescent="0.2">
      <c r="A15" s="32">
        <v>2700</v>
      </c>
      <c r="B15" t="s">
        <v>799</v>
      </c>
      <c r="C15" s="276">
        <f t="shared" si="0"/>
        <v>242408.57</v>
      </c>
      <c r="D15" s="20">
        <f>'DOE25'!L208+'DOE25'!L226+'DOE25'!L244-F15-G15-H15</f>
        <v>20531.610000000015</v>
      </c>
      <c r="E15" s="243"/>
      <c r="F15" s="244">
        <v>145611.09</v>
      </c>
      <c r="G15" s="53">
        <f>'DOE25'!J208+'DOE25'!J226+'DOE25'!J244</f>
        <v>23288.2</v>
      </c>
      <c r="H15" s="53">
        <f>'DOE25'!K208+'DOE25'!K226+'DOE25'!K244</f>
        <v>52977.67</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251033.56</v>
      </c>
      <c r="D22" s="243"/>
      <c r="E22" s="243"/>
      <c r="F22" s="243"/>
      <c r="G22" s="53">
        <f>'DOE25'!L255+'DOE25'!L336</f>
        <v>251033.56</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3477404.3</v>
      </c>
      <c r="D25" s="243"/>
      <c r="E25" s="243"/>
      <c r="F25" s="255"/>
      <c r="G25" s="253"/>
      <c r="H25" s="253"/>
      <c r="I25" s="254">
        <f>'DOE25'!L260+'DOE25'!L261+'DOE25'!L341+'DOE25'!L342</f>
        <v>3477404.3</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521347.45</v>
      </c>
      <c r="D29" s="284">
        <f>'DOE25'!L358+'DOE25'!L359+'DOE25'!L360-'DOE25'!I367-F29-G29-H29</f>
        <v>319977.23000000004</v>
      </c>
      <c r="E29" s="243"/>
      <c r="F29" s="244">
        <f>379151.35-178504</f>
        <v>200647.34999999998</v>
      </c>
      <c r="G29" s="53">
        <f>'DOE25'!J358+'DOE25'!J359+'DOE25'!J360</f>
        <v>722.87</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664651.81999999995</v>
      </c>
      <c r="D31" s="20">
        <f>'DOE25'!L290+'DOE25'!L309+'DOE25'!L328+'DOE25'!L333+'DOE25'!L334+'DOE25'!L335-F31-G31-H31</f>
        <v>617333.96</v>
      </c>
      <c r="E31" s="243"/>
      <c r="F31" s="244"/>
      <c r="G31" s="53">
        <f>'DOE25'!J290+'DOE25'!J309+'DOE25'!J328+'DOE25'!J333+'DOE25'!J334+'DOE25'!J335</f>
        <v>47317.860000000008</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21691923.650000002</v>
      </c>
      <c r="E33" s="245">
        <f t="shared" si="1"/>
        <v>773599.07</v>
      </c>
      <c r="F33" s="245">
        <f t="shared" si="1"/>
        <v>494736.07999999996</v>
      </c>
      <c r="G33" s="245">
        <f t="shared" si="1"/>
        <v>720283.83000000007</v>
      </c>
      <c r="H33" s="245">
        <f t="shared" si="1"/>
        <v>51353.819999999992</v>
      </c>
      <c r="I33" s="245">
        <f t="shared" si="1"/>
        <v>3477404.3</v>
      </c>
    </row>
    <row r="35" spans="1:9" ht="12" thickBot="1" x14ac:dyDescent="0.25">
      <c r="B35" s="251" t="s">
        <v>831</v>
      </c>
      <c r="D35" s="252">
        <f>E33</f>
        <v>773599.07</v>
      </c>
      <c r="E35" s="248"/>
    </row>
    <row r="36" spans="1:9" ht="12" thickTop="1" x14ac:dyDescent="0.2">
      <c r="B36" t="s">
        <v>810</v>
      </c>
      <c r="D36" s="20">
        <f>D33</f>
        <v>21691923.650000002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workbookViewId="0">
      <selection activeCell="D38" sqref="D38"/>
    </sheetView>
  </sheetViews>
  <sheetFormatPr defaultColWidth="9"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33203125" style="32" customWidth="1"/>
    <col min="15" max="15" width="19.3320312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Dresden School District - SAU 70</v>
      </c>
      <c r="B2" s="126">
        <f>'DOE25'!B2</f>
        <v>142</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7786191.5600000005</v>
      </c>
      <c r="G4" s="303">
        <f>'DOE25'!L211+'DOE25'!L290</f>
        <v>7786191.5599999996</v>
      </c>
      <c r="H4" s="304">
        <f>F4-G4</f>
        <v>0</v>
      </c>
      <c r="I4" s="310" t="str">
        <f>IF(H4=0,"","Does not match DOE25 page 7 and 11 Totals!!")</f>
        <v/>
      </c>
      <c r="N4"/>
    </row>
    <row r="5" spans="1:18" x14ac:dyDescent="0.2">
      <c r="A5" s="21" t="s">
        <v>1032</v>
      </c>
      <c r="B5" s="305">
        <f>IFERROR(VLOOKUP(A5,'School Tables'!$C$3:$D$368,2,FALSE),"")</f>
        <v>20825</v>
      </c>
      <c r="C5" s="297" t="str">
        <f>IFERROR(INDEX('School Tables'!$B$3:$B$368,MATCH('School Level Expenditures'!B5,'School Tables'!$D$3:$D$368,0)),"")</f>
        <v>Dresden</v>
      </c>
      <c r="D5" s="294">
        <v>7600361.6600000001</v>
      </c>
      <c r="E5" s="294">
        <v>185829.9</v>
      </c>
      <c r="F5" s="313">
        <f>D5+E5</f>
        <v>7786191.5600000005</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15160453.880000001</v>
      </c>
      <c r="G36" s="303">
        <f>'DOE25'!L247+'DOE25'!L328</f>
        <v>15160453.879999999</v>
      </c>
      <c r="H36" s="304">
        <f>F36-G36</f>
        <v>0</v>
      </c>
      <c r="I36" s="310" t="str">
        <f>IF(H36=0,"","Does not match DOE25 page 9 and 13 Totals!!")</f>
        <v/>
      </c>
      <c r="N36"/>
    </row>
    <row r="37" spans="1:14" x14ac:dyDescent="0.2">
      <c r="A37" s="21" t="s">
        <v>1031</v>
      </c>
      <c r="B37" s="305">
        <f>IFERROR(VLOOKUP(A37,'School Tables'!$O$3:$P$122,2,FALSE),"")</f>
        <v>20820</v>
      </c>
      <c r="C37" s="297" t="str">
        <f t="array" ref="C37">IFERROR(INDEX('School Tables'!$N$3:$N$122,MATCH('School Level Expenditures'!B37,'School Tables'!$P$3:$P$122,0)),"")</f>
        <v>Dresden</v>
      </c>
      <c r="D37" s="294">
        <v>14681631.960000001</v>
      </c>
      <c r="E37" s="294">
        <v>478821.92</v>
      </c>
      <c r="F37" s="308">
        <f>D37+E37</f>
        <v>15160453.880000001</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phoneticPr fontId="0" type="noConversion"/>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zoomScalePageLayoutView="80" workbookViewId="0">
      <pane ySplit="2" topLeftCell="A80" activePane="bottomLeft" state="frozen"/>
      <selection activeCell="F46" sqref="F46"/>
      <selection pane="bottomLeft" activeCell="A2" sqref="A2"/>
    </sheetView>
  </sheetViews>
  <sheetFormatPr defaultColWidth="9" defaultRowHeight="11.25" x14ac:dyDescent="0.2"/>
  <cols>
    <col min="1" max="1" width="52.83203125" customWidth="1"/>
    <col min="2" max="2" width="16.6640625" customWidth="1"/>
    <col min="3" max="3" width="19" customWidth="1"/>
    <col min="4" max="4" width="19.3320312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
        <v>1620</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-214306.39</v>
      </c>
      <c r="D8" s="95">
        <f>'DOE25'!G9</f>
        <v>0</v>
      </c>
      <c r="E8" s="95">
        <f>'DOE25'!H9</f>
        <v>0</v>
      </c>
      <c r="F8" s="95">
        <f>'DOE25'!I9</f>
        <v>0</v>
      </c>
      <c r="G8" s="95">
        <f>'DOE25'!J9</f>
        <v>90207.57</v>
      </c>
      <c r="H8" s="124"/>
      <c r="I8" s="124"/>
    </row>
    <row r="9" spans="1:9" x14ac:dyDescent="0.2">
      <c r="A9" s="1" t="s">
        <v>140</v>
      </c>
      <c r="B9" s="6">
        <v>110</v>
      </c>
      <c r="C9" s="95">
        <f>'DOE25'!F10</f>
        <v>1664240.26</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25602.36</v>
      </c>
      <c r="E11" s="95">
        <f>'DOE25'!H12</f>
        <v>0</v>
      </c>
      <c r="F11" s="95">
        <f>'DOE25'!I12</f>
        <v>0</v>
      </c>
      <c r="G11" s="95">
        <f>'DOE25'!J12</f>
        <v>0</v>
      </c>
      <c r="H11" s="124"/>
      <c r="I11" s="124"/>
    </row>
    <row r="12" spans="1:9" x14ac:dyDescent="0.2">
      <c r="A12" s="1" t="s">
        <v>143</v>
      </c>
      <c r="B12" s="6">
        <v>140</v>
      </c>
      <c r="C12" s="95">
        <f>'DOE25'!F13</f>
        <v>31537.870000000003</v>
      </c>
      <c r="D12" s="95">
        <f>'DOE25'!G13</f>
        <v>0</v>
      </c>
      <c r="E12" s="95">
        <f>'DOE25'!H13</f>
        <v>80162.06</v>
      </c>
      <c r="F12" s="95">
        <f>'DOE25'!I13</f>
        <v>0</v>
      </c>
      <c r="G12" s="95">
        <f>'DOE25'!J13</f>
        <v>0</v>
      </c>
      <c r="H12" s="124"/>
      <c r="I12" s="124"/>
    </row>
    <row r="13" spans="1:9" x14ac:dyDescent="0.2">
      <c r="A13" s="1" t="s">
        <v>144</v>
      </c>
      <c r="B13" s="6">
        <v>150</v>
      </c>
      <c r="C13" s="95">
        <f>'DOE25'!F14</f>
        <v>-10000</v>
      </c>
      <c r="D13" s="95">
        <f>'DOE25'!G14</f>
        <v>67.099999999999994</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12248.62</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1483720.3600000003</v>
      </c>
      <c r="D18" s="41">
        <f>SUM(D8:D17)</f>
        <v>25669.46</v>
      </c>
      <c r="E18" s="41">
        <f>SUM(E8:E17)</f>
        <v>80162.06</v>
      </c>
      <c r="F18" s="41">
        <f>SUM(F8:F17)</f>
        <v>0</v>
      </c>
      <c r="G18" s="41">
        <f>SUM(G8:G17)</f>
        <v>90207.57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54420.21</v>
      </c>
      <c r="D21" s="95">
        <f>'DOE25'!G22</f>
        <v>-149019.49</v>
      </c>
      <c r="E21" s="95">
        <f>'DOE25'!H22</f>
        <v>-22364.5</v>
      </c>
      <c r="F21" s="95">
        <f>'DOE25'!I22</f>
        <v>-1690.72</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142837.35999999999</v>
      </c>
      <c r="D23" s="95">
        <f>'DOE25'!G24</f>
        <v>104884.35</v>
      </c>
      <c r="E23" s="95">
        <f>'DOE25'!H24</f>
        <v>-89.95</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38401.69</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-15900</v>
      </c>
      <c r="D30" s="95">
        <f>'DOE25'!G31</f>
        <v>-43566.11</v>
      </c>
      <c r="E30" s="95">
        <f>'DOE25'!H31</f>
        <v>0</v>
      </c>
      <c r="F30" s="95">
        <f>'DOE25'!I31</f>
        <v>0</v>
      </c>
      <c r="G30" s="95">
        <f>'DOE25'!J31</f>
        <v>0</v>
      </c>
      <c r="H30" s="124"/>
      <c r="I30" s="124"/>
    </row>
    <row r="31" spans="1:9" ht="12" thickTop="1" x14ac:dyDescent="0.2">
      <c r="A31" s="38" t="s">
        <v>160</v>
      </c>
      <c r="B31" s="2"/>
      <c r="C31" s="41">
        <f>SUM(C21:C30)</f>
        <v>219759.25999999998</v>
      </c>
      <c r="D31" s="41">
        <f>SUM(D21:D30)</f>
        <v>-87701.249999999985</v>
      </c>
      <c r="E31" s="41">
        <f>SUM(E21:E30)</f>
        <v>-22454.45</v>
      </c>
      <c r="F31" s="41">
        <f>SUM(F21:F30)</f>
        <v>-1690.72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13391.06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113370.71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345882.7</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102616.51</v>
      </c>
      <c r="F47" s="95">
        <f>'DOE25'!I48</f>
        <v>0</v>
      </c>
      <c r="G47" s="95">
        <f>'DOE25'!J48</f>
        <v>90207.57</v>
      </c>
      <c r="H47" s="124"/>
      <c r="I47" s="124"/>
    </row>
    <row r="48" spans="1:9" x14ac:dyDescent="0.2">
      <c r="A48" s="1" t="s">
        <v>882</v>
      </c>
      <c r="B48" s="6">
        <v>753</v>
      </c>
      <c r="C48" s="95">
        <f>'DOE25'!F49</f>
        <v>0</v>
      </c>
      <c r="D48" s="95">
        <f>'DOE25'!G49</f>
        <v>0</v>
      </c>
      <c r="E48" s="95">
        <f>'DOE25'!H49</f>
        <v>0</v>
      </c>
      <c r="F48" s="95">
        <f>'DOE25'!I49</f>
        <v>1690.7199999999993</v>
      </c>
      <c r="G48" s="95">
        <f>'DOE25'!J49</f>
        <v>0</v>
      </c>
      <c r="H48" s="124"/>
      <c r="I48" s="124"/>
    </row>
    <row r="49" spans="1:9" ht="12" thickBot="1" x14ac:dyDescent="0.25">
      <c r="A49" s="29" t="s">
        <v>883</v>
      </c>
      <c r="B49" s="71">
        <v>770</v>
      </c>
      <c r="C49" s="95">
        <f>'DOE25'!F50</f>
        <v>904687.34000000008</v>
      </c>
      <c r="D49" s="24" t="s">
        <v>288</v>
      </c>
      <c r="E49" s="24" t="s">
        <v>288</v>
      </c>
      <c r="F49" s="24" t="s">
        <v>288</v>
      </c>
      <c r="G49" s="24" t="s">
        <v>288</v>
      </c>
      <c r="H49" s="124"/>
      <c r="I49" s="124"/>
    </row>
    <row r="50" spans="1:9" ht="12.75" thickTop="1" thickBot="1" x14ac:dyDescent="0.25">
      <c r="A50" s="38" t="s">
        <v>884</v>
      </c>
      <c r="B50" s="48"/>
      <c r="C50" s="41">
        <f>SUM(C34:C49)</f>
        <v>1263961.1000000001</v>
      </c>
      <c r="D50" s="41">
        <f>SUM(D34:D49)</f>
        <v>113370.71</v>
      </c>
      <c r="E50" s="41">
        <f>SUM(E34:E49)</f>
        <v>102616.51</v>
      </c>
      <c r="F50" s="41">
        <f>SUM(F34:F49)</f>
        <v>1690.7199999999993</v>
      </c>
      <c r="G50" s="41">
        <f>SUM(G34:G49)</f>
        <v>90207.57</v>
      </c>
      <c r="H50" s="124"/>
      <c r="I50" s="124"/>
    </row>
    <row r="51" spans="1:9" ht="12" thickTop="1" x14ac:dyDescent="0.2">
      <c r="A51" s="38" t="s">
        <v>885</v>
      </c>
      <c r="B51" s="2"/>
      <c r="C51" s="41">
        <f>C50+C31</f>
        <v>1483720.36</v>
      </c>
      <c r="D51" s="41">
        <f>D50+D31</f>
        <v>25669.460000000021</v>
      </c>
      <c r="E51" s="41">
        <f>E50+E31</f>
        <v>80162.06</v>
      </c>
      <c r="F51" s="41">
        <f>F50+F31</f>
        <v>0</v>
      </c>
      <c r="G51" s="41">
        <f>G50+G31</f>
        <v>90207.57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17542641</v>
      </c>
      <c r="D56" s="95">
        <f>'DOE25'!G60</f>
        <v>0</v>
      </c>
      <c r="E56" s="95">
        <f>'DOE25'!H60</f>
        <v>0</v>
      </c>
      <c r="F56" s="95">
        <f>'DOE25'!I60</f>
        <v>0</v>
      </c>
      <c r="G56" s="95">
        <f>'DOE25'!J60</f>
        <v>0</v>
      </c>
      <c r="H56"/>
      <c r="I56"/>
    </row>
    <row r="57" spans="1:9" x14ac:dyDescent="0.2">
      <c r="A57" s="1" t="s">
        <v>164</v>
      </c>
      <c r="B57" s="6" t="s">
        <v>165</v>
      </c>
      <c r="C57" s="95">
        <f>'DOE25'!F79</f>
        <v>5139386.0199999996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46843.6</v>
      </c>
      <c r="D59" s="95">
        <f>'DOE25'!G96</f>
        <v>0</v>
      </c>
      <c r="E59" s="95">
        <f>'DOE25'!H96</f>
        <v>0</v>
      </c>
      <c r="F59" s="95">
        <f>'DOE25'!I96</f>
        <v>0</v>
      </c>
      <c r="G59" s="95">
        <f>'DOE25'!J96</f>
        <v>1764</v>
      </c>
      <c r="H59"/>
      <c r="I59"/>
    </row>
    <row r="60" spans="1:9" x14ac:dyDescent="0.2">
      <c r="A60" s="1" t="s">
        <v>170</v>
      </c>
      <c r="B60" s="118" t="s">
        <v>171</v>
      </c>
      <c r="C60" s="24" t="s">
        <v>288</v>
      </c>
      <c r="D60" s="95">
        <f>'DOE25'!G97</f>
        <v>687696.05</v>
      </c>
      <c r="E60" s="24" t="s">
        <v>288</v>
      </c>
      <c r="F60" s="24" t="s">
        <v>288</v>
      </c>
      <c r="G60" s="24" t="s">
        <v>288</v>
      </c>
      <c r="H60"/>
      <c r="I60"/>
    </row>
    <row r="61" spans="1:9" ht="12" thickBot="1" x14ac:dyDescent="0.25">
      <c r="A61" s="1" t="s">
        <v>172</v>
      </c>
      <c r="B61" s="118" t="s">
        <v>173</v>
      </c>
      <c r="C61" s="95">
        <f>SUM('DOE25'!F98:F110)</f>
        <v>278072.49</v>
      </c>
      <c r="D61" s="95">
        <f>SUM('DOE25'!G98:G110)</f>
        <v>14070.59</v>
      </c>
      <c r="E61" s="95">
        <f>SUM('DOE25'!H98:H110)</f>
        <v>299646.32999999996</v>
      </c>
      <c r="F61" s="95">
        <f>SUM('DOE25'!I98:I110)</f>
        <v>0</v>
      </c>
      <c r="G61" s="95">
        <f>SUM('DOE25'!J98:J110)</f>
        <v>0</v>
      </c>
      <c r="H61"/>
      <c r="I61"/>
    </row>
    <row r="62" spans="1:9" ht="12.75" thickTop="1" thickBot="1" x14ac:dyDescent="0.25">
      <c r="A62" s="29" t="s">
        <v>174</v>
      </c>
      <c r="B62" s="6"/>
      <c r="C62" s="130">
        <f>SUM(C57:C61)</f>
        <v>5464302.1099999994</v>
      </c>
      <c r="D62" s="130">
        <f>SUM(D57:D61)</f>
        <v>701766.64</v>
      </c>
      <c r="E62" s="130">
        <f>SUM(E57:E61)</f>
        <v>299646.32999999996</v>
      </c>
      <c r="F62" s="130">
        <f>SUM(F57:F61)</f>
        <v>0</v>
      </c>
      <c r="G62" s="130">
        <f>SUM(G57:G61)</f>
        <v>1764</v>
      </c>
      <c r="H62"/>
      <c r="I62"/>
    </row>
    <row r="63" spans="1:9" ht="12" thickTop="1" x14ac:dyDescent="0.2">
      <c r="A63" s="29" t="s">
        <v>175</v>
      </c>
      <c r="B63" s="6"/>
      <c r="C63" s="22">
        <f>C56+C62</f>
        <v>23006943.109999999</v>
      </c>
      <c r="D63" s="22">
        <f>D56+D62</f>
        <v>701766.64</v>
      </c>
      <c r="E63" s="22">
        <f>E56+E62</f>
        <v>299646.32999999996</v>
      </c>
      <c r="F63" s="22">
        <f>F56+F62</f>
        <v>0</v>
      </c>
      <c r="G63" s="22">
        <f>G56+G62</f>
        <v>1764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2937539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2937539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404588.39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26774.7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431363.09</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3368902.09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0</v>
      </c>
      <c r="D88" s="95">
        <f>SUM('DOE25'!G153:G161)</f>
        <v>0</v>
      </c>
      <c r="E88" s="95">
        <f>SUM('DOE25'!H153:H161)</f>
        <v>379323.05000000005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0</v>
      </c>
      <c r="D91" s="131">
        <f>SUM(D85:D90)</f>
        <v>0</v>
      </c>
      <c r="E91" s="131">
        <f>SUM(E85:E90)</f>
        <v>379323.05000000005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49007.91</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49007.91</v>
      </c>
      <c r="E103" s="86">
        <f>SUM(E93:E102)</f>
        <v>0</v>
      </c>
      <c r="F103" s="86">
        <f>SUM(F93:F102)</f>
        <v>0</v>
      </c>
      <c r="G103" s="86">
        <f>SUM(G93:G102)</f>
        <v>0</v>
      </c>
    </row>
    <row r="104" spans="1:7" ht="12.75" thickTop="1" thickBot="1" x14ac:dyDescent="0.25">
      <c r="A104" s="33" t="s">
        <v>761</v>
      </c>
      <c r="C104" s="86">
        <f>C63+C81+C91+C103</f>
        <v>26375845.199999999</v>
      </c>
      <c r="D104" s="86">
        <f>D63+D81+D91+D103</f>
        <v>750774.55</v>
      </c>
      <c r="E104" s="86">
        <f>E63+E81+E91+E103</f>
        <v>678969.38</v>
      </c>
      <c r="F104" s="86">
        <f>F63+F81+F91+F103</f>
        <v>0</v>
      </c>
      <c r="G104" s="86">
        <f>G63+G81+G103</f>
        <v>1764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11117081.390000001</v>
      </c>
      <c r="D109" s="24" t="s">
        <v>288</v>
      </c>
      <c r="E109" s="95">
        <f>('DOE25'!L276)+('DOE25'!L295)+('DOE25'!L314)</f>
        <v>436389.63</v>
      </c>
      <c r="F109" s="24" t="s">
        <v>288</v>
      </c>
      <c r="G109" s="24" t="s">
        <v>288</v>
      </c>
    </row>
    <row r="110" spans="1:7" x14ac:dyDescent="0.2">
      <c r="A110" t="s">
        <v>198</v>
      </c>
      <c r="B110" s="32" t="s">
        <v>199</v>
      </c>
      <c r="C110" s="95">
        <f>('DOE25'!L198)+('DOE25'!L216)+('DOE25'!L234)</f>
        <v>2710279.87</v>
      </c>
      <c r="D110" s="24" t="s">
        <v>288</v>
      </c>
      <c r="E110" s="95">
        <f>('DOE25'!L277)+('DOE25'!L296)+('DOE25'!L315)</f>
        <v>228262.19</v>
      </c>
      <c r="F110" s="24" t="s">
        <v>288</v>
      </c>
      <c r="G110" s="24" t="s">
        <v>288</v>
      </c>
    </row>
    <row r="111" spans="1:7" x14ac:dyDescent="0.2">
      <c r="A111" t="s">
        <v>200</v>
      </c>
      <c r="B111" s="32" t="s">
        <v>165</v>
      </c>
      <c r="C111" s="95">
        <f>('DOE25'!L199)+('DOE25'!L217)+('DOE25'!L235)</f>
        <v>89747.75</v>
      </c>
      <c r="D111" s="24" t="s">
        <v>288</v>
      </c>
      <c r="E111" s="95">
        <f>('DOE25'!L278)+('DOE25'!L297)+('DOE25'!L316)</f>
        <v>0</v>
      </c>
      <c r="F111" s="24" t="s">
        <v>288</v>
      </c>
      <c r="G111" s="24" t="s">
        <v>288</v>
      </c>
    </row>
    <row r="112" spans="1:7" x14ac:dyDescent="0.2">
      <c r="A112" t="s">
        <v>201</v>
      </c>
      <c r="B112" s="32" t="s">
        <v>167</v>
      </c>
      <c r="C112" s="95">
        <f>('DOE25'!L200)+('DOE25'!L218)+('DOE25'!L236)</f>
        <v>901773.58</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14818882.590000002</v>
      </c>
      <c r="D115" s="86">
        <f>SUM(D109:D114)</f>
        <v>0</v>
      </c>
      <c r="E115" s="86">
        <f>SUM(E109:E114)</f>
        <v>664651.82000000007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1380604.0300000003</v>
      </c>
      <c r="D118" s="24" t="s">
        <v>288</v>
      </c>
      <c r="E118" s="95">
        <f>+('DOE25'!L281)+('DOE25'!L300)+('DOE25'!L319)</f>
        <v>0</v>
      </c>
      <c r="F118" s="24" t="s">
        <v>288</v>
      </c>
      <c r="G118" s="24" t="s">
        <v>288</v>
      </c>
    </row>
    <row r="119" spans="1:7" x14ac:dyDescent="0.2">
      <c r="A119" t="s">
        <v>208</v>
      </c>
      <c r="B119" s="32" t="s">
        <v>209</v>
      </c>
      <c r="C119" s="95">
        <f>('DOE25'!L203)+('DOE25'!L221)+('DOE25'!L239)</f>
        <v>697492.73</v>
      </c>
      <c r="D119" s="24" t="s">
        <v>288</v>
      </c>
      <c r="E119" s="95">
        <f>+('DOE25'!L282)+('DOE25'!L301)+('DOE25'!L320)</f>
        <v>0</v>
      </c>
      <c r="F119" s="24" t="s">
        <v>288</v>
      </c>
      <c r="G119" s="24" t="s">
        <v>288</v>
      </c>
    </row>
    <row r="120" spans="1:7" x14ac:dyDescent="0.2">
      <c r="A120" t="s">
        <v>210</v>
      </c>
      <c r="B120" s="32" t="s">
        <v>211</v>
      </c>
      <c r="C120" s="95">
        <f>('DOE25'!L204)+('DOE25'!L222)+('DOE25'!L240)</f>
        <v>1019220.45</v>
      </c>
      <c r="D120" s="24" t="s">
        <v>288</v>
      </c>
      <c r="E120" s="95">
        <f>+('DOE25'!L283)+('DOE25'!L302)+('DOE25'!L321)</f>
        <v>0</v>
      </c>
      <c r="F120" s="24" t="s">
        <v>288</v>
      </c>
      <c r="G120" s="24" t="s">
        <v>288</v>
      </c>
    </row>
    <row r="121" spans="1:7" x14ac:dyDescent="0.2">
      <c r="A121" t="s">
        <v>212</v>
      </c>
      <c r="B121" s="32" t="s">
        <v>213</v>
      </c>
      <c r="C121" s="95">
        <f>('DOE25'!L205)+('DOE25'!L223)+('DOE25'!L241)</f>
        <v>2170814.21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1952571.04</v>
      </c>
      <c r="D123" s="24" t="s">
        <v>288</v>
      </c>
      <c r="E123" s="95">
        <f>+('DOE25'!L286)+('DOE25'!L305)+('DOE25'!L324)</f>
        <v>0</v>
      </c>
      <c r="F123" s="24" t="s">
        <v>288</v>
      </c>
      <c r="G123" s="24" t="s">
        <v>288</v>
      </c>
    </row>
    <row r="124" spans="1:7" x14ac:dyDescent="0.2">
      <c r="A124" t="s">
        <v>218</v>
      </c>
      <c r="B124" s="32" t="s">
        <v>219</v>
      </c>
      <c r="C124" s="95">
        <f>('DOE25'!L208)+('DOE25'!L226)+('DOE25'!L244+'DOE25'!L254)</f>
        <v>242408.57</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643502.15</v>
      </c>
      <c r="E127" s="24" t="s">
        <v>288</v>
      </c>
      <c r="F127" s="24" t="s">
        <v>288</v>
      </c>
      <c r="G127" s="24" t="s">
        <v>288</v>
      </c>
    </row>
    <row r="128" spans="1:7" ht="12.75" thickTop="1" thickBot="1" x14ac:dyDescent="0.25">
      <c r="A128" s="33" t="s">
        <v>226</v>
      </c>
      <c r="C128" s="86">
        <f>SUM(C118:C127)</f>
        <v>7463111.0300000003</v>
      </c>
      <c r="D128" s="86">
        <f>SUM(D118:D127)</f>
        <v>643502.15</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251033.56</v>
      </c>
      <c r="D130" s="24" t="s">
        <v>288</v>
      </c>
      <c r="E130" s="129">
        <f>'DOE25'!L336</f>
        <v>0</v>
      </c>
      <c r="F130" s="129">
        <f>SUM('DOE25'!L374:'DOE25'!L380)</f>
        <v>11496</v>
      </c>
      <c r="G130" s="24" t="s">
        <v>288</v>
      </c>
    </row>
    <row r="131" spans="1:7" x14ac:dyDescent="0.2">
      <c r="A131" t="s">
        <v>229</v>
      </c>
      <c r="B131" s="32">
        <v>5110</v>
      </c>
      <c r="C131" s="95">
        <f>'DOE25'!L260</f>
        <v>1825363.78</v>
      </c>
      <c r="D131" s="24" t="s">
        <v>288</v>
      </c>
      <c r="E131" s="129">
        <f>'DOE25'!L341</f>
        <v>0</v>
      </c>
      <c r="F131" s="24" t="s">
        <v>288</v>
      </c>
      <c r="G131" s="24" t="s">
        <v>288</v>
      </c>
    </row>
    <row r="132" spans="1:7" x14ac:dyDescent="0.2">
      <c r="A132" t="s">
        <v>230</v>
      </c>
      <c r="B132" s="32">
        <v>5120</v>
      </c>
      <c r="C132" s="95">
        <f>'DOE25'!L261</f>
        <v>1652040.52</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49007.91</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1764</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-1764</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3777445.7700000005</v>
      </c>
      <c r="D144" s="141">
        <f>SUM(D130:D143)</f>
        <v>0</v>
      </c>
      <c r="E144" s="141">
        <f>SUM(E130:E143)</f>
        <v>0</v>
      </c>
      <c r="F144" s="141">
        <f>SUM(F130:F143)</f>
        <v>11496</v>
      </c>
      <c r="G144" s="141">
        <f>SUM(G130:G143)</f>
        <v>0</v>
      </c>
    </row>
    <row r="145" spans="1:9" ht="12.75" thickTop="1" thickBot="1" x14ac:dyDescent="0.25">
      <c r="A145" s="33" t="s">
        <v>244</v>
      </c>
      <c r="C145" s="86">
        <f>(C115+C128+C144)</f>
        <v>26059439.390000001</v>
      </c>
      <c r="D145" s="86">
        <f>(D115+D128+D144)</f>
        <v>643502.15</v>
      </c>
      <c r="E145" s="86">
        <f>(E115+E128+E144)</f>
        <v>664651.82000000007</v>
      </c>
      <c r="F145" s="86">
        <f>(F115+F128+F144)</f>
        <v>11496</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20</v>
      </c>
      <c r="D151" s="153">
        <f>'DOE25'!H490</f>
        <v>20</v>
      </c>
      <c r="E151" s="153">
        <f>'DOE25'!I490</f>
        <v>20</v>
      </c>
      <c r="F151" s="153">
        <f>'DOE25'!J490</f>
        <v>0</v>
      </c>
      <c r="G151" s="24" t="s">
        <v>288</v>
      </c>
    </row>
    <row r="152" spans="1:9" x14ac:dyDescent="0.2">
      <c r="A152" s="136" t="s">
        <v>28</v>
      </c>
      <c r="B152" s="152" t="str">
        <f>'DOE25'!F491</f>
        <v>01/15/07</v>
      </c>
      <c r="C152" s="152" t="str">
        <f>'DOE25'!G491</f>
        <v>12/22/04</v>
      </c>
      <c r="D152" s="152" t="str">
        <f>'DOE25'!H491</f>
        <v>8/15/03</v>
      </c>
      <c r="E152" s="152" t="str">
        <f>'DOE25'!I491</f>
        <v>8/15/01</v>
      </c>
      <c r="F152" s="152">
        <f>'DOE25'!J491</f>
        <v>0</v>
      </c>
      <c r="G152" s="24" t="s">
        <v>288</v>
      </c>
    </row>
    <row r="153" spans="1:9" x14ac:dyDescent="0.2">
      <c r="A153" s="136" t="s">
        <v>29</v>
      </c>
      <c r="B153" s="152" t="str">
        <f>'DOE25'!F492</f>
        <v>Aug 2027</v>
      </c>
      <c r="C153" s="152" t="str">
        <f>'DOE25'!G492</f>
        <v>1/15/25</v>
      </c>
      <c r="D153" s="152" t="str">
        <f>'DOE25'!H492</f>
        <v>Aug 2024</v>
      </c>
      <c r="E153" s="152" t="str">
        <f>'DOE25'!I492</f>
        <v>Aug 2022</v>
      </c>
      <c r="F153" s="152">
        <f>'DOE25'!J492</f>
        <v>0</v>
      </c>
      <c r="G153" s="24" t="s">
        <v>288</v>
      </c>
    </row>
    <row r="154" spans="1:9" x14ac:dyDescent="0.2">
      <c r="A154" s="136" t="s">
        <v>30</v>
      </c>
      <c r="B154" s="137">
        <f>'DOE25'!F493</f>
        <v>2532900</v>
      </c>
      <c r="C154" s="137">
        <f>'DOE25'!G493</f>
        <v>4000000</v>
      </c>
      <c r="D154" s="137">
        <f>'DOE25'!H493</f>
        <v>38460936</v>
      </c>
      <c r="E154" s="137">
        <f>'DOE25'!I493</f>
        <v>1100000</v>
      </c>
      <c r="F154" s="137">
        <f>'DOE25'!J493</f>
        <v>0</v>
      </c>
      <c r="G154" s="24" t="s">
        <v>288</v>
      </c>
    </row>
    <row r="155" spans="1:9" x14ac:dyDescent="0.2">
      <c r="A155" s="136" t="s">
        <v>31</v>
      </c>
      <c r="B155" s="137">
        <f>'DOE25'!F494</f>
        <v>4.08</v>
      </c>
      <c r="C155" s="137">
        <f>'DOE25'!G494</f>
        <v>4.47</v>
      </c>
      <c r="D155" s="137">
        <f>'DOE25'!H494</f>
        <v>4.62</v>
      </c>
      <c r="E155" s="137">
        <f>'DOE25'!I494</f>
        <v>4.71</v>
      </c>
      <c r="F155" s="137">
        <f>'DOE25'!J494</f>
        <v>0</v>
      </c>
      <c r="G155" s="24" t="s">
        <v>288</v>
      </c>
    </row>
    <row r="156" spans="1:9" x14ac:dyDescent="0.2">
      <c r="A156" s="22" t="s">
        <v>32</v>
      </c>
      <c r="B156" s="137">
        <f>'DOE25'!F495</f>
        <v>879075</v>
      </c>
      <c r="C156" s="137">
        <f>'DOE25'!G495</f>
        <v>1019968</v>
      </c>
      <c r="D156" s="137">
        <f>'DOE25'!H495</f>
        <v>7792622</v>
      </c>
      <c r="E156" s="137">
        <f>'DOE25'!I495</f>
        <v>220000</v>
      </c>
      <c r="F156" s="137">
        <f>'DOE25'!J495</f>
        <v>0</v>
      </c>
      <c r="G156" s="138">
        <f>SUM(B156:F156)</f>
        <v>9911665</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116275</v>
      </c>
      <c r="C158" s="137">
        <f>'DOE25'!G497</f>
        <v>165481</v>
      </c>
      <c r="D158" s="137">
        <f>'DOE25'!H497</f>
        <v>1453720</v>
      </c>
      <c r="E158" s="137">
        <f>'DOE25'!I497</f>
        <v>55000</v>
      </c>
      <c r="F158" s="137">
        <f>'DOE25'!J497</f>
        <v>0</v>
      </c>
      <c r="G158" s="138">
        <f t="shared" si="0"/>
        <v>1790476</v>
      </c>
    </row>
    <row r="159" spans="1:9" x14ac:dyDescent="0.2">
      <c r="A159" s="22" t="s">
        <v>35</v>
      </c>
      <c r="B159" s="137">
        <f>'DOE25'!F498</f>
        <v>762350</v>
      </c>
      <c r="C159" s="137">
        <f>'DOE25'!G498</f>
        <v>854486</v>
      </c>
      <c r="D159" s="137">
        <f>'DOE25'!H498</f>
        <v>6338902</v>
      </c>
      <c r="E159" s="137">
        <f>'DOE25'!I498</f>
        <v>165000</v>
      </c>
      <c r="F159" s="137">
        <f>'DOE25'!J498</f>
        <v>0</v>
      </c>
      <c r="G159" s="138">
        <f t="shared" si="0"/>
        <v>8120738</v>
      </c>
    </row>
    <row r="160" spans="1:9" x14ac:dyDescent="0.2">
      <c r="A160" s="22" t="s">
        <v>36</v>
      </c>
      <c r="B160" s="137">
        <f>'DOE25'!F499</f>
        <v>716801</v>
      </c>
      <c r="C160" s="137">
        <f>'DOE25'!G499</f>
        <v>994008</v>
      </c>
      <c r="D160" s="137">
        <f>'DOE25'!H499</f>
        <v>8393498</v>
      </c>
      <c r="E160" s="137">
        <f>'DOE25'!I499</f>
        <v>12375</v>
      </c>
      <c r="F160" s="137">
        <f>'DOE25'!J499</f>
        <v>0</v>
      </c>
      <c r="G160" s="138">
        <f t="shared" si="0"/>
        <v>10116682</v>
      </c>
    </row>
    <row r="161" spans="1:7" x14ac:dyDescent="0.2">
      <c r="A161" s="22" t="s">
        <v>37</v>
      </c>
      <c r="B161" s="137">
        <f>'DOE25'!F500</f>
        <v>1479151</v>
      </c>
      <c r="C161" s="137">
        <f>'DOE25'!G500</f>
        <v>1848494</v>
      </c>
      <c r="D161" s="137">
        <f>'DOE25'!H500</f>
        <v>14732400</v>
      </c>
      <c r="E161" s="137">
        <f>'DOE25'!I500</f>
        <v>177375</v>
      </c>
      <c r="F161" s="137">
        <f>'DOE25'!J500</f>
        <v>0</v>
      </c>
      <c r="G161" s="138">
        <f t="shared" si="0"/>
        <v>18237420</v>
      </c>
    </row>
    <row r="162" spans="1:7" x14ac:dyDescent="0.2">
      <c r="A162" s="22" t="s">
        <v>38</v>
      </c>
      <c r="B162" s="137">
        <f>'DOE25'!F501</f>
        <v>111169</v>
      </c>
      <c r="C162" s="137">
        <f>'DOE25'!G501</f>
        <v>158643</v>
      </c>
      <c r="D162" s="137">
        <f>'DOE25'!H501</f>
        <v>1387097</v>
      </c>
      <c r="E162" s="137">
        <f>'DOE25'!I501</f>
        <v>55000</v>
      </c>
      <c r="F162" s="137">
        <f>'DOE25'!J501</f>
        <v>0</v>
      </c>
      <c r="G162" s="138">
        <f t="shared" si="0"/>
        <v>1711909</v>
      </c>
    </row>
    <row r="163" spans="1:7" x14ac:dyDescent="0.2">
      <c r="A163" s="22" t="s">
        <v>39</v>
      </c>
      <c r="B163" s="137">
        <f>'DOE25'!F502</f>
        <v>71987</v>
      </c>
      <c r="C163" s="137">
        <f>'DOE25'!G502</f>
        <v>148420</v>
      </c>
      <c r="D163" s="137">
        <f>'DOE25'!H502</f>
        <v>1557271</v>
      </c>
      <c r="E163" s="137">
        <f>'DOE25'!I502</f>
        <v>6875</v>
      </c>
      <c r="F163" s="137">
        <f>'DOE25'!J502</f>
        <v>0</v>
      </c>
      <c r="G163" s="138">
        <f t="shared" si="0"/>
        <v>1784553</v>
      </c>
    </row>
    <row r="164" spans="1:7" x14ac:dyDescent="0.2">
      <c r="A164" s="22" t="s">
        <v>246</v>
      </c>
      <c r="B164" s="137">
        <f>'DOE25'!F503</f>
        <v>183156</v>
      </c>
      <c r="C164" s="137">
        <f>'DOE25'!G503</f>
        <v>307063</v>
      </c>
      <c r="D164" s="137">
        <f>'DOE25'!H503</f>
        <v>2944368</v>
      </c>
      <c r="E164" s="137">
        <f>'DOE25'!I503</f>
        <v>61875</v>
      </c>
      <c r="F164" s="137">
        <f>'DOE25'!J503</f>
        <v>0</v>
      </c>
      <c r="G164" s="138">
        <f t="shared" si="0"/>
        <v>3496462</v>
      </c>
    </row>
  </sheetData>
  <sheetProtection password="930A" sheet="1" objects="1" scenarios="1"/>
  <phoneticPr fontId="0" type="noConversion"/>
  <printOptions gridLines="1" gridLinesSet="0"/>
  <pageMargins left="0.75" right="0.75" top="1" bottom="1" header="0.5" footer="0.5"/>
  <pageSetup scale="81" orientation="landscape"/>
  <headerFooter alignWithMargins="0">
    <oddHeader>&amp;C&amp;A
2018-2019</oddHeader>
    <oddFooter>&amp;CPage &amp;P&amp;R&amp;D&amp;T</oddFooter>
  </headerFooter>
  <rowBreaks count="3" manualBreakCount="3">
    <brk id="82" max="16383" man="1"/>
    <brk id="105" max="16383" man="1"/>
    <brk id="146" max="16383" man="1"/>
  </rowBreaks>
  <colBreaks count="1" manualBreakCount="1">
    <brk id="7" max="1048575" man="1"/>
  </colBreak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9"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Dresden School District - SAU 70</v>
      </c>
    </row>
    <row r="3" spans="1:4" x14ac:dyDescent="0.2">
      <c r="B3" s="188" t="s">
        <v>1602</v>
      </c>
    </row>
    <row r="4" spans="1:4" x14ac:dyDescent="0.2">
      <c r="B4" t="s">
        <v>61</v>
      </c>
      <c r="C4" s="179">
        <f>IF('DOE25'!F665+'DOE25'!F670=0,0,ROUND('DOE25'!F672,0))</f>
        <v>20169</v>
      </c>
    </row>
    <row r="5" spans="1:4" x14ac:dyDescent="0.2">
      <c r="B5" t="s">
        <v>700</v>
      </c>
      <c r="C5" s="179">
        <f>IF('DOE25'!G665+'DOE25'!G670=0,0,ROUND('DOE25'!G672,0))</f>
        <v>0</v>
      </c>
    </row>
    <row r="6" spans="1:4" x14ac:dyDescent="0.2">
      <c r="B6" t="s">
        <v>62</v>
      </c>
      <c r="C6" s="179">
        <f>IF('DOE25'!H665+'DOE25'!H670=0,0,ROUND('DOE25'!H672,0))</f>
        <v>19792</v>
      </c>
    </row>
    <row r="7" spans="1:4" x14ac:dyDescent="0.2">
      <c r="B7" t="s">
        <v>701</v>
      </c>
      <c r="C7" s="179">
        <f>IF('DOE25'!I665+'DOE25'!I670=0,0,ROUND('DOE25'!I672,0))</f>
        <v>19919</v>
      </c>
    </row>
    <row r="9" spans="1:4" x14ac:dyDescent="0.2">
      <c r="A9" s="187" t="s">
        <v>94</v>
      </c>
      <c r="B9" s="188" t="s">
        <v>1603</v>
      </c>
      <c r="C9" s="181" t="s">
        <v>720</v>
      </c>
      <c r="D9" s="181" t="s">
        <v>721</v>
      </c>
    </row>
    <row r="10" spans="1:4" x14ac:dyDescent="0.2">
      <c r="A10">
        <v>1100</v>
      </c>
      <c r="B10" t="s">
        <v>702</v>
      </c>
      <c r="C10" s="179">
        <f>ROUND('DOE25'!L197+'DOE25'!L215+'DOE25'!L233+'DOE25'!L276+'DOE25'!L295+'DOE25'!L314,0)</f>
        <v>11553471</v>
      </c>
      <c r="D10" s="182">
        <f>ROUND((C10/$C$28)*100,1)</f>
        <v>47.1</v>
      </c>
    </row>
    <row r="11" spans="1:4" x14ac:dyDescent="0.2">
      <c r="A11">
        <v>1200</v>
      </c>
      <c r="B11" t="s">
        <v>703</v>
      </c>
      <c r="C11" s="179">
        <f>ROUND('DOE25'!L198+'DOE25'!L216+'DOE25'!L234+'DOE25'!L277+'DOE25'!L296+'DOE25'!L315,0)</f>
        <v>2938542</v>
      </c>
      <c r="D11" s="182">
        <f>ROUND((C11/$C$28)*100,1)</f>
        <v>12</v>
      </c>
    </row>
    <row r="12" spans="1:4" x14ac:dyDescent="0.2">
      <c r="A12">
        <v>1300</v>
      </c>
      <c r="B12" t="s">
        <v>704</v>
      </c>
      <c r="C12" s="179">
        <f>ROUND('DOE25'!L199+'DOE25'!L217+'DOE25'!L235+'DOE25'!L278+'DOE25'!L297+'DOE25'!L316,0)</f>
        <v>89748</v>
      </c>
      <c r="D12" s="182">
        <f>ROUND((C12/$C$28)*100,1)</f>
        <v>0.4</v>
      </c>
    </row>
    <row r="13" spans="1:4" x14ac:dyDescent="0.2">
      <c r="A13">
        <v>1400</v>
      </c>
      <c r="B13" t="s">
        <v>705</v>
      </c>
      <c r="C13" s="179">
        <f>ROUND('DOE25'!L200+'DOE25'!L218+'DOE25'!L236+'DOE25'!L279+'DOE25'!L298+'DOE25'!L317,0)</f>
        <v>901774</v>
      </c>
      <c r="D13" s="182">
        <f>ROUND((C13/$C$28)*100,1)</f>
        <v>3.7</v>
      </c>
    </row>
    <row r="14" spans="1:4" x14ac:dyDescent="0.2">
      <c r="D14" s="182"/>
    </row>
    <row r="15" spans="1:4" x14ac:dyDescent="0.2">
      <c r="A15">
        <v>2100</v>
      </c>
      <c r="B15" t="s">
        <v>706</v>
      </c>
      <c r="C15" s="179">
        <f>ROUND('DOE25'!L202+'DOE25'!L220+'DOE25'!L238+'DOE25'!L281+'DOE25'!L300+'DOE25'!L319,0)</f>
        <v>1380604</v>
      </c>
      <c r="D15" s="182">
        <f t="shared" ref="D15:D27" si="0">ROUND((C15/$C$28)*100,1)</f>
        <v>5.6</v>
      </c>
    </row>
    <row r="16" spans="1:4" x14ac:dyDescent="0.2">
      <c r="A16">
        <v>2200</v>
      </c>
      <c r="B16" t="s">
        <v>707</v>
      </c>
      <c r="C16" s="179">
        <f>ROUND('DOE25'!L203+'DOE25'!L221+'DOE25'!L239+'DOE25'!L282+'DOE25'!L301+'DOE25'!L320,0)</f>
        <v>697493</v>
      </c>
      <c r="D16" s="182">
        <f t="shared" si="0"/>
        <v>2.8</v>
      </c>
    </row>
    <row r="17" spans="1:4" x14ac:dyDescent="0.2">
      <c r="A17" s="183" t="s">
        <v>723</v>
      </c>
      <c r="B17" t="s">
        <v>738</v>
      </c>
      <c r="C17" s="179">
        <f>ROUND('DOE25'!L204+'DOE25'!L209+'DOE25'!L222+'DOE25'!L227+'DOE25'!L240+'DOE25'!L245+'DOE25'!L283+'DOE25'!L288+'DOE25'!L302+'DOE25'!L307+'DOE25'!L321+'DOE25'!L326,0)</f>
        <v>1019220</v>
      </c>
      <c r="D17" s="182">
        <f t="shared" si="0"/>
        <v>4.2</v>
      </c>
    </row>
    <row r="18" spans="1:4" x14ac:dyDescent="0.2">
      <c r="A18">
        <v>2400</v>
      </c>
      <c r="B18" t="s">
        <v>711</v>
      </c>
      <c r="C18" s="179">
        <f>ROUND('DOE25'!L205+'DOE25'!L223+'DOE25'!L241+'DOE25'!L284+'DOE25'!L303+'DOE25'!L322,0)</f>
        <v>2170814</v>
      </c>
      <c r="D18" s="182">
        <f t="shared" si="0"/>
        <v>8.8000000000000007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1952571</v>
      </c>
      <c r="D20" s="182">
        <f t="shared" si="0"/>
        <v>8</v>
      </c>
    </row>
    <row r="21" spans="1:4" x14ac:dyDescent="0.2">
      <c r="A21">
        <v>2700</v>
      </c>
      <c r="B21" t="s">
        <v>710</v>
      </c>
      <c r="C21" s="179">
        <f>ROUND('DOE25'!L208+'DOE25'!L226+'DOE25'!L244+'DOE25'!L287+'DOE25'!L306+'DOE25'!L325,0)</f>
        <v>242409</v>
      </c>
      <c r="D21" s="182">
        <f t="shared" si="0"/>
        <v>1</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1652041</v>
      </c>
      <c r="D25" s="182">
        <f t="shared" si="0"/>
        <v>6.7</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-58264.640000000014</v>
      </c>
      <c r="D27" s="182">
        <f t="shared" si="0"/>
        <v>-0.2</v>
      </c>
    </row>
    <row r="28" spans="1:4" x14ac:dyDescent="0.2">
      <c r="B28" s="187" t="s">
        <v>719</v>
      </c>
      <c r="C28" s="180">
        <f>SUM(C10:C27)</f>
        <v>24540422.359999999</v>
      </c>
      <c r="D28" s="184">
        <f>ROUND(SUM(D10:D27),0)</f>
        <v>100</v>
      </c>
    </row>
    <row r="29" spans="1:4" x14ac:dyDescent="0.2">
      <c r="A29">
        <v>4000</v>
      </c>
      <c r="B29" t="s">
        <v>724</v>
      </c>
      <c r="C29" s="179">
        <f>ROUND('DOE25'!L255+'DOE25'!L336+'DOE25'!L374+'DOE25'!L375+'DOE25'!L376+'DOE25'!L377+'DOE25'!L378+'DOE25'!L379+'DOE25'!L380,0)</f>
        <v>262530</v>
      </c>
    </row>
    <row r="30" spans="1:4" x14ac:dyDescent="0.2">
      <c r="B30" s="187" t="s">
        <v>725</v>
      </c>
      <c r="C30" s="180">
        <f>SUM(C28:C29)</f>
        <v>24802952.359999999</v>
      </c>
    </row>
    <row r="31" spans="1:4" x14ac:dyDescent="0.2">
      <c r="B31" s="33"/>
      <c r="C31" s="180"/>
    </row>
    <row r="32" spans="1:4" x14ac:dyDescent="0.2">
      <c r="A32">
        <v>5100</v>
      </c>
      <c r="B32" s="33" t="s">
        <v>726</v>
      </c>
      <c r="C32" s="180">
        <f>ROUND('DOE25'!L260+'DOE25'!L341,0)</f>
        <v>1825364</v>
      </c>
    </row>
    <row r="34" spans="1:4" x14ac:dyDescent="0.2">
      <c r="A34" s="187" t="s">
        <v>94</v>
      </c>
      <c r="B34" s="188" t="s">
        <v>1604</v>
      </c>
      <c r="C34" s="181" t="s">
        <v>720</v>
      </c>
      <c r="D34" s="181" t="s">
        <v>721</v>
      </c>
    </row>
    <row r="35" spans="1:4" x14ac:dyDescent="0.2">
      <c r="A35">
        <v>1100</v>
      </c>
      <c r="B35" s="185" t="s">
        <v>727</v>
      </c>
      <c r="C35" s="179">
        <f>ROUND('DOE25'!F60+'DOE25'!G60+'DOE25'!H60+'DOE25'!I60+'DOE25'!J60,0)</f>
        <v>17542641</v>
      </c>
      <c r="D35" s="182">
        <f t="shared" ref="D35:D40" si="1">ROUND((C35/$C$41)*100,1)</f>
        <v>64.8</v>
      </c>
    </row>
    <row r="36" spans="1:4" x14ac:dyDescent="0.2">
      <c r="B36" s="185" t="s">
        <v>739</v>
      </c>
      <c r="C36" s="179">
        <f>SUM('DOE25'!F112:J112)-SUM('DOE25'!G97:G110)+('DOE25'!F174+'DOE25'!F175+'DOE25'!I174+'DOE25'!I175)-C35</f>
        <v>5765712.4399999976</v>
      </c>
      <c r="D36" s="182">
        <f t="shared" si="1"/>
        <v>21.3</v>
      </c>
    </row>
    <row r="37" spans="1:4" x14ac:dyDescent="0.2">
      <c r="A37" s="183" t="s">
        <v>835</v>
      </c>
      <c r="B37" s="185" t="s">
        <v>728</v>
      </c>
      <c r="C37" s="179">
        <f>ROUND('DOE25'!F117+'DOE25'!F118,0)</f>
        <v>2937539</v>
      </c>
      <c r="D37" s="182">
        <f t="shared" si="1"/>
        <v>10.9</v>
      </c>
    </row>
    <row r="38" spans="1:4" x14ac:dyDescent="0.2">
      <c r="A38" s="183" t="s">
        <v>734</v>
      </c>
      <c r="B38" s="185" t="s">
        <v>729</v>
      </c>
      <c r="C38" s="179">
        <f>ROUND(SUM('DOE25'!F140:J140)-SUM('DOE25'!F117:F119),0)</f>
        <v>431363</v>
      </c>
      <c r="D38" s="182">
        <f t="shared" si="1"/>
        <v>1.6</v>
      </c>
    </row>
    <row r="39" spans="1:4" x14ac:dyDescent="0.2">
      <c r="A39">
        <v>4000</v>
      </c>
      <c r="B39" s="185" t="s">
        <v>730</v>
      </c>
      <c r="C39" s="179">
        <f>ROUND('DOE25'!F169+'DOE25'!G169+'DOE25'!H169+'DOE25'!I169,0)</f>
        <v>379323</v>
      </c>
      <c r="D39" s="182">
        <f t="shared" si="1"/>
        <v>1.4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27056578.439999998</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headerFooter alignWithMargins="0">
    <oddHeader>&amp;A</oddHeader>
    <oddFooter>Page &amp;P</oddFooter>
  </headerFooter>
  <ignoredErrors>
    <ignoredError sqref="D10:D28" evalError="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9"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Dresden School District - SAU 70</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headerFooter alignWithMargins="0">
    <oddHeader>&amp;LDistrict Notes</oddHeader>
    <oddFooter>&amp;CPage &amp;P of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ColWidth="9"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2019-11-20T14:21:05Z</cp:lastPrinted>
  <dcterms:created xsi:type="dcterms:W3CDTF">1997-12-04T19:04:30Z</dcterms:created>
  <dcterms:modified xsi:type="dcterms:W3CDTF">2019-11-22T15:48:18Z</dcterms:modified>
</cp:coreProperties>
</file>