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19935" windowHeight="1182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2" i="1" l="1"/>
  <c r="F50" i="1"/>
  <c r="F22" i="1"/>
  <c r="F367" i="1"/>
  <c r="I358" i="1"/>
  <c r="G132" i="1"/>
  <c r="D37" i="14" l="1"/>
  <c r="D25" i="14"/>
  <c r="E5" i="14"/>
  <c r="D5" i="14"/>
  <c r="F5" i="13"/>
  <c r="F14" i="13"/>
  <c r="B10" i="12" l="1"/>
  <c r="B12" i="12"/>
  <c r="H397" i="1"/>
  <c r="H396" i="1"/>
  <c r="K415" i="1"/>
  <c r="G459" i="1"/>
  <c r="F459" i="1"/>
  <c r="F439" i="1"/>
  <c r="H604" i="1"/>
  <c r="F580" i="1"/>
  <c r="G521" i="1"/>
  <c r="F521" i="1"/>
  <c r="H526" i="1" l="1"/>
  <c r="G526" i="1"/>
  <c r="I526" i="1"/>
  <c r="F526" i="1"/>
  <c r="H528" i="1"/>
  <c r="H527" i="1"/>
  <c r="H523" i="1"/>
  <c r="H522" i="1"/>
  <c r="J521" i="1"/>
  <c r="I521" i="1"/>
  <c r="H521" i="1"/>
  <c r="H208" i="1" l="1"/>
  <c r="H244" i="1"/>
  <c r="H226" i="1"/>
  <c r="I207" i="1"/>
  <c r="H207" i="1"/>
  <c r="F207" i="1"/>
  <c r="K205" i="1"/>
  <c r="I205" i="1"/>
  <c r="H205" i="1"/>
  <c r="F205" i="1"/>
  <c r="H204" i="1"/>
  <c r="F204" i="1"/>
  <c r="G204" i="1"/>
  <c r="K204" i="1"/>
  <c r="I204" i="1"/>
  <c r="J203" i="1"/>
  <c r="H203" i="1"/>
  <c r="G203" i="1"/>
  <c r="I203" i="1"/>
  <c r="F203" i="1"/>
  <c r="H202" i="1"/>
  <c r="G202" i="1"/>
  <c r="I202" i="1"/>
  <c r="F202" i="1"/>
  <c r="H238" i="1"/>
  <c r="H220" i="1"/>
  <c r="K202" i="1"/>
  <c r="J202" i="1"/>
  <c r="G200" i="1"/>
  <c r="I200" i="1"/>
  <c r="H200" i="1"/>
  <c r="F200" i="1"/>
  <c r="K200" i="1"/>
  <c r="J234" i="1"/>
  <c r="H234" i="1"/>
  <c r="H216" i="1"/>
  <c r="J198" i="1"/>
  <c r="I198" i="1"/>
  <c r="H198" i="1"/>
  <c r="F198" i="1"/>
  <c r="K197" i="1"/>
  <c r="J197" i="1"/>
  <c r="I197" i="1"/>
  <c r="H197" i="1"/>
  <c r="F197" i="1"/>
  <c r="I472" i="1" l="1"/>
  <c r="H380" i="1"/>
  <c r="K380" i="1"/>
  <c r="J380" i="1"/>
  <c r="K276" i="1"/>
  <c r="G276" i="1"/>
  <c r="F276" i="1"/>
  <c r="K282" i="1"/>
  <c r="H282" i="1"/>
  <c r="K277" i="1"/>
  <c r="G277" i="1"/>
  <c r="F277" i="1"/>
  <c r="I282" i="1"/>
  <c r="I276" i="1"/>
  <c r="J282" i="1"/>
  <c r="G282" i="1"/>
  <c r="F282" i="1"/>
  <c r="H468" i="1"/>
  <c r="H159" i="1"/>
  <c r="H155" i="1"/>
  <c r="H154" i="1"/>
  <c r="F368" i="1" l="1"/>
  <c r="H358" i="1"/>
  <c r="F358"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F51" i="1"/>
  <c r="C37" i="10" l="1"/>
  <c r="F40" i="2" l="1"/>
  <c r="G655" i="1"/>
  <c r="F48" i="2"/>
  <c r="E48" i="2"/>
  <c r="D48" i="2"/>
  <c r="C48" i="2"/>
  <c r="F47" i="2"/>
  <c r="E47" i="2"/>
  <c r="D47" i="2"/>
  <c r="C47" i="2"/>
  <c r="F44" i="2"/>
  <c r="E44" i="2"/>
  <c r="D44" i="2"/>
  <c r="C44" i="2"/>
  <c r="F43" i="2"/>
  <c r="E43" i="2"/>
  <c r="D43" i="2"/>
  <c r="C43" i="2"/>
  <c r="F42" i="2"/>
  <c r="E42" i="2"/>
  <c r="D42" i="2"/>
  <c r="C42" i="2"/>
  <c r="F38" i="2"/>
  <c r="E38" i="2"/>
  <c r="D38" i="2"/>
  <c r="C38"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C125" i="2" s="1"/>
  <c r="L227" i="1"/>
  <c r="L245" i="1"/>
  <c r="G5" i="13"/>
  <c r="H5" i="13"/>
  <c r="L197" i="1"/>
  <c r="L198" i="1"/>
  <c r="L199" i="1"/>
  <c r="L200" i="1"/>
  <c r="L215" i="1"/>
  <c r="L216" i="1"/>
  <c r="L217" i="1"/>
  <c r="L218" i="1"/>
  <c r="L233" i="1"/>
  <c r="L234" i="1"/>
  <c r="L235" i="1"/>
  <c r="L236" i="1"/>
  <c r="G6" i="13"/>
  <c r="H6" i="13"/>
  <c r="L202" i="1"/>
  <c r="L220" i="1"/>
  <c r="L238" i="1"/>
  <c r="G7" i="13"/>
  <c r="H7" i="13"/>
  <c r="L203" i="1"/>
  <c r="C119" i="2" s="1"/>
  <c r="L221" i="1"/>
  <c r="L239" i="1"/>
  <c r="G12" i="13"/>
  <c r="H12" i="13"/>
  <c r="L205" i="1"/>
  <c r="L223" i="1"/>
  <c r="L241" i="1"/>
  <c r="C18" i="10" s="1"/>
  <c r="G14" i="13"/>
  <c r="H14" i="13"/>
  <c r="L207" i="1"/>
  <c r="L225" i="1"/>
  <c r="L243" i="1"/>
  <c r="G15" i="13"/>
  <c r="H15" i="13"/>
  <c r="L208" i="1"/>
  <c r="L226" i="1"/>
  <c r="G650" i="1" s="1"/>
  <c r="L244" i="1"/>
  <c r="G17" i="13"/>
  <c r="H17" i="13"/>
  <c r="L251" i="1"/>
  <c r="G18" i="13"/>
  <c r="H18" i="13"/>
  <c r="L252" i="1"/>
  <c r="D18" i="13" s="1"/>
  <c r="G19" i="13"/>
  <c r="H19" i="13"/>
  <c r="L253" i="1"/>
  <c r="G29" i="13"/>
  <c r="H29" i="13"/>
  <c r="L358" i="1"/>
  <c r="F661" i="1" s="1"/>
  <c r="L359" i="1"/>
  <c r="L360" i="1"/>
  <c r="I367" i="1"/>
  <c r="J290" i="1"/>
  <c r="J309" i="1"/>
  <c r="J328" i="1"/>
  <c r="K290" i="1"/>
  <c r="K309" i="1"/>
  <c r="K328" i="1"/>
  <c r="L276" i="1"/>
  <c r="L277" i="1"/>
  <c r="L278" i="1"/>
  <c r="L279" i="1"/>
  <c r="L281" i="1"/>
  <c r="E118" i="2" s="1"/>
  <c r="L282" i="1"/>
  <c r="E119" i="2" s="1"/>
  <c r="L283" i="1"/>
  <c r="L284" i="1"/>
  <c r="L285" i="1"/>
  <c r="E122" i="2" s="1"/>
  <c r="L286" i="1"/>
  <c r="E123" i="2" s="1"/>
  <c r="L287" i="1"/>
  <c r="L288" i="1"/>
  <c r="L295" i="1"/>
  <c r="L296" i="1"/>
  <c r="L298" i="1"/>
  <c r="L300" i="1"/>
  <c r="L301" i="1"/>
  <c r="L302" i="1"/>
  <c r="L303" i="1"/>
  <c r="L304" i="1"/>
  <c r="L305" i="1"/>
  <c r="L306" i="1"/>
  <c r="G662" i="1" s="1"/>
  <c r="L307" i="1"/>
  <c r="L314" i="1"/>
  <c r="L315" i="1"/>
  <c r="L316" i="1"/>
  <c r="L317" i="1"/>
  <c r="L319" i="1"/>
  <c r="L320" i="1"/>
  <c r="L328" i="1" s="1"/>
  <c r="L321" i="1"/>
  <c r="L322" i="1"/>
  <c r="L323" i="1"/>
  <c r="L324" i="1"/>
  <c r="L325" i="1"/>
  <c r="H662" i="1" s="1"/>
  <c r="L326" i="1"/>
  <c r="L333" i="1"/>
  <c r="L334" i="1"/>
  <c r="L335" i="1"/>
  <c r="L260" i="1"/>
  <c r="L261" i="1"/>
  <c r="C132" i="2" s="1"/>
  <c r="L341" i="1"/>
  <c r="E131" i="2" s="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61" i="2"/>
  <c r="F2" i="11"/>
  <c r="L613" i="1"/>
  <c r="H663" i="1" s="1"/>
  <c r="L612" i="1"/>
  <c r="G663" i="1" s="1"/>
  <c r="L611" i="1"/>
  <c r="F663" i="1" s="1"/>
  <c r="C40" i="10"/>
  <c r="F60" i="1"/>
  <c r="G60" i="1"/>
  <c r="D56" i="2" s="1"/>
  <c r="H60" i="1"/>
  <c r="E56" i="2" s="1"/>
  <c r="I60" i="1"/>
  <c r="F56" i="2" s="1"/>
  <c r="F79" i="1"/>
  <c r="C57" i="2" s="1"/>
  <c r="F94" i="1"/>
  <c r="C58" i="2" s="1"/>
  <c r="F111" i="1"/>
  <c r="G111" i="1"/>
  <c r="H79" i="1"/>
  <c r="E57" i="2" s="1"/>
  <c r="H94" i="1"/>
  <c r="E58" i="2" s="1"/>
  <c r="H111" i="1"/>
  <c r="I111" i="1"/>
  <c r="F121" i="1"/>
  <c r="F136" i="1"/>
  <c r="G121" i="1"/>
  <c r="G136" i="1"/>
  <c r="H121" i="1"/>
  <c r="H140" i="1" s="1"/>
  <c r="H136" i="1"/>
  <c r="I121" i="1"/>
  <c r="I136" i="1"/>
  <c r="J121" i="1"/>
  <c r="J136" i="1"/>
  <c r="F147" i="1"/>
  <c r="F162" i="1"/>
  <c r="G147" i="1"/>
  <c r="D85" i="2" s="1"/>
  <c r="G162" i="1"/>
  <c r="H147" i="1"/>
  <c r="H162" i="1"/>
  <c r="H169" i="1" s="1"/>
  <c r="I147" i="1"/>
  <c r="I162" i="1"/>
  <c r="I169" i="1" s="1"/>
  <c r="L250" i="1"/>
  <c r="C113" i="2" s="1"/>
  <c r="L332" i="1"/>
  <c r="E113" i="2" s="1"/>
  <c r="L254" i="1"/>
  <c r="L268" i="1"/>
  <c r="L269" i="1"/>
  <c r="L349" i="1"/>
  <c r="E142" i="2" s="1"/>
  <c r="L350" i="1"/>
  <c r="I665" i="1"/>
  <c r="I670" i="1"/>
  <c r="I669" i="1"/>
  <c r="C42" i="10"/>
  <c r="C32" i="10"/>
  <c r="L374" i="1"/>
  <c r="L375" i="1"/>
  <c r="L376" i="1"/>
  <c r="L377" i="1"/>
  <c r="L378" i="1"/>
  <c r="L379" i="1"/>
  <c r="L380" i="1"/>
  <c r="B2" i="10"/>
  <c r="L344" i="1"/>
  <c r="L345" i="1"/>
  <c r="E135" i="2" s="1"/>
  <c r="L346" i="1"/>
  <c r="L347" i="1"/>
  <c r="K351" i="1"/>
  <c r="L521" i="1"/>
  <c r="F549" i="1" s="1"/>
  <c r="L522" i="1"/>
  <c r="F550" i="1" s="1"/>
  <c r="L523" i="1"/>
  <c r="F551" i="1" s="1"/>
  <c r="F552" i="1" s="1"/>
  <c r="L526" i="1"/>
  <c r="G549" i="1" s="1"/>
  <c r="L527" i="1"/>
  <c r="G550" i="1" s="1"/>
  <c r="L528" i="1"/>
  <c r="G551" i="1" s="1"/>
  <c r="L531" i="1"/>
  <c r="H549" i="1" s="1"/>
  <c r="L532" i="1"/>
  <c r="H550" i="1" s="1"/>
  <c r="L533" i="1"/>
  <c r="H551" i="1" s="1"/>
  <c r="L536" i="1"/>
  <c r="I549" i="1" s="1"/>
  <c r="L537" i="1"/>
  <c r="I550" i="1" s="1"/>
  <c r="I552" i="1" s="1"/>
  <c r="L538" i="1"/>
  <c r="I551" i="1" s="1"/>
  <c r="L541" i="1"/>
  <c r="J549" i="1" s="1"/>
  <c r="L542" i="1"/>
  <c r="J550" i="1" s="1"/>
  <c r="L543" i="1"/>
  <c r="J551" i="1" s="1"/>
  <c r="E132" i="2"/>
  <c r="K270" i="1"/>
  <c r="L270" i="1" s="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2" i="2"/>
  <c r="C114" i="2"/>
  <c r="D115" i="2"/>
  <c r="F115" i="2"/>
  <c r="G115" i="2"/>
  <c r="E121" i="2"/>
  <c r="E125" i="2"/>
  <c r="F128" i="2"/>
  <c r="G128" i="2"/>
  <c r="C130" i="2"/>
  <c r="D134" i="2"/>
  <c r="D144" i="2" s="1"/>
  <c r="E134" i="2"/>
  <c r="F134" i="2"/>
  <c r="K419" i="1"/>
  <c r="K427" i="1"/>
  <c r="K433" i="1"/>
  <c r="L263" i="1"/>
  <c r="C135" i="2" s="1"/>
  <c r="L264" i="1"/>
  <c r="C136" i="2" s="1"/>
  <c r="L265" i="1"/>
  <c r="C137" i="2" s="1"/>
  <c r="E137"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G32" i="1"/>
  <c r="H32" i="1"/>
  <c r="I32" i="1"/>
  <c r="H51" i="1"/>
  <c r="F177" i="1"/>
  <c r="I177" i="1"/>
  <c r="F183" i="1"/>
  <c r="G183" i="1"/>
  <c r="H183" i="1"/>
  <c r="I183" i="1"/>
  <c r="J183" i="1"/>
  <c r="J192" i="1" s="1"/>
  <c r="F188" i="1"/>
  <c r="G188" i="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F328" i="1"/>
  <c r="G328" i="1"/>
  <c r="H328" i="1"/>
  <c r="I328" i="1"/>
  <c r="F337" i="1"/>
  <c r="G337" i="1"/>
  <c r="H337" i="1"/>
  <c r="I337" i="1"/>
  <c r="J337" i="1"/>
  <c r="K337" i="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J96" i="1" s="1"/>
  <c r="J111" i="1" s="1"/>
  <c r="J112" i="1" s="1"/>
  <c r="I401" i="1"/>
  <c r="F407" i="1"/>
  <c r="G407" i="1"/>
  <c r="H407" i="1"/>
  <c r="I407" i="1"/>
  <c r="F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G452" i="1"/>
  <c r="H452" i="1"/>
  <c r="F460" i="1"/>
  <c r="G460" i="1"/>
  <c r="G461" i="1" s="1"/>
  <c r="H640" i="1" s="1"/>
  <c r="H460" i="1"/>
  <c r="H461" i="1" s="1"/>
  <c r="H641" i="1" s="1"/>
  <c r="H470" i="1"/>
  <c r="I474" i="1"/>
  <c r="K495" i="1"/>
  <c r="K496" i="1"/>
  <c r="K497" i="1"/>
  <c r="K498" i="1"/>
  <c r="K499" i="1"/>
  <c r="K501" i="1"/>
  <c r="K502" i="1"/>
  <c r="F517" i="1"/>
  <c r="G517" i="1"/>
  <c r="H517" i="1"/>
  <c r="I517" i="1"/>
  <c r="F524" i="1"/>
  <c r="G524" i="1"/>
  <c r="G545" i="1" s="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60" i="1" s="1"/>
  <c r="L558" i="1"/>
  <c r="L559" i="1"/>
  <c r="F560" i="1"/>
  <c r="G560" i="1"/>
  <c r="H560" i="1"/>
  <c r="I560" i="1"/>
  <c r="J560" i="1"/>
  <c r="K560" i="1"/>
  <c r="L562" i="1"/>
  <c r="L563" i="1"/>
  <c r="L564" i="1"/>
  <c r="F565" i="1"/>
  <c r="F571" i="1" s="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J651" i="1" s="1"/>
  <c r="K602" i="1"/>
  <c r="K603" i="1"/>
  <c r="K604" i="1"/>
  <c r="K605" i="1" s="1"/>
  <c r="G648" i="1" s="1"/>
  <c r="H605" i="1"/>
  <c r="I605" i="1"/>
  <c r="J605" i="1"/>
  <c r="F614" i="1"/>
  <c r="G614" i="1"/>
  <c r="H614" i="1"/>
  <c r="I614" i="1"/>
  <c r="J614" i="1"/>
  <c r="K614" i="1"/>
  <c r="L614" i="1"/>
  <c r="G622" i="1"/>
  <c r="H629" i="1"/>
  <c r="G634" i="1"/>
  <c r="H634" i="1"/>
  <c r="H636" i="1"/>
  <c r="G640" i="1"/>
  <c r="G643" i="1"/>
  <c r="H643" i="1"/>
  <c r="G644" i="1"/>
  <c r="H647" i="1"/>
  <c r="G651" i="1"/>
  <c r="G652" i="1"/>
  <c r="H652" i="1"/>
  <c r="G653" i="1"/>
  <c r="H653" i="1"/>
  <c r="G654" i="1"/>
  <c r="H654" i="1"/>
  <c r="H655" i="1"/>
  <c r="J655" i="1" s="1"/>
  <c r="L256" i="1"/>
  <c r="C18" i="13"/>
  <c r="D18" i="2"/>
  <c r="E78" i="2"/>
  <c r="D81" i="2"/>
  <c r="J140" i="1"/>
  <c r="G22" i="2"/>
  <c r="F461" i="1" l="1"/>
  <c r="H639" i="1" s="1"/>
  <c r="J641" i="1"/>
  <c r="L419" i="1"/>
  <c r="L433" i="1"/>
  <c r="L427" i="1"/>
  <c r="I408" i="1"/>
  <c r="H408" i="1"/>
  <c r="H644" i="1" s="1"/>
  <c r="G59" i="2"/>
  <c r="G62" i="2" s="1"/>
  <c r="G63" i="2" s="1"/>
  <c r="G408" i="1"/>
  <c r="H645" i="1" s="1"/>
  <c r="J643" i="1"/>
  <c r="L393" i="1"/>
  <c r="C138" i="2" s="1"/>
  <c r="G81" i="2"/>
  <c r="G661" i="1"/>
  <c r="G192" i="1"/>
  <c r="A40" i="12"/>
  <c r="A31" i="12"/>
  <c r="J644" i="1"/>
  <c r="J640" i="1"/>
  <c r="G645" i="1"/>
  <c r="F18" i="2"/>
  <c r="K598" i="1"/>
  <c r="G647" i="1" s="1"/>
  <c r="J647" i="1" s="1"/>
  <c r="L570" i="1"/>
  <c r="H571" i="1"/>
  <c r="L565" i="1"/>
  <c r="I571" i="1"/>
  <c r="K571" i="1"/>
  <c r="J552" i="1"/>
  <c r="J545" i="1"/>
  <c r="K549" i="1"/>
  <c r="I545" i="1"/>
  <c r="K545" i="1"/>
  <c r="G552" i="1"/>
  <c r="L529" i="1"/>
  <c r="H545" i="1"/>
  <c r="H552" i="1"/>
  <c r="G164" i="2"/>
  <c r="G156" i="2"/>
  <c r="C18" i="2"/>
  <c r="F78" i="2"/>
  <c r="I112" i="1"/>
  <c r="H617" i="1"/>
  <c r="J617" i="1" s="1"/>
  <c r="K257" i="1"/>
  <c r="C13" i="10"/>
  <c r="F257" i="1"/>
  <c r="F271" i="1" s="1"/>
  <c r="E13" i="13"/>
  <c r="C13" i="13" s="1"/>
  <c r="K271" i="1"/>
  <c r="D15" i="13"/>
  <c r="C15" i="13" s="1"/>
  <c r="C120" i="2"/>
  <c r="D6" i="13"/>
  <c r="C6" i="13" s="1"/>
  <c r="H257" i="1"/>
  <c r="H271" i="1" s="1"/>
  <c r="C121" i="2"/>
  <c r="C112" i="2"/>
  <c r="J257" i="1"/>
  <c r="L247" i="1"/>
  <c r="H660" i="1" s="1"/>
  <c r="I257" i="1"/>
  <c r="I271" i="1" s="1"/>
  <c r="L211" i="1"/>
  <c r="F192" i="1"/>
  <c r="C91" i="2"/>
  <c r="F169" i="1"/>
  <c r="C78" i="2"/>
  <c r="F112" i="1"/>
  <c r="C70" i="2"/>
  <c r="C81" i="2" s="1"/>
  <c r="F130" i="2"/>
  <c r="F144" i="2" s="1"/>
  <c r="F145" i="2" s="1"/>
  <c r="F81" i="2"/>
  <c r="C26" i="10"/>
  <c r="L351" i="1"/>
  <c r="G22" i="13"/>
  <c r="C22" i="13" s="1"/>
  <c r="E114" i="2"/>
  <c r="E120" i="2"/>
  <c r="E124" i="2"/>
  <c r="F338" i="1"/>
  <c r="F352" i="1" s="1"/>
  <c r="C11" i="10"/>
  <c r="G338" i="1"/>
  <c r="G352" i="1" s="1"/>
  <c r="C20" i="10"/>
  <c r="H52" i="1"/>
  <c r="H619" i="1" s="1"/>
  <c r="J619" i="1" s="1"/>
  <c r="E110" i="2"/>
  <c r="K338" i="1"/>
  <c r="K352" i="1" s="1"/>
  <c r="L290" i="1"/>
  <c r="E103" i="2"/>
  <c r="E62" i="2"/>
  <c r="E63" i="2" s="1"/>
  <c r="H112" i="1"/>
  <c r="H193" i="1" s="1"/>
  <c r="G629" i="1" s="1"/>
  <c r="J629" i="1" s="1"/>
  <c r="D91" i="2"/>
  <c r="C35" i="10"/>
  <c r="D31" i="2"/>
  <c r="J634" i="1"/>
  <c r="L362" i="1"/>
  <c r="G472" i="1" s="1"/>
  <c r="D62" i="2"/>
  <c r="D63" i="2" s="1"/>
  <c r="J639" i="1"/>
  <c r="C62" i="2"/>
  <c r="K551" i="1"/>
  <c r="I25" i="13"/>
  <c r="K550" i="1"/>
  <c r="J271" i="1"/>
  <c r="G624" i="1"/>
  <c r="L534" i="1"/>
  <c r="K500" i="1"/>
  <c r="I460" i="1"/>
  <c r="I452" i="1"/>
  <c r="I446" i="1"/>
  <c r="G642" i="1" s="1"/>
  <c r="H338" i="1"/>
  <c r="H352" i="1" s="1"/>
  <c r="C123" i="2"/>
  <c r="E109" i="2"/>
  <c r="C56" i="2"/>
  <c r="F662" i="1"/>
  <c r="I662" i="1" s="1"/>
  <c r="C25" i="10"/>
  <c r="C21" i="10"/>
  <c r="C17" i="10"/>
  <c r="G112" i="1"/>
  <c r="D19" i="13"/>
  <c r="C19" i="13" s="1"/>
  <c r="D14" i="13"/>
  <c r="C14" i="13" s="1"/>
  <c r="L382" i="1"/>
  <c r="G636" i="1" s="1"/>
  <c r="J636" i="1" s="1"/>
  <c r="C111" i="2"/>
  <c r="H661" i="1"/>
  <c r="I661" i="1" s="1"/>
  <c r="C15" i="10"/>
  <c r="A13" i="12"/>
  <c r="D29" i="13"/>
  <c r="C29" i="13" s="1"/>
  <c r="D12" i="13"/>
  <c r="C12" i="13" s="1"/>
  <c r="D5" i="13"/>
  <c r="C5" i="13" s="1"/>
  <c r="E8" i="13"/>
  <c r="C8" i="13" s="1"/>
  <c r="E128" i="2"/>
  <c r="L539" i="1"/>
  <c r="K503" i="1"/>
  <c r="G257" i="1"/>
  <c r="G271" i="1" s="1"/>
  <c r="C142" i="2"/>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E51" i="2" s="1"/>
  <c r="C50" i="2"/>
  <c r="F31" i="2"/>
  <c r="C31" i="2"/>
  <c r="E18" i="2"/>
  <c r="E144" i="2"/>
  <c r="C24" i="10"/>
  <c r="H31" i="13"/>
  <c r="H33" i="13" s="1"/>
  <c r="J650" i="1"/>
  <c r="L407" i="1"/>
  <c r="C140" i="2" s="1"/>
  <c r="C141" i="2" s="1"/>
  <c r="L571" i="1"/>
  <c r="I192" i="1"/>
  <c r="E91" i="2"/>
  <c r="J654" i="1"/>
  <c r="J653" i="1"/>
  <c r="G21" i="2"/>
  <c r="G31" i="2" s="1"/>
  <c r="J32" i="1"/>
  <c r="L434" i="1"/>
  <c r="J434" i="1"/>
  <c r="F434" i="1"/>
  <c r="K434" i="1"/>
  <c r="G134" i="2" s="1"/>
  <c r="G144" i="2" s="1"/>
  <c r="G145" i="2" s="1"/>
  <c r="G31" i="13"/>
  <c r="G33" i="13" s="1"/>
  <c r="J193" i="1"/>
  <c r="G646" i="1" s="1"/>
  <c r="G169" i="1"/>
  <c r="G140" i="1"/>
  <c r="F140" i="1"/>
  <c r="F193" i="1" s="1"/>
  <c r="G42" i="2"/>
  <c r="J51" i="1"/>
  <c r="G16" i="2"/>
  <c r="G18" i="2" s="1"/>
  <c r="J19" i="1"/>
  <c r="G621" i="1" s="1"/>
  <c r="F545" i="1"/>
  <c r="H434" i="1"/>
  <c r="D103" i="2"/>
  <c r="D104" i="2" s="1"/>
  <c r="I140" i="1"/>
  <c r="A22" i="12"/>
  <c r="G50" i="2"/>
  <c r="H648" i="1"/>
  <c r="J648" i="1" s="1"/>
  <c r="J652" i="1"/>
  <c r="G571" i="1"/>
  <c r="I434" i="1"/>
  <c r="G434" i="1"/>
  <c r="I663" i="1"/>
  <c r="C27" i="10"/>
  <c r="G635" i="1"/>
  <c r="G51" i="2" l="1"/>
  <c r="G638" i="1"/>
  <c r="J472" i="1"/>
  <c r="L408" i="1"/>
  <c r="J645" i="1"/>
  <c r="G637" i="1"/>
  <c r="J468" i="1"/>
  <c r="G474" i="1"/>
  <c r="H635" i="1"/>
  <c r="J635" i="1" s="1"/>
  <c r="I461" i="1"/>
  <c r="H642" i="1" s="1"/>
  <c r="J642" i="1" s="1"/>
  <c r="G104" i="2"/>
  <c r="K552" i="1"/>
  <c r="L545" i="1"/>
  <c r="F104" i="2"/>
  <c r="G627" i="1"/>
  <c r="F468" i="1"/>
  <c r="I51" i="1"/>
  <c r="F36" i="2"/>
  <c r="F50" i="2" s="1"/>
  <c r="F51" i="2" s="1"/>
  <c r="C144" i="2"/>
  <c r="C128" i="2"/>
  <c r="C115" i="2"/>
  <c r="G36" i="14"/>
  <c r="H36" i="14" s="1"/>
  <c r="I36" i="14" s="1"/>
  <c r="E33" i="13"/>
  <c r="D35" i="13" s="1"/>
  <c r="L257" i="1"/>
  <c r="L271" i="1" s="1"/>
  <c r="C39" i="10"/>
  <c r="I193" i="1"/>
  <c r="I468" i="1" s="1"/>
  <c r="F660" i="1"/>
  <c r="F664" i="1" s="1"/>
  <c r="F667" i="1" s="1"/>
  <c r="G4" i="14"/>
  <c r="H4" i="14" s="1"/>
  <c r="I4" i="14" s="1"/>
  <c r="E104" i="2"/>
  <c r="C36" i="10"/>
  <c r="H664" i="1"/>
  <c r="C63" i="2"/>
  <c r="C104" i="2" s="1"/>
  <c r="H646" i="1"/>
  <c r="J646" i="1" s="1"/>
  <c r="C25" i="13"/>
  <c r="I33" i="13"/>
  <c r="C51" i="2"/>
  <c r="G631" i="1"/>
  <c r="G193" i="1"/>
  <c r="G626" i="1"/>
  <c r="J52" i="1"/>
  <c r="H621" i="1" s="1"/>
  <c r="J621" i="1" s="1"/>
  <c r="C38" i="10"/>
  <c r="H638" i="1" l="1"/>
  <c r="J638" i="1" s="1"/>
  <c r="J474" i="1"/>
  <c r="J470" i="1"/>
  <c r="H631" i="1"/>
  <c r="J631" i="1" s="1"/>
  <c r="H637" i="1"/>
  <c r="J637" i="1" s="1"/>
  <c r="H627" i="1"/>
  <c r="J627" i="1" s="1"/>
  <c r="F470" i="1"/>
  <c r="G630" i="1"/>
  <c r="G625" i="1"/>
  <c r="I52" i="1"/>
  <c r="H620" i="1" s="1"/>
  <c r="J620" i="1" s="1"/>
  <c r="G632" i="1"/>
  <c r="F472" i="1"/>
  <c r="C145" i="2"/>
  <c r="F672" i="1"/>
  <c r="C4" i="10" s="1"/>
  <c r="L297" i="1"/>
  <c r="I309" i="1"/>
  <c r="I338" i="1" s="1"/>
  <c r="I352" i="1" s="1"/>
  <c r="G628" i="1"/>
  <c r="G468" i="1"/>
  <c r="H667" i="1"/>
  <c r="H672" i="1"/>
  <c r="C6" i="10" s="1"/>
  <c r="C41" i="10"/>
  <c r="D38" i="10" s="1"/>
  <c r="J476" i="1" l="1"/>
  <c r="H626" i="1" s="1"/>
  <c r="J626" i="1" s="1"/>
  <c r="I470" i="1"/>
  <c r="I476" i="1" s="1"/>
  <c r="H625" i="1" s="1"/>
  <c r="J625" i="1" s="1"/>
  <c r="H630" i="1"/>
  <c r="J630" i="1" s="1"/>
  <c r="F474" i="1"/>
  <c r="F476" i="1" s="1"/>
  <c r="H622" i="1" s="1"/>
  <c r="J622" i="1" s="1"/>
  <c r="H632" i="1"/>
  <c r="J632" i="1" s="1"/>
  <c r="C12" i="10"/>
  <c r="E111" i="2"/>
  <c r="E115" i="2" s="1"/>
  <c r="E145" i="2" s="1"/>
  <c r="L309" i="1"/>
  <c r="H628" i="1"/>
  <c r="J628" i="1" s="1"/>
  <c r="G470" i="1"/>
  <c r="G476" i="1" s="1"/>
  <c r="D37" i="10"/>
  <c r="D36" i="10"/>
  <c r="D35" i="10"/>
  <c r="D40" i="10"/>
  <c r="D39" i="10"/>
  <c r="G660" i="1" l="1"/>
  <c r="L338" i="1"/>
  <c r="L352" i="1" s="1"/>
  <c r="G24" i="14"/>
  <c r="H24" i="14" s="1"/>
  <c r="I24" i="14" s="1"/>
  <c r="D31" i="13"/>
  <c r="C28" i="10"/>
  <c r="D12" i="10" s="1"/>
  <c r="H623" i="1"/>
  <c r="D41" i="10"/>
  <c r="G633" i="1" l="1"/>
  <c r="H472" i="1"/>
  <c r="C31" i="13"/>
  <c r="D33" i="13"/>
  <c r="D36" i="13" s="1"/>
  <c r="D23" i="10"/>
  <c r="D25" i="10"/>
  <c r="D18" i="10"/>
  <c r="D24" i="10"/>
  <c r="D13" i="10"/>
  <c r="D26" i="10"/>
  <c r="D20" i="10"/>
  <c r="D17" i="10"/>
  <c r="D19" i="10"/>
  <c r="D21" i="10"/>
  <c r="D10" i="10"/>
  <c r="D27" i="10"/>
  <c r="C30" i="10"/>
  <c r="D16" i="10"/>
  <c r="D15" i="10"/>
  <c r="D11" i="10"/>
  <c r="D22" i="10"/>
  <c r="G664" i="1"/>
  <c r="I660" i="1"/>
  <c r="I664" i="1" s="1"/>
  <c r="G51" i="1"/>
  <c r="D39" i="2"/>
  <c r="D50" i="2" s="1"/>
  <c r="D51" i="2" s="1"/>
  <c r="H474" i="1" l="1"/>
  <c r="H476" i="1" s="1"/>
  <c r="H624" i="1" s="1"/>
  <c r="J624" i="1" s="1"/>
  <c r="H633" i="1"/>
  <c r="J633" i="1" s="1"/>
  <c r="G667" i="1"/>
  <c r="G672" i="1"/>
  <c r="C5" i="10" s="1"/>
  <c r="I672" i="1"/>
  <c r="C7" i="10" s="1"/>
  <c r="I667" i="1"/>
  <c r="D28" i="10"/>
  <c r="G623" i="1"/>
  <c r="G52" i="1"/>
  <c r="H618" i="1" s="1"/>
  <c r="J618" i="1" s="1"/>
  <c r="H656" i="1" l="1"/>
  <c r="J623"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<sst xmlns="http://schemas.openxmlformats.org/spreadsheetml/2006/main" count="5507" uniqueCount="1612">
  <si>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</si>
  <si>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</si>
  <si>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</si>
  <si>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</si>
  <si>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</si>
  <si>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</si>
  <si>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</si>
  <si>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</si>
  <si>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</si>
  <si>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</si>
  <si>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</si>
  <si>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</si>
  <si>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</si>
  <si>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</si>
  <si>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</si>
  <si>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</si>
  <si>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</si>
  <si>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</si>
  <si>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</si>
  <si>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</si>
  <si>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</si>
  <si>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</si>
  <si>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</si>
  <si>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</si>
  <si>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</si>
  <si>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</si>
  <si>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</si>
  <si>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</si>
  <si>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</si>
  <si>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</si>
  <si>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</si>
  <si>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</si>
  <si>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</si>
  <si>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</si>
  <si>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</si>
  <si>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</si>
  <si>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</si>
  <si>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</si>
  <si>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</si>
  <si>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</si>
  <si>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</si>
  <si>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</si>
  <si>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</si>
  <si>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</si>
  <si>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</si>
  <si>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</si>
  <si>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</si>
  <si>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</si>
  <si>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</si>
  <si>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</si>
  <si>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</si>
  <si>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</si>
  <si>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</si>
  <si>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</si>
  <si>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</si>
  <si>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</si>
  <si>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</si>
  <si>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</si>
  <si>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</si>
  <si>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</si>
  <si>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</si>
  <si>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</si>
  <si>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</si>
  <si>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</si>
  <si>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</si>
  <si>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</si>
  <si>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</si>
  <si>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</si>
  <si>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</si>
  <si>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</si>
  <si>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</si>
  <si>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</si>
  <si>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</si>
  <si>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</si>
  <si>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</si>
  <si>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</si>
  <si>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</si>
  <si>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</si>
  <si>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</si>
  <si>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</si>
  <si>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</si>
  <si>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</si>
  <si>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</si>
  <si>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</si>
  <si>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</si>
  <si>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</si>
  <si>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</si>
  <si>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</si>
  <si>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</si>
  <si>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</si>
  <si>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</si>
  <si>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</si>
  <si>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</si>
  <si>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</si>
  <si>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</si>
  <si>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</si>
  <si>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</si>
  <si>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</si>
  <si>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</si>
  <si>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</si>
  <si>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</si>
  <si>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</si>
  <si>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</si>
  <si>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</si>
  <si>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</si>
  <si>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</si>
  <si>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</si>
  <si>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</si>
  <si>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</si>
  <si>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</si>
  <si>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</si>
  <si>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</si>
  <si>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</si>
  <si>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</si>
  <si>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</si>
  <si>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</si>
  <si>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</si>
  <si>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</si>
  <si>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</si>
  <si>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</si>
  <si>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</si>
  <si>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</si>
  <si>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</si>
  <si>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</si>
  <si>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</si>
  <si>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</si>
  <si>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</si>
  <si>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</si>
  <si>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</si>
  <si>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</si>
  <si>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</si>
  <si>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</si>
  <si>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</si>
  <si>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</si>
  <si>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</si>
  <si>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</si>
  <si>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</si>
  <si>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</si>
  <si>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</si>
  <si>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</si>
  <si>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</si>
  <si>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</si>
  <si>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</si>
  <si>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</si>
  <si>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</si>
  <si>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</si>
  <si>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</si>
  <si>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</si>
  <si>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</si>
  <si>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</si>
  <si>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</si>
  <si>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</si>
  <si>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</si>
  <si>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</si>
  <si>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</si>
  <si>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</si>
  <si>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</si>
  <si>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</si>
  <si>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</si>
  <si>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</si>
  <si>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</si>
  <si>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</si>
  <si>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</si>
  <si>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</si>
  <si>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</si>
  <si>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</si>
  <si>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</si>
  <si>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</si>
  <si>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</si>
  <si>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</si>
  <si>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</si>
  <si>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</si>
  <si>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</si>
  <si>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</si>
  <si>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</si>
  <si>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</si>
  <si>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</si>
  <si>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</si>
  <si>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</si>
  <si>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</si>
  <si>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</si>
  <si>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</si>
  <si>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</si>
  <si>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</si>
  <si>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</si>
  <si>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</si>
  <si>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</si>
  <si>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</si>
  <si>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</si>
  <si>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</si>
  <si>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</si>
  <si>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</si>
  <si>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</si>
  <si>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</si>
  <si>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</si>
  <si>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</si>
  <si>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</si>
  <si>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</si>
  <si>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</si>
  <si>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</si>
  <si>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</si>
  <si>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</si>
  <si>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</si>
  <si>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</si>
  <si>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</si>
  <si>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</si>
  <si>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</si>
  <si>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</si>
  <si>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</si>
  <si>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</si>
  <si>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</si>
  <si>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</si>
  <si>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</si>
  <si>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</si>
  <si>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</si>
  <si>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</si>
  <si>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</si>
  <si>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</si>
  <si>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</si>
  <si>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</si>
  <si>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</si>
  <si>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</si>
  <si>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</si>
  <si>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</si>
  <si>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</si>
  <si>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</si>
  <si>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</si>
  <si>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</si>
  <si>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</si>
  <si>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</si>
  <si>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</si>
  <si>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</si>
  <si>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</si>
  <si>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</si>
  <si>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</si>
  <si>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</si>
  <si>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</si>
  <si>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</si>
  <si>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</si>
  <si>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</si>
  <si>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</si>
  <si>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</si>
  <si>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</si>
  <si>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</si>
  <si>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</si>
  <si>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</si>
  <si>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</si>
  <si>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</si>
  <si>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</si>
  <si>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</si>
  <si>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</si>
  <si>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</si>
  <si>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</si>
  <si>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</si>
  <si>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</si>
  <si>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</si>
  <si>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</si>
  <si>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</si>
  <si>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</si>
  <si>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</si>
  <si>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</si>
  <si>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</si>
  <si>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</si>
  <si>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</si>
  <si>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</si>
  <si>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</si>
  <si>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</si>
  <si>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</si>
  <si>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</si>
  <si>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</si>
  <si>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</si>
  <si>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</si>
  <si>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</si>
  <si>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</si>
  <si>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</si>
  <si>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</si>
  <si>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</si>
  <si>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</si>
  <si>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</si>
  <si>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</si>
  <si>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</si>
  <si>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</si>
  <si>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</si>
  <si>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</si>
  <si>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</si>
  <si>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</si>
  <si>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</si>
  <si>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</si>
  <si>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</si>
  <si>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</si>
  <si>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</si>
  <si>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</si>
  <si>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</si>
  <si>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</si>
  <si>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</si>
  <si>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</si>
  <si>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</si>
  <si>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</si>
  <si>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</si>
  <si>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</si>
  <si>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</si>
  <si>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</si>
  <si>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</si>
  <si>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</si>
  <si>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</si>
  <si>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</si>
  <si>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</si>
  <si>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</si>
  <si>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</si>
  <si>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</si>
  <si>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</si>
  <si>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</si>
  <si>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</si>
  <si>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</si>
  <si>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</si>
  <si>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</si>
  <si>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</si>
  <si>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</si>
  <si>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</si>
  <si>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</si>
  <si>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</si>
  <si>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</si>
  <si>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</si>
  <si>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</si>
  <si>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</si>
  <si>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</si>
  <si>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</si>
  <si>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</si>
  <si>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</si>
  <si>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</si>
  <si>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</si>
  <si>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</si>
  <si>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</si>
  <si>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</si>
  <si>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</si>
  <si>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</si>
  <si>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</si>
  <si>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</si>
  <si>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</si>
  <si>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</si>
  <si>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</si>
  <si>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</si>
  <si>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</si>
  <si>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</si>
  <si>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</si>
  <si>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</si>
  <si>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</si>
  <si>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</si>
  <si>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</si>
  <si>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</si>
  <si>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</si>
  <si>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</si>
  <si>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</si>
  <si>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</si>
  <si>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</si>
  <si>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</si>
  <si>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</si>
  <si>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</si>
  <si>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</si>
  <si>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</si>
  <si>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</si>
  <si>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</si>
  <si>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</si>
  <si>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</si>
  <si>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</si>
  <si>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</si>
  <si>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</si>
  <si>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</si>
  <si>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</si>
  <si>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</si>
  <si>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</si>
  <si>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</si>
  <si>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</si>
  <si>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</si>
  <si>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</si>
  <si>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</si>
  <si>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</si>
  <si>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</si>
  <si>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</si>
  <si>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</si>
  <si>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</si>
  <si>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</si>
  <si>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</si>
  <si>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</si>
  <si>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</si>
  <si>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</si>
  <si>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</si>
  <si>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</si>
  <si>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</si>
  <si>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</si>
  <si>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</si>
  <si>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</si>
  <si>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</si>
  <si>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</si>
  <si>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</si>
  <si>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</si>
  <si>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</si>
  <si>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</si>
  <si>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</si>
  <si>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</si>
  <si>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</si>
  <si>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</si>
  <si>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</si>
  <si>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</si>
  <si>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</si>
  <si>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</si>
  <si>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</si>
  <si>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</si>
  <si>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</si>
  <si>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</si>
  <si>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</si>
  <si>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</si>
  <si>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</si>
  <si>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</si>
  <si>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</si>
  <si>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</si>
  <si>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</si>
  <si>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</si>
  <si>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</si>
  <si>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</si>
  <si>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</si>
  <si>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</si>
  <si>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</si>
  <si>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</si>
  <si>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</si>
  <si>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</si>
  <si>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</si>
  <si>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</si>
  <si>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</si>
  <si>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</si>
  <si>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</si>
  <si>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</si>
  <si>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</si>
  <si>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</si>
  <si>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</si>
  <si>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</si>
  <si>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</si>
  <si>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</si>
  <si>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</si>
  <si>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</si>
  <si>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</si>
  <si>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</si>
  <si>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</si>
  <si>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</si>
  <si>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</si>
  <si>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</si>
  <si>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</si>
  <si>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</si>
  <si>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</si>
  <si>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</si>
  <si>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</si>
  <si>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</si>
  <si>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</si>
  <si>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</si>
  <si>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</si>
  <si>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</si>
  <si>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</si>
  <si>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</si>
  <si>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</si>
  <si>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</si>
  <si>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</si>
  <si>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</si>
  <si>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</si>
  <si>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</si>
  <si>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</si>
  <si>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</si>
  <si>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</si>
  <si>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</si>
  <si>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</si>
  <si>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</si>
  <si>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</si>
  <si>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</si>
  <si>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</si>
  <si>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</si>
  <si>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</si>
  <si>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</si>
  <si>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</si>
  <si>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</si>
  <si>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</si>
  <si>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</si>
  <si>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</si>
  <si>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</si>
  <si>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</si>
  <si>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</si>
  <si>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</si>
  <si>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</si>
  <si>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</si>
  <si>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</si>
  <si>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</si>
  <si>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</si>
  <si>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</si>
  <si>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</si>
  <si>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</si>
  <si>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</si>
  <si>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</si>
  <si>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</si>
  <si>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</si>
  <si>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</si>
  <si>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</si>
  <si>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</si>
  <si>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</si>
  <si>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</si>
  <si>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</si>
  <si>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</si>
  <si>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</si>
  <si>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</si>
  <si>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</si>
  <si>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</si>
  <si>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</si>
  <si>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</si>
  <si>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</si>
  <si>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</si>
  <si>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</si>
  <si>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</si>
  <si>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</si>
  <si>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</si>
  <si>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</si>
  <si>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</si>
  <si>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</si>
  <si>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</si>
  <si>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</si>
  <si>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</si>
  <si>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</si>
  <si>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</si>
  <si>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</si>
  <si>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</si>
  <si>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</si>
  <si>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</si>
  <si>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</si>
  <si>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</si>
  <si>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</si>
  <si>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</si>
  <si>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</si>
  <si>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</si>
  <si>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</si>
  <si>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</si>
  <si>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</si>
  <si>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</si>
  <si>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</si>
  <si>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</si>
  <si>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</si>
  <si>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</si>
  <si>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</si>
  <si>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</si>
  <si>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</si>
  <si>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</si>
  <si>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</si>
  <si>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</si>
  <si>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</si>
  <si>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</si>
  <si>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</si>
  <si>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</si>
  <si>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</si>
  <si>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</si>
  <si>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</si>
  <si>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</si>
  <si>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</si>
  <si>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</si>
  <si>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</si>
  <si>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</si>
  <si>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</si>
  <si>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</si>
  <si>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</si>
  <si>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</si>
  <si>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</si>
  <si>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</si>
  <si>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</si>
  <si>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</si>
  <si>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</si>
  <si>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</si>
  <si>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</si>
  <si>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</si>
  <si>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</si>
  <si>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</si>
  <si>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</si>
  <si>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</si>
  <si>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</si>
  <si>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</si>
  <si>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</si>
  <si>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</si>
  <si>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</si>
  <si>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</si>
  <si>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</si>
  <si>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</si>
  <si>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</si>
  <si>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</si>
  <si>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</si>
  <si>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</si>
  <si>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</si>
  <si>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</si>
  <si>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</si>
  <si>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</si>
  <si>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</si>
  <si>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</si>
  <si>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</si>
  <si>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</si>
  <si>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</si>
  <si>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</si>
  <si>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</si>
  <si>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</si>
  <si>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</si>
  <si>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</si>
  <si>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</si>
  <si>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</si>
  <si>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</si>
  <si>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</si>
  <si>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</si>
  <si>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</si>
  <si>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</si>
  <si>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</si>
  <si>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</si>
  <si>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</si>
  <si>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</si>
  <si>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</si>
  <si>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</si>
  <si>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</si>
  <si>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</si>
  <si>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</si>
  <si>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</si>
  <si>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</si>
  <si>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</si>
  <si>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</si>
  <si>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</si>
  <si>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</si>
  <si>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</si>
  <si>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</si>
  <si>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</si>
  <si>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</si>
  <si>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</si>
  <si>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</si>
  <si>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</si>
  <si>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</si>
  <si>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</si>
  <si>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</si>
  <si>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</si>
  <si>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</si>
  <si>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</si>
  <si>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</si>
  <si>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</si>
  <si>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</si>
  <si>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</si>
  <si>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</si>
  <si>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</si>
  <si>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</si>
  <si>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</si>
  <si>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</si>
  <si>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</si>
  <si>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</si>
  <si>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</si>
  <si>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</si>
  <si>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</si>
  <si>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</si>
  <si>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</si>
  <si>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</si>
  <si>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</si>
  <si>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</si>
  <si>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</si>
  <si>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</si>
  <si>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</si>
  <si>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</si>
  <si>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</si>
  <si>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</si>
  <si>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</si>
  <si>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</si>
  <si>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</si>
  <si>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</si>
  <si>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</si>
  <si>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</si>
  <si>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</si>
  <si>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</si>
  <si>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</si>
  <si>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</si>
  <si>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</si>
  <si>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</si>
  <si>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</si>
  <si>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</si>
  <si>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</si>
  <si>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</si>
  <si>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</si>
  <si>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</si>
  <si>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</si>
  <si>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</si>
  <si>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</si>
  <si>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</si>
  <si>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</si>
  <si>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</si>
  <si>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</si>
  <si>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</si>
  <si>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</si>
  <si>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</si>
  <si>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</si>
  <si>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</si>
  <si>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</si>
  <si>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</si>
  <si>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</si>
  <si>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</si>
  <si>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</si>
  <si>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</si>
  <si>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</si>
  <si>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</si>
  <si>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</si>
  <si>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</si>
  <si>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</si>
  <si>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</si>
  <si>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</si>
  <si>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</si>
  <si>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</si>
  <si>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</si>
  <si>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</si>
  <si>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</si>
  <si>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</si>
  <si>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</si>
  <si>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</si>
  <si>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</si>
  <si>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</si>
  <si>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</si>
  <si>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</si>
  <si>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</si>
  <si>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</si>
  <si>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</si>
  <si>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</si>
  <si>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</si>
  <si>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</si>
  <si>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</si>
  <si>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</si>
  <si>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</si>
  <si>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</si>
  <si>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</si>
  <si>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</si>
  <si>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</si>
  <si>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</si>
  <si>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</si>
  <si>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</si>
  <si>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</si>
  <si>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</si>
  <si>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</si>
  <si>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</si>
  <si>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</si>
  <si>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</si>
  <si>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</si>
  <si>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</si>
  <si>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</si>
  <si>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</si>
  <si>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</si>
  <si>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</si>
  <si>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</si>
  <si>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</si>
  <si>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</si>
  <si>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</si>
  <si>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</si>
  <si>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</si>
  <si>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</si>
  <si>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</si>
  <si>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</si>
  <si>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</si>
  <si>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</si>
  <si>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</si>
  <si>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</si>
  <si>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</si>
  <si>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</si>
  <si>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</si>
  <si>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</si>
  <si>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</si>
  <si>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</si>
  <si>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</si>
  <si>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</si>
  <si>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</si>
  <si>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</si>
  <si>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</si>
  <si>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</si>
  <si>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</si>
  <si>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</si>
  <si>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</si>
  <si>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</si>
  <si>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</si>
  <si>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</si>
  <si>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</si>
  <si>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</si>
  <si>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</si>
  <si>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</si>
  <si>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</si>
  <si>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</si>
  <si>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</si>
  <si>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</si>
  <si>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</si>
  <si>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</si>
  <si>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</si>
  <si>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</si>
  <si>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</si>
  <si>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</si>
  <si>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</si>
  <si>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</si>
  <si>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</si>
  <si>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</si>
  <si>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</si>
  <si>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</si>
  <si>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</si>
  <si>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</si>
  <si>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</si>
  <si>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</si>
  <si>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</si>
  <si>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</si>
  <si>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</si>
  <si>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</si>
  <si>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</si>
  <si>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</si>
  <si>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</si>
  <si>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</si>
  <si>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</si>
  <si>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</si>
  <si>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</si>
  <si>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</si>
  <si>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</si>
  <si>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</si>
  <si>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</si>
  <si>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</si>
  <si>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</si>
  <si>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</si>
  <si>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</si>
  <si>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</si>
  <si>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</si>
  <si>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</si>
  <si>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</si>
  <si>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</si>
  <si>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</si>
  <si>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</si>
  <si>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</si>
  <si>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</si>
  <si>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</si>
  <si>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</si>
  <si>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</si>
  <si>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</si>
  <si>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</si>
  <si>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</si>
  <si>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</si>
  <si>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</si>
  <si>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</si>
  <si>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</si>
  <si>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</si>
  <si>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</si>
  <si>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</si>
  <si>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</si>
  <si>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</si>
  <si>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</si>
  <si>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</si>
  <si>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</si>
  <si>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</si>
  <si>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</si>
  <si>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</si>
  <si>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</si>
  <si>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</si>
  <si>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</si>
  <si>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</si>
  <si>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</si>
  <si>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</si>
  <si>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</si>
  <si>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</si>
  <si>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</si>
  <si>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</si>
  <si>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</si>
  <si>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</si>
  <si>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</si>
  <si>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</si>
  <si>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</si>
  <si>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</si>
  <si>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</si>
  <si>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</si>
  <si>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</si>
  <si>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</si>
  <si>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</si>
  <si>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</si>
  <si>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</si>
  <si>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</si>
  <si>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</si>
  <si>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</si>
  <si>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</si>
  <si>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</si>
  <si>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</si>
  <si>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</si>
  <si>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</si>
  <si>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</si>
  <si>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</si>
  <si>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</si>
  <si>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</si>
  <si>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</si>
  <si>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</si>
  <si>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</si>
  <si>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</si>
  <si>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</si>
  <si>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</si>
  <si>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</si>
  <si>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</si>
  <si>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</si>
  <si>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</si>
  <si>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</si>
  <si>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</si>
  <si>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</si>
  <si>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</si>
  <si>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</si>
  <si>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</si>
  <si>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</si>
  <si>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</si>
  <si>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</si>
  <si>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</si>
  <si>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</si>
  <si>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</si>
  <si>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</si>
  <si>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</si>
  <si>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</si>
  <si>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</si>
  <si>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</si>
  <si>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</si>
  <si>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</si>
  <si>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</si>
  <si>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</si>
  <si>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</si>
  <si>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</si>
  <si>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</si>
  <si>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</si>
  <si>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</si>
  <si>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</si>
  <si>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</si>
  <si>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</si>
  <si>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</si>
  <si>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</si>
  <si>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</si>
  <si>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</si>
  <si>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</si>
  <si>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</si>
  <si>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</si>
  <si>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</si>
  <si>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</si>
  <si>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</si>
  <si>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</si>
  <si>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</si>
  <si>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</si>
  <si>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</si>
  <si>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</si>
  <si>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</si>
  <si>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</si>
  <si>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</si>
  <si>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</si>
  <si>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</si>
  <si>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</si>
  <si>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</si>
  <si>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</si>
  <si>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</si>
  <si>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</si>
  <si>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</si>
  <si>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</si>
  <si>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</si>
  <si>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</si>
  <si>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</si>
  <si>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</si>
  <si>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</si>
  <si>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</si>
  <si>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</si>
  <si>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</si>
  <si>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</si>
  <si>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</si>
  <si>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</si>
  <si>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</si>
  <si>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</si>
  <si>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</si>
  <si>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</si>
  <si>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</si>
  <si>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</si>
  <si>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</si>
  <si>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</si>
  <si>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</si>
  <si>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</si>
  <si>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</si>
  <si>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</si>
  <si>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</si>
  <si>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</si>
  <si>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</si>
  <si>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</si>
  <si>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</si>
  <si>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</si>
  <si>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</si>
  <si>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</si>
  <si>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</si>
  <si>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</si>
  <si>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</si>
  <si>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</si>
  <si>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</si>
  <si>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</si>
  <si>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</si>
  <si>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</si>
  <si>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</si>
  <si>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</si>
  <si>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</si>
  <si>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</si>
  <si>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</si>
  <si>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</si>
  <si>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</si>
  <si>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</si>
  <si>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</si>
  <si>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</si>
  <si>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</si>
  <si>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</si>
  <si>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</si>
  <si>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</si>
  <si>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</si>
  <si>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</si>
  <si>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</si>
  <si>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</si>
  <si>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</si>
  <si>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</si>
  <si>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</si>
  <si>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</si>
  <si>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</si>
  <si>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</si>
  <si>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</si>
  <si>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</si>
  <si>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</si>
  <si>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</si>
  <si>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</si>
  <si>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</si>
  <si>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</si>
  <si>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</si>
  <si>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</si>
  <si>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</si>
  <si>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</si>
  <si>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</si>
  <si>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</si>
  <si>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</si>
  <si>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</si>
  <si>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</si>
  <si>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</si>
  <si>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</si>
  <si>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</si>
  <si>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</si>
  <si>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</si>
  <si>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</si>
  <si>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</si>
  <si>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</si>
  <si>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</si>
  <si>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</si>
  <si>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</si>
  <si>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</si>
  <si>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</si>
  <si>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</si>
  <si>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</si>
  <si>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</si>
  <si>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</si>
  <si>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</si>
  <si>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</si>
  <si>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</si>
  <si>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</si>
  <si>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</si>
  <si>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</si>
  <si>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</si>
  <si>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</si>
  <si>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</si>
  <si>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</si>
  <si>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</si>
  <si>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</si>
  <si>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</si>
  <si>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</si>
  <si>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</si>
  <si>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</si>
  <si>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</si>
  <si>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</si>
  <si>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</si>
  <si>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</si>
  <si>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</si>
  <si>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</si>
  <si>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</si>
  <si>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</si>
  <si>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</si>
  <si>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</si>
  <si>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</si>
  <si>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</si>
  <si>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</si>
  <si>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</si>
  <si>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</si>
  <si>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</si>
  <si>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</si>
  <si>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</si>
  <si>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</si>
  <si>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</si>
  <si>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</si>
  <si>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</si>
  <si>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</si>
  <si>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</si>
  <si>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</si>
  <si>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</si>
  <si>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</si>
  <si>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</si>
  <si>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</si>
  <si>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</si>
  <si>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</si>
  <si>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</si>
  <si>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</si>
  <si>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</si>
  <si>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</si>
  <si>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</si>
  <si>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</si>
  <si>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</si>
  <si>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</si>
  <si>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</si>
  <si>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</si>
  <si>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</si>
  <si>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</si>
  <si>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</si>
  <si>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</si>
  <si>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</si>
  <si>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</si>
  <si>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</si>
  <si>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</si>
  <si>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</si>
  <si>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</si>
  <si>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</si>
  <si>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</si>
  <si>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</si>
  <si>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</si>
  <si>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</si>
  <si>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</si>
  <si>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</si>
  <si>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</si>
  <si>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</si>
  <si>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</si>
  <si>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</si>
  <si>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</si>
  <si>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</si>
  <si>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</si>
  <si>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</si>
  <si>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</si>
  <si>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</si>
  <si>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</si>
  <si>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</si>
  <si>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</si>
  <si>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</si>
  <si>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</si>
  <si>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</si>
  <si>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</si>
  <si>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</si>
  <si>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</si>
  <si>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</si>
  <si>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</si>
  <si>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</si>
  <si>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</si>
  <si>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</si>
  <si>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</si>
  <si>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</si>
  <si>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</si>
  <si>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</si>
  <si>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</si>
  <si>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</si>
  <si>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</si>
  <si>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</si>
  <si>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</si>
  <si>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</si>
  <si>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</si>
  <si>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</si>
  <si>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</si>
  <si>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</si>
  <si>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</si>
  <si>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</si>
  <si>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</si>
  <si>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</si>
  <si>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</si>
  <si>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</si>
  <si>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</si>
  <si>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</si>
  <si>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</si>
  <si>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</si>
  <si>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</si>
  <si>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</si>
  <si>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</si>
  <si>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</si>
  <si>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</si>
  <si>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</si>
  <si>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</si>
  <si>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</si>
  <si>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</si>
  <si>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</si>
  <si>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</si>
  <si>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</si>
  <si>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</si>
  <si>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</si>
  <si>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</si>
  <si>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</si>
  <si>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</si>
  <si>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</si>
  <si>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</si>
  <si>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</si>
  <si>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</si>
  <si>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</si>
  <si>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</si>
  <si>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</si>
  <si>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</si>
  <si>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</si>
  <si>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</si>
  <si>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</si>
  <si>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</si>
  <si>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</si>
  <si>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</si>
  <si>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</si>
  <si>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</si>
  <si>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</si>
  <si>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</si>
  <si>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</si>
  <si>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</si>
  <si>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</si>
  <si>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</si>
  <si>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</si>
  <si>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</si>
  <si>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</si>
  <si>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</si>
  <si>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</si>
  <si>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</si>
  <si>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</si>
  <si>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</si>
  <si>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</si>
  <si>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</si>
  <si>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</si>
  <si>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</si>
  <si>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</si>
  <si>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</si>
  <si>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</si>
  <si>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</si>
  <si>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</si>
  <si>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</si>
  <si>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</si>
  <si>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</si>
  <si>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</si>
  <si>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</si>
  <si>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</si>
  <si>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</si>
  <si>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</si>
  <si>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</si>
  <si>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</si>
  <si>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</si>
  <si>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</si>
  <si>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</si>
  <si>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</si>
  <si>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</si>
  <si>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</si>
  <si>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</si>
  <si>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</si>
  <si>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</si>
  <si>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</si>
  <si>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</si>
  <si>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</si>
  <si>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</si>
  <si>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</si>
  <si>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</si>
  <si>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</si>
  <si>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</si>
  <si>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</si>
  <si>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</si>
  <si>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</si>
  <si>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</si>
  <si>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</si>
  <si>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</si>
  <si>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</si>
  <si>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</si>
  <si>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</si>
  <si>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</si>
  <si>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</si>
  <si>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</si>
  <si>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</si>
  <si>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</si>
  <si>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</si>
  <si>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</si>
  <si>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</si>
  <si>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</si>
  <si>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</si>
  <si>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</si>
  <si>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</si>
  <si>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</si>
  <si>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</si>
  <si>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</si>
  <si>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</si>
  <si>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</si>
  <si>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</si>
  <si>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</si>
  <si>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</si>
  <si>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</si>
  <si>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</si>
  <si>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</si>
  <si>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</si>
  <si>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</si>
  <si>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</si>
  <si>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</si>
  <si>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</si>
  <si>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</si>
  <si>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</si>
  <si>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</si>
  <si>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</si>
  <si>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</si>
  <si>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</si>
  <si>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</si>
  <si>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</si>
  <si>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</si>
  <si>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</si>
  <si>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</si>
  <si>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</si>
  <si>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</si>
  <si>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</si>
  <si>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</si>
  <si>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</si>
  <si>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</si>
  <si>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</si>
  <si>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</si>
  <si>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</si>
  <si>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</si>
  <si>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</si>
  <si>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</si>
  <si>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</si>
  <si>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</si>
  <si>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</si>
  <si>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</si>
  <si>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</si>
  <si>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</si>
  <si>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</si>
  <si>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</si>
  <si>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</si>
  <si>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</si>
  <si>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</si>
  <si>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</si>
  <si>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</si>
  <si>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</si>
  <si>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</si>
  <si>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</si>
  <si>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</si>
  <si>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</si>
  <si>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</si>
  <si>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</si>
  <si>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</si>
  <si>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</si>
  <si>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</si>
  <si>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</si>
  <si>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</si>
  <si>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</si>
  <si>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</si>
  <si>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</si>
  <si>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</si>
  <si>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</si>
  <si>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</si>
  <si>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</si>
  <si>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</si>
  <si>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</si>
  <si>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</si>
  <si>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</si>
  <si>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</si>
  <si>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</si>
  <si>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</si>
  <si>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</si>
  <si>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</si>
  <si>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</si>
  <si>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</si>
  <si>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</si>
  <si>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</si>
  <si>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</si>
  <si>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</si>
  <si>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</si>
  <si>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</si>
  <si>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</si>
  <si>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</si>
  <si>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</si>
  <si>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</si>
  <si>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</si>
  <si>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</si>
  <si>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</si>
  <si>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</si>
  <si>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</si>
  <si>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</si>
  <si>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</si>
  <si>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</si>
  <si>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</si>
  <si>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</si>
  <si>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</si>
  <si>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</si>
  <si>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</si>
  <si>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</si>
  <si>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</si>
  <si>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</si>
  <si>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</si>
  <si>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</si>
  <si>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</si>
  <si>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</si>
  <si>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</si>
  <si>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</si>
  <si>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</si>
  <si>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</si>
  <si>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</si>
  <si>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</si>
  <si>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</si>
  <si>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</si>
  <si>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</si>
  <si>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</si>
  <si>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</si>
  <si>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</si>
  <si>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</si>
  <si>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</si>
  <si>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</si>
  <si>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</si>
  <si>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</si>
  <si>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</si>
  <si>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</si>
  <si>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</si>
  <si>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</si>
  <si>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</si>
  <si>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</si>
  <si>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</si>
  <si>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</si>
  <si>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</si>
  <si>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</si>
  <si>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</si>
  <si>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</si>
  <si>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</si>
  <si>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</si>
  <si>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</si>
  <si>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</si>
  <si>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</si>
  <si>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</si>
  <si>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</si>
  <si>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</si>
  <si>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</si>
  <si>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</si>
  <si>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</si>
  <si>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</si>
  <si>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</si>
  <si>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</si>
  <si>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</si>
  <si>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</si>
  <si>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</si>
  <si>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</si>
  <si>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</si>
  <si>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</si>
  <si>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</si>
  <si>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</si>
  <si>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</si>
  <si>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</si>
  <si>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</si>
  <si>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</si>
  <si>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</si>
  <si>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</si>
  <si>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</si>
  <si>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</si>
  <si>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</si>
  <si>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</si>
  <si>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</si>
  <si>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</si>
  <si>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</si>
  <si>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</si>
  <si>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</si>
  <si>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</si>
  <si>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</si>
  <si>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</si>
  <si>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</si>
  <si>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</si>
  <si>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</si>
  <si>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</si>
  <si>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</si>
  <si>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</si>
  <si>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</si>
  <si>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</si>
  <si>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</si>
  <si>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</si>
  <si>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</si>
  <si>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</si>
  <si>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</si>
  <si>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</si>
  <si>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</si>
  <si>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</si>
  <si>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</si>
  <si>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</si>
  <si>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</si>
  <si>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</si>
  <si>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</si>
  <si>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</si>
  <si>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</si>
  <si>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</si>
  <si>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</si>
  <si>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</si>
  <si>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</si>
  <si>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</si>
  <si>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</si>
  <si>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</si>
  <si>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</si>
  <si>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</si>
  <si>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</si>
  <si>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</si>
  <si>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</si>
  <si>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</si>
  <si>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</si>
  <si>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</si>
  <si>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</si>
  <si>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</si>
  <si>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</si>
  <si>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</si>
  <si>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</si>
  <si>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</si>
  <si>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</si>
  <si>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</si>
  <si>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</si>
  <si>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</si>
  <si>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</si>
  <si>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</si>
  <si>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</si>
  <si>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</si>
  <si>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</si>
  <si>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</si>
  <si>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</si>
  <si>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</si>
  <si>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</si>
  <si>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</si>
  <si>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</si>
  <si>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</si>
  <si>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</si>
  <si>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</si>
  <si>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</si>
  <si>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</si>
  <si>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</si>
  <si>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</si>
  <si>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</si>
  <si>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</si>
  <si>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</si>
  <si>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</si>
  <si>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</si>
  <si>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</si>
  <si>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</si>
  <si>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</si>
  <si>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</si>
  <si>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</si>
  <si>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</si>
  <si>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</si>
  <si>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</si>
  <si>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</si>
  <si>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</si>
  <si>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</si>
  <si>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</si>
  <si>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</si>
  <si>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</si>
  <si>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</si>
  <si>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</si>
  <si>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</si>
  <si>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</si>
  <si>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</si>
  <si>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</si>
  <si>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</si>
  <si>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</si>
  <si>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</si>
  <si>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</si>
  <si>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</si>
  <si>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</si>
  <si>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</si>
  <si>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</si>
  <si>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</si>
  <si>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</si>
  <si>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</si>
  <si>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</si>
  <si>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</si>
  <si>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</si>
  <si>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</si>
  <si>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</si>
  <si>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</si>
  <si>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</si>
  <si>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</si>
  <si>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</si>
  <si>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</si>
  <si>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</si>
  <si>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</si>
  <si>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</si>
  <si>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</si>
  <si>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</si>
  <si>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</si>
  <si>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</si>
  <si>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</si>
  <si>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</si>
  <si>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</si>
  <si>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</si>
  <si>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</si>
  <si>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</si>
  <si>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</si>
  <si>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</si>
  <si>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</si>
  <si>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</si>
  <si>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</si>
  <si>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</si>
  <si>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</si>
  <si>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</si>
  <si>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</si>
  <si>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</si>
  <si>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</si>
  <si>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</si>
  <si>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</si>
  <si>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</si>
  <si>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</si>
  <si>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</si>
  <si>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</si>
  <si>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</si>
  <si>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</si>
  <si>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</si>
  <si>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</si>
  <si>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</si>
  <si>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</si>
  <si>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</si>
  <si>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</si>
  <si>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</si>
  <si>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</si>
  <si>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</si>
  <si>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</si>
  <si>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</si>
  <si>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</si>
  <si>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DUNBARTON SCHOOL DISTRICT</t>
  </si>
  <si>
    <t>06/13/2018</t>
  </si>
  <si>
    <t>08/15/2028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</si>
</sst>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149</v>
      </c>
      <c r="C2" s="21">
        <v>149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272642.90999999997</v>
      </c>
      <c r="G9" s="18">
        <v>0</v>
      </c>
      <c r="H9" s="18">
        <v>0</v>
      </c>
      <c r="I9" s="18">
        <v>0</v>
      </c>
      <c r="J9" s="67">
        <f>SUM(I439)</f>
        <v>211026.61</v>
      </c>
      <c r="K9" s="24" t="s">
        <v>288</v>
      </c>
      <c r="L9" s="24" t="s">
        <v>288</v>
      </c>
      <c r="M9" s="8"/>
      <c r="N9" s="266"/>
    </row>
    <row r="10" spans="1:14" s="3" customFormat="1" ht="12.2" customHeight="1" x14ac:dyDescent="0.15">
      <c r="A10" s="1" t="s">
        <v>562</v>
      </c>
      <c r="B10" s="2" t="s">
        <v>289</v>
      </c>
      <c r="C10" s="6">
        <v>2</v>
      </c>
      <c r="D10" s="2" t="s">
        <v>428</v>
      </c>
      <c r="E10" s="6">
        <v>110</v>
      </c>
      <c r="F10" s="18">
        <v>0</v>
      </c>
      <c r="G10" s="18">
        <v>0</v>
      </c>
      <c r="H10" s="18">
        <v>0</v>
      </c>
      <c r="I10" s="18">
        <v>0</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362728.93+2190895.54+221204.52+7.99</f>
        <v>2774836.9800000004</v>
      </c>
      <c r="G12" s="18">
        <v>224668.82</v>
      </c>
      <c r="H12" s="18">
        <v>354673.16</v>
      </c>
      <c r="I12" s="18">
        <v>2190895.54</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0</v>
      </c>
      <c r="G13" s="18">
        <v>0</v>
      </c>
      <c r="H13" s="18">
        <v>0</v>
      </c>
      <c r="I13" s="18">
        <v>0</v>
      </c>
      <c r="J13" s="67">
        <f>SUM(I442)</f>
        <v>0</v>
      </c>
      <c r="K13" s="24" t="s">
        <v>288</v>
      </c>
      <c r="L13" s="24" t="s">
        <v>288</v>
      </c>
      <c r="M13" s="8"/>
      <c r="N13" s="266"/>
    </row>
    <row r="14" spans="1:14" s="3" customFormat="1" ht="12.2" customHeight="1" x14ac:dyDescent="0.15">
      <c r="A14" s="1" t="s">
        <v>565</v>
      </c>
      <c r="B14" s="2" t="s">
        <v>289</v>
      </c>
      <c r="C14" s="6">
        <v>6</v>
      </c>
      <c r="D14" s="2" t="s">
        <v>428</v>
      </c>
      <c r="E14" s="6">
        <v>150</v>
      </c>
      <c r="F14" s="18">
        <v>6897.55</v>
      </c>
      <c r="G14" s="18">
        <v>1151.26</v>
      </c>
      <c r="H14" s="18">
        <v>9395.56</v>
      </c>
      <c r="I14" s="18">
        <v>0</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20625.689999999999</v>
      </c>
      <c r="G17" s="18">
        <v>0</v>
      </c>
      <c r="H17" s="18">
        <v>0</v>
      </c>
      <c r="I17" s="18">
        <v>0</v>
      </c>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3075003.1300000004</v>
      </c>
      <c r="G19" s="41">
        <f>SUM(G9:G18)</f>
        <v>225820.08000000002</v>
      </c>
      <c r="H19" s="41">
        <f>SUM(H9:H18)</f>
        <v>364068.72</v>
      </c>
      <c r="I19" s="41">
        <f>SUM(I9:I18)</f>
        <v>2190895.54</v>
      </c>
      <c r="J19" s="41">
        <f>SUM(J9:J18)</f>
        <v>211026.61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400740.51+2014668.82+354673.16</f>
        <v>2770082.49</v>
      </c>
      <c r="G22" s="18">
        <v>222465.8</v>
      </c>
      <c r="H22" s="18">
        <v>362728.93</v>
      </c>
      <c r="I22" s="18">
        <v>2190895.54</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118020.02</v>
      </c>
      <c r="G24" s="18">
        <v>0</v>
      </c>
      <c r="H24" s="18">
        <v>1339.79</v>
      </c>
      <c r="I24" s="18">
        <v>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10159.16</v>
      </c>
      <c r="G25" s="145">
        <v>547.28</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2807</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2898261.6700000004</v>
      </c>
      <c r="G32" s="41">
        <f>SUM(G22:G31)</f>
        <v>225820.08</v>
      </c>
      <c r="H32" s="41">
        <f>SUM(H22:H31)</f>
        <v>364068.72</v>
      </c>
      <c r="I32" s="41">
        <f>SUM(I22:I31)</f>
        <v>2190895.54</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20625.689999999999</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I458</f>
        <v>0</v>
      </c>
      <c r="K39" s="24" t="s">
        <v>288</v>
      </c>
      <c r="L39" s="24" t="s">
        <v>288</v>
      </c>
      <c r="M39" s="8"/>
      <c r="N39" s="266"/>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6"/>
    </row>
    <row r="44" spans="1:14" s="3" customFormat="1" ht="12.2" customHeight="1" x14ac:dyDescent="0.15">
      <c r="A44" s="1" t="s">
        <v>837</v>
      </c>
      <c r="B44" s="6">
        <v>1</v>
      </c>
      <c r="C44" s="6">
        <v>30</v>
      </c>
      <c r="D44" s="2" t="s">
        <v>653</v>
      </c>
      <c r="E44" s="6">
        <v>755</v>
      </c>
      <c r="F44" s="18">
        <v>1000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0</v>
      </c>
      <c r="I48" s="18">
        <v>0</v>
      </c>
      <c r="J48" s="13">
        <f>SUM(I459)</f>
        <v>211026.61</v>
      </c>
      <c r="K48" s="24" t="s">
        <v>288</v>
      </c>
      <c r="L48" s="24" t="s">
        <v>288</v>
      </c>
      <c r="M48" s="8"/>
      <c r="N48" s="266"/>
    </row>
    <row r="49" spans="1:14" s="3" customFormat="1" ht="12.2" customHeight="1" x14ac:dyDescent="0.15">
      <c r="A49" s="1" t="s">
        <v>859</v>
      </c>
      <c r="B49" s="2" t="s">
        <v>289</v>
      </c>
      <c r="C49" s="6">
        <v>34</v>
      </c>
      <c r="D49" s="2"/>
      <c r="E49" s="6">
        <v>753</v>
      </c>
      <c r="F49" s="18">
        <v>0</v>
      </c>
      <c r="G49" s="18">
        <v>0</v>
      </c>
      <c r="H49" s="18">
        <v>0</v>
      </c>
      <c r="I49" s="18">
        <v>0</v>
      </c>
      <c r="J49" s="13">
        <f>I454</f>
        <v>0</v>
      </c>
      <c r="K49" s="24"/>
      <c r="L49" s="24"/>
      <c r="M49" s="8"/>
      <c r="N49" s="266"/>
    </row>
    <row r="50" spans="1:14" s="3" customFormat="1" ht="12.2" customHeight="1" thickBot="1" x14ac:dyDescent="0.2">
      <c r="A50" s="29" t="s">
        <v>840</v>
      </c>
      <c r="B50" s="2" t="s">
        <v>289</v>
      </c>
      <c r="C50" s="71">
        <v>35</v>
      </c>
      <c r="D50" s="2" t="s">
        <v>653</v>
      </c>
      <c r="E50" s="6">
        <v>770</v>
      </c>
      <c r="F50" s="18">
        <f>155107.78+7.99</f>
        <v>155115.76999999999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176741.46</v>
      </c>
      <c r="G51" s="41">
        <f>SUM(G35:G50)</f>
        <v>0</v>
      </c>
      <c r="H51" s="41">
        <f>SUM(H35:H50)</f>
        <v>0</v>
      </c>
      <c r="I51" s="41">
        <f>SUM(I35:I50)</f>
        <v>0</v>
      </c>
      <c r="J51" s="41">
        <f>SUM(J35:J50)</f>
        <v>211026.61</v>
      </c>
      <c r="K51" s="45" t="s">
        <v>288</v>
      </c>
      <c r="L51" s="45" t="s">
        <v>288</v>
      </c>
      <c r="N51" s="264"/>
    </row>
    <row r="52" spans="1:14" s="3" customFormat="1" ht="12.2" customHeight="1" thickTop="1" x14ac:dyDescent="0.15">
      <c r="A52" s="38" t="s">
        <v>455</v>
      </c>
      <c r="B52" s="39" t="s">
        <v>289</v>
      </c>
      <c r="C52" s="6">
        <v>37</v>
      </c>
      <c r="D52" s="39" t="s">
        <v>653</v>
      </c>
      <c r="E52" s="39"/>
      <c r="F52" s="41">
        <f>F51+F32</f>
        <v>3075003.1300000004</v>
      </c>
      <c r="G52" s="41">
        <f>G51+G32</f>
        <v>225820.08</v>
      </c>
      <c r="H52" s="41">
        <f>H51+H32</f>
        <v>364068.72</v>
      </c>
      <c r="I52" s="41">
        <f>I51+I32</f>
        <v>2190895.54</v>
      </c>
      <c r="J52" s="41">
        <f>J51+J32</f>
        <v>211026.61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3866194</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3866194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124.8</v>
      </c>
      <c r="G96" s="18">
        <v>0</v>
      </c>
      <c r="H96" s="18">
        <v>0</v>
      </c>
      <c r="I96" s="18">
        <v>0</v>
      </c>
      <c r="J96" s="18">
        <f>H401</f>
        <v>9794.14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54816.94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2047</v>
      </c>
      <c r="G110" s="18">
        <v>0</v>
      </c>
      <c r="H110" s="18">
        <v>0</v>
      </c>
      <c r="I110" s="18">
        <v>0</v>
      </c>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2171.8000000000002</v>
      </c>
      <c r="G111" s="41">
        <f>SUM(G96:G110)</f>
        <v>54816.94</v>
      </c>
      <c r="H111" s="41">
        <f>SUM(H96:H110)</f>
        <v>0</v>
      </c>
      <c r="I111" s="41">
        <f>SUM(I96:I110)</f>
        <v>0</v>
      </c>
      <c r="J111" s="41">
        <f>SUM(J96:J110)</f>
        <v>9794.14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3868365.8</v>
      </c>
      <c r="G112" s="41">
        <f>G60+G111</f>
        <v>54816.94</v>
      </c>
      <c r="H112" s="41">
        <f>H60+H79+H94+H111</f>
        <v>0</v>
      </c>
      <c r="I112" s="41">
        <f>I60+I111</f>
        <v>0</v>
      </c>
      <c r="J112" s="41">
        <f>J60+J111</f>
        <v>9794.14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997733.72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691664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v>0</v>
      </c>
      <c r="H120" s="18">
        <v>0</v>
      </c>
      <c r="I120" s="18">
        <v>30400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1691353.81</v>
      </c>
      <c r="G121" s="41">
        <f>SUM(G117:G120)</f>
        <v>0</v>
      </c>
      <c r="H121" s="41">
        <f>SUM(H117:H120)</f>
        <v>0</v>
      </c>
      <c r="I121" s="41">
        <f>SUM(I117:I120)</f>
        <v>30400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911</v>
      </c>
      <c r="B125" s="2" t="s">
        <v>321</v>
      </c>
      <c r="C125" s="6">
        <v>8</v>
      </c>
      <c r="D125" s="2" t="s">
        <v>430</v>
      </c>
      <c r="E125" s="6">
        <v>3220</v>
      </c>
      <c r="F125" s="18">
        <v>42900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39927.94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1069.68+4724.67</f>
        <v>5794.35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82827.94</v>
      </c>
      <c r="G136" s="41">
        <f>SUM(G123:G135)</f>
        <v>5794.35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1774181.75</v>
      </c>
      <c r="G140" s="41">
        <f>G121+SUM(G136:G137)</f>
        <v>5794.35</v>
      </c>
      <c r="H140" s="41">
        <f>H121+SUM(H136:H139)</f>
        <v>0</v>
      </c>
      <c r="I140" s="41">
        <f>I121+I136</f>
        <v>30400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21111</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1507.4+20625.19</f>
        <v>22132.59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11947.39+748.86+4324.59+5062.05+361.4</f>
        <v>22444.29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18215.689999999999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f>59936.44</f>
        <v>59936.44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73411.460000000006</v>
      </c>
      <c r="G160" s="24" t="s">
        <v>288</v>
      </c>
      <c r="H160" s="18">
        <v>0</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73411.460000000006</v>
      </c>
      <c r="G162" s="41">
        <f>SUM(G150:G161)</f>
        <v>18215.689999999999</v>
      </c>
      <c r="H162" s="41">
        <f>SUM(H150:H161)</f>
        <v>125624.32000000001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73411.460000000006</v>
      </c>
      <c r="G169" s="41">
        <f>G147+G162+SUM(G163:G168)</f>
        <v>18215.689999999999</v>
      </c>
      <c r="H169" s="41">
        <f>H147+H162+SUM(H163:H168)</f>
        <v>125624.32000000001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530.65</v>
      </c>
      <c r="H179" s="18">
        <v>0</v>
      </c>
      <c r="I179" s="18">
        <v>0</v>
      </c>
      <c r="J179" s="18">
        <v>241000</v>
      </c>
      <c r="K179" s="24" t="s">
        <v>288</v>
      </c>
      <c r="L179" s="24" t="s">
        <v>288</v>
      </c>
      <c r="M179" s="8"/>
      <c r="N179" s="266"/>
    </row>
    <row r="180" spans="1:14" s="3" customFormat="1" ht="12.2" customHeight="1" x14ac:dyDescent="0.15">
      <c r="A180" s="1" t="s">
        <v>525</v>
      </c>
      <c r="B180" s="2" t="s">
        <v>330</v>
      </c>
      <c r="C180" s="6">
        <v>7</v>
      </c>
      <c r="D180" s="2" t="s">
        <v>430</v>
      </c>
      <c r="E180" s="6">
        <v>5221</v>
      </c>
      <c r="F180" s="18">
        <v>0</v>
      </c>
      <c r="G180" s="24" t="s">
        <v>288</v>
      </c>
      <c r="H180" s="18">
        <v>0</v>
      </c>
      <c r="I180" s="18">
        <v>0</v>
      </c>
      <c r="J180" s="18">
        <v>0</v>
      </c>
      <c r="K180" s="24" t="s">
        <v>288</v>
      </c>
      <c r="L180" s="24" t="s">
        <v>288</v>
      </c>
      <c r="M180" s="8"/>
      <c r="N180" s="266"/>
    </row>
    <row r="181" spans="1:14" s="3" customFormat="1" ht="12.2" customHeight="1" x14ac:dyDescent="0.15">
      <c r="A181" s="3" t="s">
        <v>526</v>
      </c>
      <c r="B181" s="2" t="s">
        <v>330</v>
      </c>
      <c r="C181" s="6">
        <v>8</v>
      </c>
      <c r="D181" s="2" t="s">
        <v>430</v>
      </c>
      <c r="E181" s="6">
        <v>5222</v>
      </c>
      <c r="F181" s="18">
        <v>0</v>
      </c>
      <c r="G181" s="18">
        <v>0</v>
      </c>
      <c r="H181" s="24" t="s">
        <v>288</v>
      </c>
      <c r="I181" s="18">
        <v>0</v>
      </c>
      <c r="J181" s="18">
        <v>0</v>
      </c>
      <c r="K181" s="24" t="s">
        <v>288</v>
      </c>
      <c r="L181" s="24" t="s">
        <v>288</v>
      </c>
      <c r="M181" s="8"/>
      <c r="N181" s="266"/>
    </row>
    <row r="182" spans="1:14" s="3" customFormat="1" ht="12.2" customHeight="1" thickBot="1" x14ac:dyDescent="0.2">
      <c r="A182" s="3" t="s">
        <v>527</v>
      </c>
      <c r="B182" s="2" t="s">
        <v>330</v>
      </c>
      <c r="C182" s="6">
        <v>9</v>
      </c>
      <c r="D182" s="2" t="s">
        <v>430</v>
      </c>
      <c r="E182" s="6">
        <v>5230</v>
      </c>
      <c r="F182" s="18">
        <v>0</v>
      </c>
      <c r="G182" s="18">
        <v>0</v>
      </c>
      <c r="H182" s="18">
        <v>0</v>
      </c>
      <c r="I182" s="24" t="s">
        <v>288</v>
      </c>
      <c r="J182" s="18">
        <v>0</v>
      </c>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530.65</v>
      </c>
      <c r="H183" s="41">
        <f>SUM(H179:H182)</f>
        <v>0</v>
      </c>
      <c r="I183" s="41">
        <f>SUM(I179:I182)</f>
        <v>0</v>
      </c>
      <c r="J183" s="41">
        <f>SUM(J179:J182)</f>
        <v>241000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54305.66</v>
      </c>
      <c r="G185" s="18">
        <v>0</v>
      </c>
      <c r="H185" s="18">
        <v>0</v>
      </c>
      <c r="I185" s="18">
        <v>367899.88</v>
      </c>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54305.66</v>
      </c>
      <c r="G188" s="41">
        <f>SUM(G185:G187)</f>
        <v>0</v>
      </c>
      <c r="H188" s="41">
        <f>SUM(H185:H187)</f>
        <v>0</v>
      </c>
      <c r="I188" s="41">
        <f>SUM(I185:I187)</f>
        <v>367899.88</v>
      </c>
      <c r="J188" s="45" t="s">
        <v>288</v>
      </c>
      <c r="K188" s="45" t="s">
        <v>288</v>
      </c>
      <c r="L188" s="45" t="s">
        <v>288</v>
      </c>
      <c r="N188" s="264"/>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v>0</v>
      </c>
      <c r="G191" s="18">
        <v>0</v>
      </c>
      <c r="H191" s="18">
        <v>0</v>
      </c>
      <c r="I191" s="18">
        <v>0</v>
      </c>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54305.66</v>
      </c>
      <c r="G192" s="41">
        <f>G183+SUM(G188:G191)</f>
        <v>530.65</v>
      </c>
      <c r="H192" s="41">
        <f>+H183+SUM(H188:H191)</f>
        <v>0</v>
      </c>
      <c r="I192" s="41">
        <f>I177+I183+SUM(I188:I191)</f>
        <v>367899.88</v>
      </c>
      <c r="J192" s="41">
        <f>J183</f>
        <v>241000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5770264.6699999999</v>
      </c>
      <c r="G193" s="47">
        <f>G112+G140+G169+G192</f>
        <v>79357.62999999999</v>
      </c>
      <c r="H193" s="47">
        <f>H112+H140+H169+H192</f>
        <v>125624.32000000001</v>
      </c>
      <c r="I193" s="47">
        <f>I112+I140+I169+I192</f>
        <v>398299.88</v>
      </c>
      <c r="J193" s="47">
        <f>J112+J140+J192</f>
        <v>250794.14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887164.65+129832.64+54525.42+7150</f>
        <v>1078672.71</v>
      </c>
      <c r="G197" s="18">
        <v>452404.62</v>
      </c>
      <c r="H197" s="18">
        <f>20406.28+1323+900.94</f>
        <v>22630.219999999998</v>
      </c>
      <c r="I197" s="18">
        <f>16248.27+1690.48+347.46+1202.93+2283.49+6321.32+8269.32+369.6</f>
        <v>36732.869999999995</v>
      </c>
      <c r="J197" s="18">
        <f>3028.66+26.99</f>
        <v>3055.6499999999996</v>
      </c>
      <c r="K197" s="18">
        <f>242.5</f>
        <v>242.5</v>
      </c>
      <c r="L197" s="19">
        <f>SUM(F197:K197)</f>
        <v>1593738.5699999998</v>
      </c>
      <c r="M197" s="8"/>
      <c r="N197" s="266"/>
    </row>
    <row r="198" spans="1:14" s="3" customFormat="1" ht="12.2" customHeight="1" x14ac:dyDescent="0.15">
      <c r="A198" s="1" t="s">
        <v>439</v>
      </c>
      <c r="B198" s="2" t="s">
        <v>341</v>
      </c>
      <c r="C198" s="2" t="s">
        <v>291</v>
      </c>
      <c r="D198" s="2" t="s">
        <v>431</v>
      </c>
      <c r="E198" s="6">
        <v>1200</v>
      </c>
      <c r="F198" s="18">
        <f>95085.99+170830.39+77016.66</f>
        <v>342933.04000000004</v>
      </c>
      <c r="G198" s="18">
        <v>131674.41</v>
      </c>
      <c r="H198" s="18">
        <f>33632.5+3564+12366.36+395.91</f>
        <v>49958.770000000004</v>
      </c>
      <c r="I198" s="18">
        <f>1549.32+1967.96+365</f>
        <v>3882.2799999999997</v>
      </c>
      <c r="J198" s="18">
        <f>1802.7+1748.02</f>
        <v>3550.7200000000003</v>
      </c>
      <c r="K198" s="18">
        <v>0</v>
      </c>
      <c r="L198" s="19">
        <f>SUM(F198:K198)</f>
        <v>531999.22000000009</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f>1000</f>
        <v>1000</v>
      </c>
      <c r="G200" s="18">
        <f>255.61</f>
        <v>255.61</v>
      </c>
      <c r="H200" s="18">
        <f>13107.87</f>
        <v>13107.87</v>
      </c>
      <c r="I200" s="18">
        <f>41.25</f>
        <v>41.25</v>
      </c>
      <c r="J200" s="18">
        <v>0</v>
      </c>
      <c r="K200" s="18">
        <f>1956.5</f>
        <v>1956.5</v>
      </c>
      <c r="L200" s="19">
        <f>SUM(F200:K200)</f>
        <v>16361.230000000001</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47790.02+53892.44+47665+37558.22+47514.24+17508.32</f>
        <v>251928.24</v>
      </c>
      <c r="G202" s="18">
        <f>12613.24+33966.83+16545.2+29206.72</f>
        <v>92331.99</v>
      </c>
      <c r="H202" s="18">
        <f>105+48883+615.97+9315.61+4785.5</f>
        <v>63705.08</v>
      </c>
      <c r="I202" s="18">
        <f>115.93+914.42+1328.92+973.96+2626.77+696.25</f>
        <v>6656.25</v>
      </c>
      <c r="J202" s="18">
        <f>69.59</f>
        <v>69.59</v>
      </c>
      <c r="K202" s="18">
        <f>45</f>
        <v>45</v>
      </c>
      <c r="L202" s="19">
        <f t="shared" ref="L202:L208" si="0">SUM(F202:K202)</f>
        <v>414736.15</v>
      </c>
      <c r="M202" s="8"/>
      <c r="N202" s="266"/>
    </row>
    <row r="203" spans="1:14" s="3" customFormat="1" ht="12.2" customHeight="1" x14ac:dyDescent="0.15">
      <c r="A203" s="1" t="s">
        <v>443</v>
      </c>
      <c r="B203" s="2" t="s">
        <v>341</v>
      </c>
      <c r="C203" s="2" t="s">
        <v>295</v>
      </c>
      <c r="D203" s="2" t="s">
        <v>431</v>
      </c>
      <c r="E203" s="6">
        <v>2200</v>
      </c>
      <c r="F203" s="18">
        <f>37387.9+20139.53</f>
        <v>57527.43</v>
      </c>
      <c r="G203" s="18">
        <f>10153.16</f>
        <v>10153.16</v>
      </c>
      <c r="H203" s="18">
        <f>742.5+2802.84+12240+1646.5+1138.83+8528.66</f>
        <v>27099.329999999998</v>
      </c>
      <c r="I203" s="18">
        <f>578.32+4739.53+428+885</f>
        <v>6630.8499999999995</v>
      </c>
      <c r="J203" s="18">
        <f>29060.61</f>
        <v>29060.61</v>
      </c>
      <c r="K203" s="18">
        <v>0</v>
      </c>
      <c r="L203" s="19">
        <f t="shared" si="0"/>
        <v>130471.38</v>
      </c>
      <c r="M203" s="8"/>
      <c r="N203" s="266"/>
    </row>
    <row r="204" spans="1:14" s="3" customFormat="1" ht="12.2" customHeight="1" x14ac:dyDescent="0.15">
      <c r="A204" s="1" t="s">
        <v>444</v>
      </c>
      <c r="B204" s="2" t="s">
        <v>341</v>
      </c>
      <c r="C204" s="2" t="s">
        <v>296</v>
      </c>
      <c r="D204" s="2" t="s">
        <v>431</v>
      </c>
      <c r="E204" s="6">
        <v>2300</v>
      </c>
      <c r="F204" s="18">
        <f>2500+1170+450+200</f>
        <v>4320</v>
      </c>
      <c r="G204" s="18">
        <f>181.66+36.69</f>
        <v>218.35</v>
      </c>
      <c r="H204" s="18">
        <f>410+1151.74+1309.2+6025+8245.19+142073</f>
        <v>159214.13</v>
      </c>
      <c r="I204" s="18">
        <f>87</f>
        <v>87</v>
      </c>
      <c r="J204" s="18">
        <v>0</v>
      </c>
      <c r="K204" s="18">
        <f>3116.4</f>
        <v>3116.4</v>
      </c>
      <c r="L204" s="19">
        <f t="shared" si="0"/>
        <v>166955.88</v>
      </c>
      <c r="M204" s="8"/>
      <c r="N204" s="266"/>
    </row>
    <row r="205" spans="1:14" s="3" customFormat="1" ht="12.2" customHeight="1" x14ac:dyDescent="0.15">
      <c r="A205" s="1" t="s">
        <v>445</v>
      </c>
      <c r="B205" s="2" t="s">
        <v>341</v>
      </c>
      <c r="C205" s="2" t="s">
        <v>297</v>
      </c>
      <c r="D205" s="2" t="s">
        <v>431</v>
      </c>
      <c r="E205" s="6">
        <v>2400</v>
      </c>
      <c r="F205" s="18">
        <f>96165.94+57031.23</f>
        <v>153197.17000000001</v>
      </c>
      <c r="G205" s="18">
        <v>52813.61</v>
      </c>
      <c r="H205" s="18">
        <f>1569+10627.24+1509.46</f>
        <v>13705.7</v>
      </c>
      <c r="I205" s="18">
        <f>1147.34</f>
        <v>1147.3399999999999</v>
      </c>
      <c r="J205" s="18">
        <v>0</v>
      </c>
      <c r="K205" s="18">
        <f>724</f>
        <v>724</v>
      </c>
      <c r="L205" s="19">
        <f t="shared" si="0"/>
        <v>221587.82000000004</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f>100221.78</f>
        <v>100221.78</v>
      </c>
      <c r="G207" s="18">
        <v>23938.560000000001</v>
      </c>
      <c r="H207" s="18">
        <f>5454.1+5613.29+19850.67+2510+7821+7144.37+541.42</f>
        <v>48934.85</v>
      </c>
      <c r="I207" s="18">
        <f>10718.34+35668.13+23823.63</f>
        <v>70210.100000000006</v>
      </c>
      <c r="J207" s="18">
        <v>0</v>
      </c>
      <c r="K207" s="18">
        <v>0</v>
      </c>
      <c r="L207" s="19">
        <f t="shared" si="0"/>
        <v>243305.29</v>
      </c>
      <c r="M207" s="8"/>
      <c r="N207" s="266"/>
    </row>
    <row r="208" spans="1:14" s="3" customFormat="1" ht="12.2" customHeight="1" x14ac:dyDescent="0.15">
      <c r="A208" s="1" t="s">
        <v>448</v>
      </c>
      <c r="B208" s="2" t="s">
        <v>341</v>
      </c>
      <c r="C208" s="2" t="s">
        <v>300</v>
      </c>
      <c r="D208" s="2" t="s">
        <v>431</v>
      </c>
      <c r="E208" s="6">
        <v>2700</v>
      </c>
      <c r="F208" s="18">
        <v>0</v>
      </c>
      <c r="G208" s="18">
        <v>0</v>
      </c>
      <c r="H208" s="18">
        <f>244046.1+11630.69+4000.3</f>
        <v>259677.09</v>
      </c>
      <c r="I208" s="18">
        <v>0</v>
      </c>
      <c r="J208" s="18">
        <v>0</v>
      </c>
      <c r="K208" s="18">
        <v>0</v>
      </c>
      <c r="L208" s="19">
        <f t="shared" si="0"/>
        <v>259677.09</v>
      </c>
      <c r="M208" s="8"/>
      <c r="N208" s="266"/>
    </row>
    <row r="209" spans="1:14" s="3" customFormat="1" ht="12.2" customHeight="1" x14ac:dyDescent="0.15">
      <c r="A209" s="1" t="s">
        <v>449</v>
      </c>
      <c r="B209" s="2" t="s">
        <v>341</v>
      </c>
      <c r="C209" s="2" t="s">
        <v>343</v>
      </c>
      <c r="D209" s="2" t="s">
        <v>431</v>
      </c>
      <c r="E209" s="6">
        <v>2800</v>
      </c>
      <c r="F209" s="18">
        <v>0</v>
      </c>
      <c r="G209" s="18">
        <v>0</v>
      </c>
      <c r="H209" s="18">
        <v>0</v>
      </c>
      <c r="I209" s="18">
        <v>0</v>
      </c>
      <c r="J209" s="18">
        <v>0</v>
      </c>
      <c r="K209" s="18">
        <v>0</v>
      </c>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1989800.3699999999</v>
      </c>
      <c r="G211" s="41">
        <f t="shared" si="1"/>
        <v>763790.31</v>
      </c>
      <c r="H211" s="41">
        <f t="shared" si="1"/>
        <v>658033.04</v>
      </c>
      <c r="I211" s="41">
        <f t="shared" si="1"/>
        <v>125387.94</v>
      </c>
      <c r="J211" s="41">
        <f t="shared" si="1"/>
        <v>35736.57</v>
      </c>
      <c r="K211" s="41">
        <f t="shared" si="1"/>
        <v>6084.4</v>
      </c>
      <c r="L211" s="41">
        <f t="shared" si="1"/>
        <v>3578832.6299999994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0</v>
      </c>
      <c r="G215" s="18">
        <v>0</v>
      </c>
      <c r="H215" s="18">
        <v>686413.54</v>
      </c>
      <c r="I215" s="18">
        <v>0</v>
      </c>
      <c r="J215" s="18">
        <v>0</v>
      </c>
      <c r="K215" s="18">
        <v>0</v>
      </c>
      <c r="L215" s="19">
        <f>SUM(F215:K215)</f>
        <v>686413.54</v>
      </c>
      <c r="M215" s="8"/>
      <c r="N215" s="266"/>
    </row>
    <row r="216" spans="1:14" s="3" customFormat="1" ht="12.2" customHeight="1" x14ac:dyDescent="0.15">
      <c r="A216" s="1" t="s">
        <v>439</v>
      </c>
      <c r="B216" s="2" t="s">
        <v>346</v>
      </c>
      <c r="C216" s="2" t="s">
        <v>291</v>
      </c>
      <c r="D216" s="2" t="s">
        <v>431</v>
      </c>
      <c r="E216" s="6">
        <v>1200</v>
      </c>
      <c r="F216" s="18">
        <v>0</v>
      </c>
      <c r="G216" s="18">
        <v>0</v>
      </c>
      <c r="H216" s="18">
        <f>108158.5+84564</f>
        <v>192722.5</v>
      </c>
      <c r="I216" s="18">
        <v>0</v>
      </c>
      <c r="J216" s="18">
        <v>0</v>
      </c>
      <c r="K216" s="18">
        <v>0</v>
      </c>
      <c r="L216" s="19">
        <f>SUM(F216:K216)</f>
        <v>192722.5</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0</v>
      </c>
      <c r="G218" s="18">
        <v>0</v>
      </c>
      <c r="H218" s="18">
        <v>0</v>
      </c>
      <c r="I218" s="18">
        <v>0</v>
      </c>
      <c r="J218" s="18">
        <v>0</v>
      </c>
      <c r="K218" s="18">
        <v>0</v>
      </c>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0</v>
      </c>
      <c r="G220" s="18">
        <v>0</v>
      </c>
      <c r="H220" s="18">
        <f>1214.56</f>
        <v>1214.56</v>
      </c>
      <c r="I220" s="18">
        <v>0</v>
      </c>
      <c r="J220" s="18">
        <v>0</v>
      </c>
      <c r="K220" s="18">
        <v>0</v>
      </c>
      <c r="L220" s="19">
        <f t="shared" ref="L220:L226" si="2">SUM(F220:K220)</f>
        <v>1214.56</v>
      </c>
      <c r="M220" s="8"/>
      <c r="N220" s="266"/>
    </row>
    <row r="221" spans="1:14" s="3" customFormat="1" ht="12.2" customHeight="1" x14ac:dyDescent="0.15">
      <c r="A221" s="1" t="s">
        <v>443</v>
      </c>
      <c r="B221" s="2" t="s">
        <v>346</v>
      </c>
      <c r="C221" s="2" t="s">
        <v>295</v>
      </c>
      <c r="D221" s="2" t="s">
        <v>431</v>
      </c>
      <c r="E221" s="6">
        <v>2200</v>
      </c>
      <c r="F221" s="18">
        <v>0</v>
      </c>
      <c r="G221" s="18">
        <v>0</v>
      </c>
      <c r="H221" s="18">
        <v>0</v>
      </c>
      <c r="I221" s="18">
        <v>0</v>
      </c>
      <c r="J221" s="18">
        <v>0</v>
      </c>
      <c r="K221" s="18">
        <v>0</v>
      </c>
      <c r="L221" s="19">
        <f t="shared" si="2"/>
        <v>0</v>
      </c>
      <c r="M221" s="8"/>
      <c r="N221" s="266"/>
    </row>
    <row r="222" spans="1:14" s="3" customFormat="1" ht="12.2" customHeight="1" x14ac:dyDescent="0.15">
      <c r="A222" s="1" t="s">
        <v>444</v>
      </c>
      <c r="B222" s="2" t="s">
        <v>346</v>
      </c>
      <c r="C222" s="2" t="s">
        <v>296</v>
      </c>
      <c r="D222" s="2" t="s">
        <v>431</v>
      </c>
      <c r="E222" s="6">
        <v>2300</v>
      </c>
      <c r="F222" s="18">
        <v>0</v>
      </c>
      <c r="G222" s="18">
        <v>0</v>
      </c>
      <c r="H222" s="18">
        <v>0</v>
      </c>
      <c r="I222" s="18">
        <v>0</v>
      </c>
      <c r="J222" s="18">
        <v>0</v>
      </c>
      <c r="K222" s="18">
        <v>0</v>
      </c>
      <c r="L222" s="19">
        <f t="shared" si="2"/>
        <v>0</v>
      </c>
      <c r="M222" s="8"/>
      <c r="N222" s="266"/>
    </row>
    <row r="223" spans="1:14" s="3" customFormat="1" ht="12.2" customHeight="1" x14ac:dyDescent="0.15">
      <c r="A223" s="1" t="s">
        <v>445</v>
      </c>
      <c r="B223" s="2" t="s">
        <v>346</v>
      </c>
      <c r="C223" s="2" t="s">
        <v>297</v>
      </c>
      <c r="D223" s="2" t="s">
        <v>431</v>
      </c>
      <c r="E223" s="6">
        <v>2400</v>
      </c>
      <c r="F223" s="18">
        <v>0</v>
      </c>
      <c r="G223" s="18">
        <v>0</v>
      </c>
      <c r="H223" s="18">
        <v>0</v>
      </c>
      <c r="I223" s="18">
        <v>0</v>
      </c>
      <c r="J223" s="18">
        <v>0</v>
      </c>
      <c r="K223" s="18">
        <v>0</v>
      </c>
      <c r="L223" s="19">
        <f t="shared" si="2"/>
        <v>0</v>
      </c>
      <c r="M223" s="8"/>
      <c r="N223" s="266"/>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6"/>
    </row>
    <row r="225" spans="1:14" s="3" customFormat="1" ht="12.2" customHeight="1" x14ac:dyDescent="0.15">
      <c r="A225" s="1" t="s">
        <v>447</v>
      </c>
      <c r="B225" s="2" t="s">
        <v>346</v>
      </c>
      <c r="C225" s="2" t="s">
        <v>299</v>
      </c>
      <c r="D225" s="2" t="s">
        <v>431</v>
      </c>
      <c r="E225" s="6">
        <v>2600</v>
      </c>
      <c r="F225" s="18">
        <v>0</v>
      </c>
      <c r="G225" s="18">
        <v>0</v>
      </c>
      <c r="H225" s="18">
        <v>0</v>
      </c>
      <c r="I225" s="18">
        <v>0</v>
      </c>
      <c r="J225" s="18">
        <v>0</v>
      </c>
      <c r="K225" s="18">
        <v>0</v>
      </c>
      <c r="L225" s="19">
        <f t="shared" si="2"/>
        <v>0</v>
      </c>
      <c r="M225" s="8"/>
      <c r="N225" s="266"/>
    </row>
    <row r="226" spans="1:14" s="3" customFormat="1" ht="12.2" customHeight="1" x14ac:dyDescent="0.15">
      <c r="A226" s="1" t="s">
        <v>448</v>
      </c>
      <c r="B226" s="2" t="s">
        <v>346</v>
      </c>
      <c r="C226" s="2" t="s">
        <v>300</v>
      </c>
      <c r="D226" s="2" t="s">
        <v>431</v>
      </c>
      <c r="E226" s="6">
        <v>2700</v>
      </c>
      <c r="F226" s="18">
        <v>0</v>
      </c>
      <c r="G226" s="18">
        <v>0</v>
      </c>
      <c r="H226" s="18">
        <f>9911.98</f>
        <v>9911.98</v>
      </c>
      <c r="I226" s="18">
        <v>0</v>
      </c>
      <c r="J226" s="18">
        <v>0</v>
      </c>
      <c r="K226" s="18">
        <v>0</v>
      </c>
      <c r="L226" s="19">
        <f t="shared" si="2"/>
        <v>9911.98</v>
      </c>
      <c r="M226" s="8"/>
      <c r="N226" s="266"/>
    </row>
    <row r="227" spans="1:14" s="3" customFormat="1" ht="12.2" customHeight="1" x14ac:dyDescent="0.15">
      <c r="A227" s="1" t="s">
        <v>449</v>
      </c>
      <c r="B227" s="2" t="s">
        <v>346</v>
      </c>
      <c r="C227" s="2" t="s">
        <v>343</v>
      </c>
      <c r="D227" s="2" t="s">
        <v>431</v>
      </c>
      <c r="E227" s="6">
        <v>2800</v>
      </c>
      <c r="F227" s="18">
        <v>0</v>
      </c>
      <c r="G227" s="18">
        <v>0</v>
      </c>
      <c r="H227" s="18">
        <v>0</v>
      </c>
      <c r="I227" s="18">
        <v>0</v>
      </c>
      <c r="J227" s="18">
        <v>0</v>
      </c>
      <c r="K227" s="18">
        <v>0</v>
      </c>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890262.58000000007</v>
      </c>
      <c r="I229" s="41">
        <f>SUM(I215:I228)</f>
        <v>0</v>
      </c>
      <c r="J229" s="41">
        <f>SUM(J215:J228)</f>
        <v>0</v>
      </c>
      <c r="K229" s="41">
        <f t="shared" si="3"/>
        <v>0</v>
      </c>
      <c r="L229" s="41">
        <f t="shared" si="3"/>
        <v>890262.58000000007</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0</v>
      </c>
      <c r="G233" s="18">
        <v>0</v>
      </c>
      <c r="H233" s="18">
        <v>1985227.03</v>
      </c>
      <c r="I233" s="18">
        <v>0</v>
      </c>
      <c r="J233" s="18">
        <v>0</v>
      </c>
      <c r="K233" s="18">
        <v>0</v>
      </c>
      <c r="L233" s="19">
        <f>SUM(F233:K233)</f>
        <v>1985227.03</v>
      </c>
      <c r="M233" s="8"/>
      <c r="N233" s="266"/>
    </row>
    <row r="234" spans="1:14" s="3" customFormat="1" ht="12.2" customHeight="1" x14ac:dyDescent="0.15">
      <c r="A234" s="1" t="s">
        <v>439</v>
      </c>
      <c r="B234" s="2" t="s">
        <v>350</v>
      </c>
      <c r="C234" s="2" t="s">
        <v>291</v>
      </c>
      <c r="D234" s="2" t="s">
        <v>431</v>
      </c>
      <c r="E234" s="6">
        <v>1200</v>
      </c>
      <c r="F234" s="18">
        <v>0</v>
      </c>
      <c r="G234" s="18">
        <v>0</v>
      </c>
      <c r="H234" s="18">
        <f>12936.85+205116+58449.39</f>
        <v>276502.24</v>
      </c>
      <c r="I234" s="18">
        <v>0</v>
      </c>
      <c r="J234" s="18">
        <f>836</f>
        <v>836</v>
      </c>
      <c r="K234" s="18">
        <v>0</v>
      </c>
      <c r="L234" s="19">
        <f>SUM(F234:K234)</f>
        <v>277338.23999999999</v>
      </c>
      <c r="M234" s="8"/>
      <c r="N234" s="266"/>
    </row>
    <row r="235" spans="1:14" s="3" customFormat="1" ht="12.2" customHeight="1" x14ac:dyDescent="0.15">
      <c r="A235" s="1" t="s">
        <v>440</v>
      </c>
      <c r="B235" s="2" t="s">
        <v>350</v>
      </c>
      <c r="C235" s="2" t="s">
        <v>292</v>
      </c>
      <c r="D235" s="2" t="s">
        <v>431</v>
      </c>
      <c r="E235" s="6">
        <v>1300</v>
      </c>
      <c r="F235" s="18">
        <v>0</v>
      </c>
      <c r="G235" s="18">
        <v>0</v>
      </c>
      <c r="H235" s="18">
        <v>0</v>
      </c>
      <c r="I235" s="18">
        <v>0</v>
      </c>
      <c r="J235" s="18">
        <v>0</v>
      </c>
      <c r="K235" s="18">
        <v>0</v>
      </c>
      <c r="L235" s="19">
        <f>SUM(F235:K235)</f>
        <v>0</v>
      </c>
      <c r="M235" s="8"/>
      <c r="N235" s="266"/>
    </row>
    <row r="236" spans="1:14" s="3" customFormat="1" ht="12.2" customHeight="1" x14ac:dyDescent="0.15">
      <c r="A236" s="1" t="s">
        <v>441</v>
      </c>
      <c r="B236" s="2" t="s">
        <v>350</v>
      </c>
      <c r="C236" s="2" t="s">
        <v>293</v>
      </c>
      <c r="D236" s="2" t="s">
        <v>431</v>
      </c>
      <c r="E236" s="6">
        <v>1400</v>
      </c>
      <c r="F236" s="18">
        <v>0</v>
      </c>
      <c r="G236" s="18">
        <v>0</v>
      </c>
      <c r="H236" s="18">
        <v>0</v>
      </c>
      <c r="I236" s="18">
        <v>0</v>
      </c>
      <c r="J236" s="18">
        <v>0</v>
      </c>
      <c r="K236" s="18">
        <v>0</v>
      </c>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0</v>
      </c>
      <c r="G238" s="18">
        <v>0</v>
      </c>
      <c r="H238" s="18">
        <f>3799.3</f>
        <v>3799.3</v>
      </c>
      <c r="I238" s="18"/>
      <c r="J238" s="18"/>
      <c r="K238" s="18"/>
      <c r="L238" s="19">
        <f t="shared" ref="L238:L244" si="4">SUM(F238:K238)</f>
        <v>3799.3</v>
      </c>
      <c r="M238" s="8"/>
      <c r="N238" s="266"/>
    </row>
    <row r="239" spans="1:14" s="3" customFormat="1" ht="12.2" customHeight="1" x14ac:dyDescent="0.15">
      <c r="A239" s="1" t="s">
        <v>443</v>
      </c>
      <c r="B239" s="2" t="s">
        <v>350</v>
      </c>
      <c r="C239" s="2" t="s">
        <v>295</v>
      </c>
      <c r="D239" s="2" t="s">
        <v>431</v>
      </c>
      <c r="E239" s="6">
        <v>2200</v>
      </c>
      <c r="F239" s="18">
        <v>0</v>
      </c>
      <c r="G239" s="18">
        <v>0</v>
      </c>
      <c r="H239" s="18">
        <v>0</v>
      </c>
      <c r="I239" s="18">
        <v>0</v>
      </c>
      <c r="J239" s="18">
        <v>0</v>
      </c>
      <c r="K239" s="18">
        <v>0</v>
      </c>
      <c r="L239" s="19">
        <f t="shared" si="4"/>
        <v>0</v>
      </c>
      <c r="M239" s="8"/>
      <c r="N239" s="266"/>
    </row>
    <row r="240" spans="1:14" s="3" customFormat="1" ht="12.2" customHeight="1" x14ac:dyDescent="0.15">
      <c r="A240" s="1" t="s">
        <v>444</v>
      </c>
      <c r="B240" s="2" t="s">
        <v>350</v>
      </c>
      <c r="C240" s="2" t="s">
        <v>296</v>
      </c>
      <c r="D240" s="2" t="s">
        <v>431</v>
      </c>
      <c r="E240" s="6">
        <v>2300</v>
      </c>
      <c r="F240" s="18">
        <v>0</v>
      </c>
      <c r="G240" s="18">
        <v>0</v>
      </c>
      <c r="H240" s="18">
        <v>0</v>
      </c>
      <c r="I240" s="18">
        <v>0</v>
      </c>
      <c r="J240" s="18">
        <v>0</v>
      </c>
      <c r="K240" s="18">
        <v>0</v>
      </c>
      <c r="L240" s="19">
        <f t="shared" si="4"/>
        <v>0</v>
      </c>
      <c r="M240" s="8"/>
      <c r="N240" s="266"/>
    </row>
    <row r="241" spans="1:14" s="3" customFormat="1" ht="12.2" customHeight="1" x14ac:dyDescent="0.15">
      <c r="A241" s="1" t="s">
        <v>445</v>
      </c>
      <c r="B241" s="2" t="s">
        <v>350</v>
      </c>
      <c r="C241" s="2" t="s">
        <v>297</v>
      </c>
      <c r="D241" s="2" t="s">
        <v>431</v>
      </c>
      <c r="E241" s="6">
        <v>2400</v>
      </c>
      <c r="F241" s="18">
        <v>0</v>
      </c>
      <c r="G241" s="18">
        <v>0</v>
      </c>
      <c r="H241" s="18">
        <v>0</v>
      </c>
      <c r="I241" s="18">
        <v>0</v>
      </c>
      <c r="J241" s="18">
        <v>0</v>
      </c>
      <c r="K241" s="18">
        <v>0</v>
      </c>
      <c r="L241" s="19">
        <f t="shared" si="4"/>
        <v>0</v>
      </c>
      <c r="M241" s="8"/>
      <c r="N241" s="266"/>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0</v>
      </c>
      <c r="L242" s="19">
        <f t="shared" si="4"/>
        <v>0</v>
      </c>
      <c r="M242" s="8"/>
      <c r="N242" s="266"/>
    </row>
    <row r="243" spans="1:14" s="3" customFormat="1" ht="12.2" customHeight="1" x14ac:dyDescent="0.15">
      <c r="A243" s="1" t="s">
        <v>447</v>
      </c>
      <c r="B243" s="2" t="s">
        <v>350</v>
      </c>
      <c r="C243" s="2" t="s">
        <v>299</v>
      </c>
      <c r="D243" s="2" t="s">
        <v>431</v>
      </c>
      <c r="E243" s="6">
        <v>2600</v>
      </c>
      <c r="F243" s="18">
        <v>0</v>
      </c>
      <c r="G243" s="18">
        <v>0</v>
      </c>
      <c r="H243" s="18">
        <v>0</v>
      </c>
      <c r="I243" s="18">
        <v>0</v>
      </c>
      <c r="J243" s="18">
        <v>0</v>
      </c>
      <c r="K243" s="18">
        <v>0</v>
      </c>
      <c r="L243" s="19">
        <f t="shared" si="4"/>
        <v>0</v>
      </c>
      <c r="M243" s="8"/>
      <c r="N243" s="266"/>
    </row>
    <row r="244" spans="1:14" s="3" customFormat="1" ht="12.2" customHeight="1" x14ac:dyDescent="0.15">
      <c r="A244" s="1" t="s">
        <v>448</v>
      </c>
      <c r="B244" s="2" t="s">
        <v>350</v>
      </c>
      <c r="C244" s="2" t="s">
        <v>300</v>
      </c>
      <c r="D244" s="2" t="s">
        <v>431</v>
      </c>
      <c r="E244" s="6">
        <v>2700</v>
      </c>
      <c r="F244" s="18">
        <v>0</v>
      </c>
      <c r="G244" s="18">
        <v>0</v>
      </c>
      <c r="H244" s="18">
        <f>47979.63</f>
        <v>47979.63</v>
      </c>
      <c r="I244" s="18">
        <v>0</v>
      </c>
      <c r="J244" s="18">
        <v>0</v>
      </c>
      <c r="K244" s="18">
        <v>0</v>
      </c>
      <c r="L244" s="19">
        <f t="shared" si="4"/>
        <v>47979.63</v>
      </c>
      <c r="M244" s="8"/>
      <c r="N244" s="266"/>
    </row>
    <row r="245" spans="1:14" s="3" customFormat="1" ht="12.2" customHeight="1" x14ac:dyDescent="0.15">
      <c r="A245" s="1" t="s">
        <v>449</v>
      </c>
      <c r="B245" s="2" t="s">
        <v>350</v>
      </c>
      <c r="C245" s="2" t="s">
        <v>343</v>
      </c>
      <c r="D245" s="2" t="s">
        <v>431</v>
      </c>
      <c r="E245" s="6">
        <v>2800</v>
      </c>
      <c r="F245" s="18">
        <v>0</v>
      </c>
      <c r="G245" s="18">
        <v>0</v>
      </c>
      <c r="H245" s="18">
        <v>0</v>
      </c>
      <c r="I245" s="18">
        <v>0</v>
      </c>
      <c r="J245" s="18">
        <v>0</v>
      </c>
      <c r="K245" s="18">
        <v>0</v>
      </c>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2313508.1999999997</v>
      </c>
      <c r="I247" s="41">
        <f t="shared" si="5"/>
        <v>0</v>
      </c>
      <c r="J247" s="41">
        <f t="shared" si="5"/>
        <v>836</v>
      </c>
      <c r="K247" s="41">
        <f t="shared" si="5"/>
        <v>0</v>
      </c>
      <c r="L247" s="41">
        <f t="shared" si="5"/>
        <v>2314344.1999999997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6"/>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6"/>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6"/>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6"/>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6"/>
    </row>
    <row r="255" spans="1:14" s="3" customFormat="1" ht="12.2" customHeight="1" thickBot="1" x14ac:dyDescent="0.2">
      <c r="A255" s="1" t="s">
        <v>584</v>
      </c>
      <c r="B255" s="2" t="s">
        <v>352</v>
      </c>
      <c r="C255" s="6">
        <v>6</v>
      </c>
      <c r="D255" s="2" t="s">
        <v>431</v>
      </c>
      <c r="E255" s="6">
        <v>4000</v>
      </c>
      <c r="F255" s="18">
        <v>0</v>
      </c>
      <c r="G255" s="18">
        <v>0</v>
      </c>
      <c r="H255" s="18">
        <v>0</v>
      </c>
      <c r="I255" s="18">
        <v>0</v>
      </c>
      <c r="J255" s="18">
        <v>0</v>
      </c>
      <c r="K255" s="18">
        <v>0</v>
      </c>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1989800.3699999999</v>
      </c>
      <c r="G257" s="41">
        <f t="shared" si="8"/>
        <v>763790.31</v>
      </c>
      <c r="H257" s="41">
        <f t="shared" si="8"/>
        <v>3861803.82</v>
      </c>
      <c r="I257" s="41">
        <f t="shared" si="8"/>
        <v>125387.94</v>
      </c>
      <c r="J257" s="41">
        <f t="shared" si="8"/>
        <v>36572.57</v>
      </c>
      <c r="K257" s="41">
        <f t="shared" si="8"/>
        <v>6084.4</v>
      </c>
      <c r="L257" s="41">
        <f t="shared" si="8"/>
        <v>6783439.4099999983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0</v>
      </c>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54305.66</v>
      </c>
      <c r="L261" s="19">
        <f>SUM(F261:K261)</f>
        <v>54305.66</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530.65</v>
      </c>
      <c r="L263" s="19">
        <f>SUM(F263:K263)</f>
        <v>530.65</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241000</v>
      </c>
      <c r="L266" s="19">
        <f t="shared" si="9"/>
        <v>241000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0</v>
      </c>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295836.31</v>
      </c>
      <c r="L270" s="41">
        <f t="shared" si="9"/>
        <v>295836.31</v>
      </c>
      <c r="N270" s="264"/>
    </row>
    <row r="271" spans="1:14" s="3" customFormat="1" ht="12.2" customHeight="1" thickTop="1" x14ac:dyDescent="0.2">
      <c r="A271" s="43" t="s">
        <v>464</v>
      </c>
      <c r="B271" s="40">
        <v>10</v>
      </c>
      <c r="C271" s="40">
        <v>18</v>
      </c>
      <c r="D271" s="39" t="s">
        <v>431</v>
      </c>
      <c r="E271" s="40"/>
      <c r="F271" s="42">
        <f t="shared" ref="F271:L271" si="11">F257+F270</f>
        <v>1989800.3699999999</v>
      </c>
      <c r="G271" s="42">
        <f t="shared" si="11"/>
        <v>763790.31</v>
      </c>
      <c r="H271" s="42">
        <f t="shared" si="11"/>
        <v>3861803.82</v>
      </c>
      <c r="I271" s="42">
        <f t="shared" si="11"/>
        <v>125387.94</v>
      </c>
      <c r="J271" s="42">
        <f t="shared" si="11"/>
        <v>36572.57</v>
      </c>
      <c r="K271" s="42">
        <f t="shared" si="11"/>
        <v>301920.71000000002</v>
      </c>
      <c r="L271" s="42">
        <f t="shared" si="11"/>
        <v>7079275.7199999979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10870+1195+10455</f>
        <v>22520</v>
      </c>
      <c r="G276" s="18">
        <f>831.69+91.42+220.98+135+350+799.81+1816.85+45</f>
        <v>4290.75</v>
      </c>
      <c r="H276" s="18">
        <v>0</v>
      </c>
      <c r="I276" s="18">
        <f>21111</f>
        <v>21111</v>
      </c>
      <c r="J276" s="18">
        <v>0</v>
      </c>
      <c r="K276" s="18">
        <f>245.7+2250+273.53</f>
        <v>2769.2299999999996</v>
      </c>
      <c r="L276" s="19">
        <f>SUM(F276:K276)</f>
        <v>50690.979999999996</v>
      </c>
      <c r="M276" s="8"/>
      <c r="N276" s="266"/>
    </row>
    <row r="277" spans="1:14" s="3" customFormat="1" ht="12.2" customHeight="1" x14ac:dyDescent="0.15">
      <c r="A277" s="1" t="s">
        <v>439</v>
      </c>
      <c r="B277" s="2" t="s">
        <v>357</v>
      </c>
      <c r="C277" s="2" t="s">
        <v>291</v>
      </c>
      <c r="D277" s="2" t="s">
        <v>431</v>
      </c>
      <c r="E277" s="6">
        <v>1200</v>
      </c>
      <c r="F277" s="18">
        <f>45543.59</f>
        <v>45543.59</v>
      </c>
      <c r="G277" s="18">
        <f>1655+76+95+3513+7972+39+83</f>
        <v>13433</v>
      </c>
      <c r="H277" s="18">
        <v>0</v>
      </c>
      <c r="I277" s="18">
        <v>0</v>
      </c>
      <c r="J277" s="18">
        <v>0</v>
      </c>
      <c r="K277" s="18">
        <f>959.85</f>
        <v>959.85</v>
      </c>
      <c r="L277" s="19">
        <f>SUM(F277:K277)</f>
        <v>59936.439999999995</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0</v>
      </c>
      <c r="G279" s="18">
        <v>0</v>
      </c>
      <c r="H279" s="18">
        <v>0</v>
      </c>
      <c r="I279" s="18">
        <v>0</v>
      </c>
      <c r="J279" s="18">
        <v>0</v>
      </c>
      <c r="K279" s="18">
        <v>0</v>
      </c>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v>0</v>
      </c>
      <c r="I281" s="18">
        <v>0</v>
      </c>
      <c r="J281" s="18">
        <v>0</v>
      </c>
      <c r="K281" s="18">
        <v>0</v>
      </c>
      <c r="L281" s="19">
        <f t="shared" ref="L281:L287" si="12">SUM(F281:K281)</f>
        <v>0</v>
      </c>
      <c r="M281" s="8"/>
      <c r="N281" s="266"/>
    </row>
    <row r="282" spans="1:14" s="3" customFormat="1" ht="12.2" customHeight="1" x14ac:dyDescent="0.15">
      <c r="A282" s="1" t="s">
        <v>443</v>
      </c>
      <c r="B282" s="2" t="s">
        <v>357</v>
      </c>
      <c r="C282" s="2" t="s">
        <v>295</v>
      </c>
      <c r="D282" s="2" t="s">
        <v>431</v>
      </c>
      <c r="E282" s="6">
        <v>2200</v>
      </c>
      <c r="F282" s="18">
        <f>800</f>
        <v>800</v>
      </c>
      <c r="G282" s="18">
        <f>61.2+142.4</f>
        <v>203.60000000000002</v>
      </c>
      <c r="H282" s="18">
        <f>729+4974.5</f>
        <v>5703.5</v>
      </c>
      <c r="I282" s="18">
        <f>320.99+361.4</f>
        <v>682.39</v>
      </c>
      <c r="J282" s="18">
        <f>3000</f>
        <v>3000</v>
      </c>
      <c r="K282" s="18">
        <f>19.86+87.55</f>
        <v>107.41</v>
      </c>
      <c r="L282" s="19">
        <f t="shared" si="12"/>
        <v>10496.900000000001</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4500</v>
      </c>
      <c r="I287" s="18">
        <v>0</v>
      </c>
      <c r="J287" s="18">
        <v>0</v>
      </c>
      <c r="K287" s="18">
        <v>0</v>
      </c>
      <c r="L287" s="19">
        <f t="shared" si="12"/>
        <v>4500</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68863.59</v>
      </c>
      <c r="G290" s="42">
        <f t="shared" si="13"/>
        <v>17927.349999999999</v>
      </c>
      <c r="H290" s="42">
        <f t="shared" si="13"/>
        <v>10203.5</v>
      </c>
      <c r="I290" s="42">
        <f t="shared" si="13"/>
        <v>21793.39</v>
      </c>
      <c r="J290" s="42">
        <f t="shared" si="13"/>
        <v>3000</v>
      </c>
      <c r="K290" s="42">
        <f t="shared" si="13"/>
        <v>3836.4899999999993</v>
      </c>
      <c r="L290" s="41">
        <f t="shared" si="13"/>
        <v>125624.31999999998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0</v>
      </c>
      <c r="G295" s="18">
        <v>0</v>
      </c>
      <c r="H295" s="18">
        <v>0</v>
      </c>
      <c r="I295" s="18">
        <v>0</v>
      </c>
      <c r="J295" s="18">
        <v>0</v>
      </c>
      <c r="K295" s="18">
        <v>0</v>
      </c>
      <c r="L295" s="19">
        <f>SUM(F295:K295)</f>
        <v>0</v>
      </c>
      <c r="M295" s="8"/>
      <c r="N295" s="266"/>
    </row>
    <row r="296" spans="1:14" s="3" customFormat="1" ht="12.2" customHeight="1" x14ac:dyDescent="0.15">
      <c r="A296" s="1" t="s">
        <v>439</v>
      </c>
      <c r="B296" s="2" t="s">
        <v>358</v>
      </c>
      <c r="C296" s="2" t="s">
        <v>291</v>
      </c>
      <c r="D296" s="2" t="s">
        <v>431</v>
      </c>
      <c r="E296" s="6">
        <v>1200</v>
      </c>
      <c r="F296" s="18">
        <v>0</v>
      </c>
      <c r="G296" s="18">
        <v>0</v>
      </c>
      <c r="H296" s="18">
        <v>0</v>
      </c>
      <c r="I296" s="18">
        <v>0</v>
      </c>
      <c r="J296" s="18">
        <v>0</v>
      </c>
      <c r="K296" s="18">
        <v>0</v>
      </c>
      <c r="L296" s="19">
        <f>SUM(F296:K296)</f>
        <v>0</v>
      </c>
      <c r="M296" s="8"/>
      <c r="N296" s="266"/>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6"/>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0</v>
      </c>
      <c r="G300" s="18">
        <v>0</v>
      </c>
      <c r="H300" s="18">
        <v>0</v>
      </c>
      <c r="I300" s="18">
        <v>0</v>
      </c>
      <c r="J300" s="18">
        <v>0</v>
      </c>
      <c r="K300" s="18">
        <v>0</v>
      </c>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0</v>
      </c>
      <c r="G301" s="18">
        <v>0</v>
      </c>
      <c r="H301" s="18">
        <v>0</v>
      </c>
      <c r="I301" s="18">
        <v>0</v>
      </c>
      <c r="J301" s="18">
        <v>0</v>
      </c>
      <c r="K301" s="18">
        <v>0</v>
      </c>
      <c r="L301" s="19">
        <f t="shared" si="14"/>
        <v>0</v>
      </c>
      <c r="M301" s="8"/>
      <c r="N301" s="266"/>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6"/>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6"/>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6"/>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0</v>
      </c>
      <c r="G314" s="18">
        <v>0</v>
      </c>
      <c r="H314" s="18">
        <v>0</v>
      </c>
      <c r="I314" s="18">
        <v>0</v>
      </c>
      <c r="J314" s="18">
        <v>0</v>
      </c>
      <c r="K314" s="18">
        <v>0</v>
      </c>
      <c r="L314" s="19">
        <f>SUM(F314:K314)</f>
        <v>0</v>
      </c>
      <c r="M314" s="8"/>
      <c r="N314" s="266"/>
    </row>
    <row r="315" spans="1:14" s="3" customFormat="1" ht="12.2" customHeight="1" x14ac:dyDescent="0.15">
      <c r="A315" s="1" t="s">
        <v>439</v>
      </c>
      <c r="B315" s="2" t="s">
        <v>359</v>
      </c>
      <c r="C315" s="2" t="s">
        <v>291</v>
      </c>
      <c r="D315" s="2" t="s">
        <v>431</v>
      </c>
      <c r="E315" s="6">
        <v>1200</v>
      </c>
      <c r="F315" s="18">
        <v>0</v>
      </c>
      <c r="G315" s="18">
        <v>0</v>
      </c>
      <c r="H315" s="18">
        <v>0</v>
      </c>
      <c r="I315" s="18">
        <v>0</v>
      </c>
      <c r="J315" s="18">
        <v>0</v>
      </c>
      <c r="K315" s="18">
        <v>0</v>
      </c>
      <c r="L315" s="19">
        <f>SUM(F315:K315)</f>
        <v>0</v>
      </c>
      <c r="M315" s="8"/>
      <c r="N315" s="266"/>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6"/>
    </row>
    <row r="317" spans="1:14" s="3" customFormat="1" ht="12.2" customHeight="1" x14ac:dyDescent="0.15">
      <c r="A317" s="1" t="s">
        <v>441</v>
      </c>
      <c r="B317" s="2" t="s">
        <v>359</v>
      </c>
      <c r="C317" s="2" t="s">
        <v>293</v>
      </c>
      <c r="D317" s="2" t="s">
        <v>431</v>
      </c>
      <c r="E317" s="6">
        <v>1400</v>
      </c>
      <c r="F317" s="18">
        <v>0</v>
      </c>
      <c r="G317" s="18">
        <v>0</v>
      </c>
      <c r="H317" s="18">
        <v>0</v>
      </c>
      <c r="I317" s="18">
        <v>0</v>
      </c>
      <c r="J317" s="18">
        <v>0</v>
      </c>
      <c r="K317" s="18">
        <v>0</v>
      </c>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0</v>
      </c>
      <c r="G319" s="18">
        <v>0</v>
      </c>
      <c r="H319" s="18">
        <v>0</v>
      </c>
      <c r="I319" s="18">
        <v>0</v>
      </c>
      <c r="J319" s="18">
        <v>0</v>
      </c>
      <c r="K319" s="18">
        <v>0</v>
      </c>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0</v>
      </c>
      <c r="G320" s="18">
        <v>0</v>
      </c>
      <c r="H320" s="18">
        <v>0</v>
      </c>
      <c r="I320" s="18">
        <v>0</v>
      </c>
      <c r="J320" s="18">
        <v>0</v>
      </c>
      <c r="K320" s="18">
        <v>0</v>
      </c>
      <c r="L320" s="19">
        <f t="shared" si="16"/>
        <v>0</v>
      </c>
      <c r="M320" s="8"/>
      <c r="N320" s="266"/>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6"/>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6"/>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6"/>
    </row>
    <row r="325" spans="1:14" s="3" customFormat="1" ht="12.2" customHeight="1" x14ac:dyDescent="0.15">
      <c r="A325" s="1" t="s">
        <v>448</v>
      </c>
      <c r="B325" s="2" t="s">
        <v>359</v>
      </c>
      <c r="C325" s="2" t="s">
        <v>300</v>
      </c>
      <c r="D325" s="2" t="s">
        <v>431</v>
      </c>
      <c r="E325" s="6">
        <v>2700</v>
      </c>
      <c r="F325" s="18">
        <v>0</v>
      </c>
      <c r="G325" s="18">
        <v>0</v>
      </c>
      <c r="H325" s="18">
        <v>0</v>
      </c>
      <c r="I325" s="18">
        <v>0</v>
      </c>
      <c r="J325" s="18">
        <v>0</v>
      </c>
      <c r="K325" s="18">
        <v>0</v>
      </c>
      <c r="L325" s="19">
        <f t="shared" si="16"/>
        <v>0</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v>0</v>
      </c>
      <c r="G332" s="18">
        <v>0</v>
      </c>
      <c r="H332" s="18">
        <v>0</v>
      </c>
      <c r="I332" s="18">
        <v>0</v>
      </c>
      <c r="J332" s="18">
        <v>0</v>
      </c>
      <c r="K332" s="18">
        <v>0</v>
      </c>
      <c r="L332" s="19">
        <f t="shared" ref="L332:L337" si="18">SUM(F332:K332)</f>
        <v>0</v>
      </c>
      <c r="M332" s="8"/>
      <c r="N332" s="266"/>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6"/>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6"/>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6"/>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68863.59</v>
      </c>
      <c r="G338" s="41">
        <f t="shared" si="20"/>
        <v>17927.349999999999</v>
      </c>
      <c r="H338" s="41">
        <f t="shared" si="20"/>
        <v>10203.5</v>
      </c>
      <c r="I338" s="41">
        <f t="shared" si="20"/>
        <v>21793.39</v>
      </c>
      <c r="J338" s="41">
        <f t="shared" si="20"/>
        <v>3000</v>
      </c>
      <c r="K338" s="41">
        <f t="shared" si="20"/>
        <v>3836.4899999999993</v>
      </c>
      <c r="L338" s="41">
        <f t="shared" si="20"/>
        <v>125624.31999999998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0</v>
      </c>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68863.59</v>
      </c>
      <c r="G352" s="41">
        <f>G338</f>
        <v>17927.349999999999</v>
      </c>
      <c r="H352" s="41">
        <f>H338</f>
        <v>10203.5</v>
      </c>
      <c r="I352" s="41">
        <f>I338</f>
        <v>21793.39</v>
      </c>
      <c r="J352" s="41">
        <f>J338</f>
        <v>3000</v>
      </c>
      <c r="K352" s="47">
        <f>K338+K351</f>
        <v>3836.4899999999993</v>
      </c>
      <c r="L352" s="41">
        <f>L338+L351</f>
        <v>125624.31999999998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21430.28</f>
        <v>21430.28</v>
      </c>
      <c r="G358" s="18">
        <v>2194.59</v>
      </c>
      <c r="H358" s="18">
        <f>10000+1280+797.77</f>
        <v>12077.77</v>
      </c>
      <c r="I358" s="18">
        <f>4231.6+30719.67+3279.8+5020.92+403</f>
        <v>43654.99</v>
      </c>
      <c r="J358" s="18">
        <v>0</v>
      </c>
      <c r="K358" s="18">
        <v>0</v>
      </c>
      <c r="L358" s="13">
        <f>SUM(F358:K358)</f>
        <v>79357.63</v>
      </c>
      <c r="N358" s="264"/>
      <c r="R358" s="3"/>
      <c r="S358" s="3"/>
      <c r="T358" s="3"/>
      <c r="U358" s="3"/>
      <c r="V358" s="3"/>
    </row>
    <row r="359" spans="1:22" s="3" customFormat="1" ht="12.2" customHeight="1" x14ac:dyDescent="0.15">
      <c r="A359" s="1" t="s">
        <v>542</v>
      </c>
      <c r="B359" s="2" t="s">
        <v>366</v>
      </c>
      <c r="C359" s="6">
        <v>2</v>
      </c>
      <c r="D359" s="2" t="s">
        <v>431</v>
      </c>
      <c r="E359" s="6"/>
      <c r="F359" s="18">
        <v>0</v>
      </c>
      <c r="G359" s="18">
        <v>0</v>
      </c>
      <c r="H359" s="18">
        <v>0</v>
      </c>
      <c r="I359" s="18">
        <v>0</v>
      </c>
      <c r="J359" s="18">
        <v>0</v>
      </c>
      <c r="K359" s="18">
        <v>0</v>
      </c>
      <c r="L359" s="19">
        <f>SUM(F359:K359)</f>
        <v>0</v>
      </c>
      <c r="M359" s="8"/>
      <c r="N359" s="266"/>
    </row>
    <row r="360" spans="1:22" s="3" customFormat="1" ht="12.2" customHeight="1" x14ac:dyDescent="0.15">
      <c r="A360" s="3" t="s">
        <v>543</v>
      </c>
      <c r="B360" s="2" t="s">
        <v>366</v>
      </c>
      <c r="C360" s="6">
        <v>3</v>
      </c>
      <c r="D360" s="2" t="s">
        <v>431</v>
      </c>
      <c r="E360" s="6"/>
      <c r="F360" s="18">
        <v>0</v>
      </c>
      <c r="G360" s="18">
        <v>0</v>
      </c>
      <c r="H360" s="18">
        <v>0</v>
      </c>
      <c r="I360" s="18">
        <v>0</v>
      </c>
      <c r="J360" s="18">
        <v>0</v>
      </c>
      <c r="K360" s="18">
        <v>0</v>
      </c>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v>0</v>
      </c>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21430.28</v>
      </c>
      <c r="G362" s="47">
        <f t="shared" si="22"/>
        <v>2194.59</v>
      </c>
      <c r="H362" s="47">
        <f t="shared" si="22"/>
        <v>12077.77</v>
      </c>
      <c r="I362" s="47">
        <f t="shared" si="22"/>
        <v>43654.99</v>
      </c>
      <c r="J362" s="47">
        <f t="shared" si="22"/>
        <v>0</v>
      </c>
      <c r="K362" s="47">
        <f t="shared" si="22"/>
        <v>0</v>
      </c>
      <c r="L362" s="47">
        <f t="shared" si="22"/>
        <v>79357.63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30719.67+3279.8+3280.92+1740</f>
        <v>39020.39</v>
      </c>
      <c r="G367" s="18">
        <v>0</v>
      </c>
      <c r="H367" s="18">
        <v>0</v>
      </c>
      <c r="I367" s="56">
        <f>SUM(F367:H367)</f>
        <v>39020.39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4231.6+403</f>
        <v>4634.6000000000004</v>
      </c>
      <c r="G368" s="63">
        <v>0</v>
      </c>
      <c r="H368" s="63">
        <v>0</v>
      </c>
      <c r="I368" s="56">
        <f>SUM(F368:H368)</f>
        <v>4634.6000000000004</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43654.99</v>
      </c>
      <c r="G369" s="47">
        <f>SUM(G367:G368)</f>
        <v>0</v>
      </c>
      <c r="H369" s="47">
        <f>SUM(H367:H368)</f>
        <v>0</v>
      </c>
      <c r="I369" s="47">
        <f>SUM(I367:I368)</f>
        <v>43654.99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v>0</v>
      </c>
      <c r="G374" s="18">
        <v>0</v>
      </c>
      <c r="H374" s="18">
        <v>0</v>
      </c>
      <c r="I374" s="18">
        <v>0</v>
      </c>
      <c r="J374" s="18">
        <v>0</v>
      </c>
      <c r="K374" s="18">
        <v>0</v>
      </c>
      <c r="L374" s="13">
        <f>SUM(F374:K374)</f>
        <v>0</v>
      </c>
      <c r="M374" s="8"/>
      <c r="N374" s="266"/>
    </row>
    <row r="375" spans="1:14" s="3" customFormat="1" ht="12.2" customHeight="1" x14ac:dyDescent="0.15">
      <c r="A375" s="1" t="s">
        <v>545</v>
      </c>
      <c r="B375" s="2" t="s">
        <v>366</v>
      </c>
      <c r="C375" s="2" t="s">
        <v>299</v>
      </c>
      <c r="D375" s="2" t="s">
        <v>431</v>
      </c>
      <c r="E375" s="6">
        <v>4200</v>
      </c>
      <c r="F375" s="18">
        <v>0</v>
      </c>
      <c r="G375" s="18">
        <v>0</v>
      </c>
      <c r="H375" s="18">
        <v>0</v>
      </c>
      <c r="I375" s="18">
        <v>0</v>
      </c>
      <c r="J375" s="18">
        <v>0</v>
      </c>
      <c r="K375" s="18">
        <v>0</v>
      </c>
      <c r="L375" s="13">
        <f t="shared" ref="L375:L381" si="23">SUM(F375:K375)</f>
        <v>0</v>
      </c>
      <c r="M375" s="8"/>
      <c r="N375" s="266"/>
    </row>
    <row r="376" spans="1:14" s="3" customFormat="1" ht="12.2" customHeight="1" x14ac:dyDescent="0.15">
      <c r="A376" s="1" t="s">
        <v>546</v>
      </c>
      <c r="B376" s="2" t="s">
        <v>366</v>
      </c>
      <c r="C376" s="2" t="s">
        <v>300</v>
      </c>
      <c r="D376" s="2" t="s">
        <v>431</v>
      </c>
      <c r="E376" s="6">
        <v>4300</v>
      </c>
      <c r="F376" s="18">
        <v>0</v>
      </c>
      <c r="G376" s="18">
        <v>0</v>
      </c>
      <c r="H376" s="18">
        <v>82436.649999999994</v>
      </c>
      <c r="I376" s="18">
        <v>0</v>
      </c>
      <c r="J376" s="18">
        <v>0</v>
      </c>
      <c r="K376" s="18">
        <v>0</v>
      </c>
      <c r="L376" s="13">
        <f t="shared" si="23"/>
        <v>82436.649999999994</v>
      </c>
      <c r="M376" s="8"/>
      <c r="N376" s="266"/>
    </row>
    <row r="377" spans="1:14" s="3" customFormat="1" ht="12.2" customHeight="1" x14ac:dyDescent="0.15">
      <c r="A377" s="1" t="s">
        <v>547</v>
      </c>
      <c r="B377" s="2" t="s">
        <v>366</v>
      </c>
      <c r="C377" s="2" t="s">
        <v>343</v>
      </c>
      <c r="D377" s="2" t="s">
        <v>431</v>
      </c>
      <c r="E377" s="6">
        <v>4400</v>
      </c>
      <c r="F377" s="18">
        <v>0</v>
      </c>
      <c r="G377" s="18">
        <v>0</v>
      </c>
      <c r="H377" s="18">
        <v>0</v>
      </c>
      <c r="I377" s="18">
        <v>0</v>
      </c>
      <c r="J377" s="18">
        <v>0</v>
      </c>
      <c r="K377" s="18">
        <v>0</v>
      </c>
      <c r="L377" s="13">
        <f t="shared" si="23"/>
        <v>0</v>
      </c>
      <c r="M377" s="8"/>
      <c r="N377" s="266"/>
    </row>
    <row r="378" spans="1:14" s="3" customFormat="1" ht="12.2" customHeight="1" x14ac:dyDescent="0.15">
      <c r="A378" s="1" t="s">
        <v>548</v>
      </c>
      <c r="B378" s="2" t="s">
        <v>366</v>
      </c>
      <c r="C378" s="2" t="s">
        <v>344</v>
      </c>
      <c r="D378" s="2" t="s">
        <v>431</v>
      </c>
      <c r="E378" s="6">
        <v>4500</v>
      </c>
      <c r="F378" s="18">
        <v>0</v>
      </c>
      <c r="G378" s="18">
        <v>0</v>
      </c>
      <c r="H378" s="18">
        <v>1506497.01</v>
      </c>
      <c r="I378" s="18">
        <v>0</v>
      </c>
      <c r="J378" s="18">
        <v>0</v>
      </c>
      <c r="K378" s="18">
        <v>0</v>
      </c>
      <c r="L378" s="13">
        <f t="shared" si="23"/>
        <v>1506497.01</v>
      </c>
      <c r="M378" s="8"/>
      <c r="N378" s="266"/>
    </row>
    <row r="379" spans="1:14" s="3" customFormat="1" ht="12.2" customHeight="1" x14ac:dyDescent="0.15">
      <c r="A379" s="1" t="s">
        <v>549</v>
      </c>
      <c r="B379" s="2" t="s">
        <v>366</v>
      </c>
      <c r="C379" s="2" t="s">
        <v>345</v>
      </c>
      <c r="D379" s="2" t="s">
        <v>431</v>
      </c>
      <c r="E379" s="6">
        <v>4600</v>
      </c>
      <c r="F379" s="18">
        <v>0</v>
      </c>
      <c r="G379" s="18">
        <v>0</v>
      </c>
      <c r="H379" s="18">
        <v>0</v>
      </c>
      <c r="I379" s="18">
        <v>0</v>
      </c>
      <c r="J379" s="18">
        <v>0</v>
      </c>
      <c r="K379" s="18">
        <v>0</v>
      </c>
      <c r="L379" s="13">
        <f t="shared" si="23"/>
        <v>0</v>
      </c>
      <c r="M379" s="8"/>
      <c r="N379" s="266"/>
    </row>
    <row r="380" spans="1:14" s="3" customFormat="1" ht="12.2" customHeight="1" x14ac:dyDescent="0.15">
      <c r="A380" s="1" t="s">
        <v>510</v>
      </c>
      <c r="B380" s="2" t="s">
        <v>366</v>
      </c>
      <c r="C380" s="2" t="s">
        <v>347</v>
      </c>
      <c r="D380" s="2" t="s">
        <v>431</v>
      </c>
      <c r="E380" s="6">
        <v>4900</v>
      </c>
      <c r="F380" s="18">
        <v>0</v>
      </c>
      <c r="G380" s="18">
        <v>0</v>
      </c>
      <c r="H380" s="18">
        <f>7000+3250+835</f>
        <v>11085</v>
      </c>
      <c r="I380" s="18">
        <v>0</v>
      </c>
      <c r="J380" s="18">
        <f>24925.38</f>
        <v>24925.38</v>
      </c>
      <c r="K380" s="18">
        <f>78660.15</f>
        <v>78660.149999999994</v>
      </c>
      <c r="L380" s="13">
        <f t="shared" si="23"/>
        <v>114670.53</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0</v>
      </c>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1600018.66</v>
      </c>
      <c r="I382" s="41">
        <f t="shared" si="24"/>
        <v>0</v>
      </c>
      <c r="J382" s="47">
        <f t="shared" si="24"/>
        <v>24925.38</v>
      </c>
      <c r="K382" s="47">
        <f t="shared" si="24"/>
        <v>78660.149999999994</v>
      </c>
      <c r="L382" s="47">
        <f t="shared" si="24"/>
        <v>1703604.19</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v>0</v>
      </c>
      <c r="G387" s="18">
        <v>0</v>
      </c>
      <c r="H387" s="18">
        <v>0</v>
      </c>
      <c r="I387" s="18">
        <v>0</v>
      </c>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v>0</v>
      </c>
      <c r="G388" s="18">
        <v>0</v>
      </c>
      <c r="H388" s="18">
        <v>0</v>
      </c>
      <c r="I388" s="18">
        <v>0</v>
      </c>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v>0</v>
      </c>
      <c r="G389" s="18">
        <v>0</v>
      </c>
      <c r="H389" s="18">
        <v>0</v>
      </c>
      <c r="I389" s="18">
        <v>0</v>
      </c>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v>0</v>
      </c>
      <c r="G390" s="18">
        <v>0</v>
      </c>
      <c r="H390" s="18">
        <v>0</v>
      </c>
      <c r="I390" s="18">
        <v>0</v>
      </c>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v>0</v>
      </c>
      <c r="G391" s="18">
        <v>0</v>
      </c>
      <c r="H391" s="18">
        <v>0</v>
      </c>
      <c r="I391" s="18">
        <v>0</v>
      </c>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v>0</v>
      </c>
      <c r="G392" s="18">
        <v>0</v>
      </c>
      <c r="H392" s="18">
        <v>0</v>
      </c>
      <c r="I392" s="18">
        <v>0</v>
      </c>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v>0</v>
      </c>
      <c r="G395" s="18">
        <v>0</v>
      </c>
      <c r="H395" s="18">
        <v>0</v>
      </c>
      <c r="I395" s="18">
        <v>0</v>
      </c>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v>0</v>
      </c>
      <c r="G396" s="18">
        <v>241000</v>
      </c>
      <c r="H396" s="18">
        <f>97.28+85.08+6252.53</f>
        <v>6434.8899999999994</v>
      </c>
      <c r="I396" s="18">
        <v>0</v>
      </c>
      <c r="J396" s="24" t="s">
        <v>288</v>
      </c>
      <c r="K396" s="24" t="s">
        <v>288</v>
      </c>
      <c r="L396" s="56">
        <f t="shared" si="26"/>
        <v>247434.89</v>
      </c>
      <c r="M396" s="8"/>
      <c r="N396" s="266"/>
    </row>
    <row r="397" spans="1:14" s="3" customFormat="1" ht="12.2" customHeight="1" x14ac:dyDescent="0.15">
      <c r="A397" s="79" t="s">
        <v>515</v>
      </c>
      <c r="B397" s="2" t="s">
        <v>381</v>
      </c>
      <c r="C397" s="6">
        <v>10</v>
      </c>
      <c r="D397" s="2" t="s">
        <v>432</v>
      </c>
      <c r="E397" s="6"/>
      <c r="F397" s="18">
        <v>0</v>
      </c>
      <c r="G397" s="18">
        <v>0</v>
      </c>
      <c r="H397" s="18">
        <f>2033.28+1325.97</f>
        <v>3359.25</v>
      </c>
      <c r="I397" s="18">
        <v>0</v>
      </c>
      <c r="J397" s="24" t="s">
        <v>288</v>
      </c>
      <c r="K397" s="24" t="s">
        <v>288</v>
      </c>
      <c r="L397" s="56">
        <f t="shared" si="26"/>
        <v>3359.25</v>
      </c>
      <c r="M397" s="8"/>
      <c r="N397" s="266"/>
    </row>
    <row r="398" spans="1:14" s="3" customFormat="1" ht="12.2" customHeight="1" x14ac:dyDescent="0.15">
      <c r="A398" s="79" t="s">
        <v>558</v>
      </c>
      <c r="B398" s="2" t="s">
        <v>381</v>
      </c>
      <c r="C398" s="6">
        <v>11</v>
      </c>
      <c r="D398" s="2" t="s">
        <v>432</v>
      </c>
      <c r="E398" s="6"/>
      <c r="F398" s="18">
        <v>0</v>
      </c>
      <c r="G398" s="18">
        <v>0</v>
      </c>
      <c r="H398" s="18">
        <v>0</v>
      </c>
      <c r="I398" s="18">
        <v>0</v>
      </c>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v>0</v>
      </c>
      <c r="G399" s="18">
        <v>0</v>
      </c>
      <c r="H399" s="18">
        <v>0</v>
      </c>
      <c r="I399" s="18">
        <v>0</v>
      </c>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v>0</v>
      </c>
      <c r="G400" s="18">
        <v>0</v>
      </c>
      <c r="H400" s="18">
        <v>0</v>
      </c>
      <c r="I400" s="18">
        <v>0</v>
      </c>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241000</v>
      </c>
      <c r="H401" s="47">
        <f>SUM(H395:H400)</f>
        <v>9794.14</v>
      </c>
      <c r="I401" s="47">
        <f>SUM(I395:I400)</f>
        <v>0</v>
      </c>
      <c r="J401" s="45" t="s">
        <v>288</v>
      </c>
      <c r="K401" s="45" t="s">
        <v>288</v>
      </c>
      <c r="L401" s="47">
        <f>SUM(L395:L400)</f>
        <v>250794.14</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v>0</v>
      </c>
      <c r="G403" s="18">
        <v>0</v>
      </c>
      <c r="H403" s="18">
        <v>0</v>
      </c>
      <c r="I403" s="18">
        <v>0</v>
      </c>
      <c r="J403" s="24" t="s">
        <v>288</v>
      </c>
      <c r="K403" s="24" t="s">
        <v>288</v>
      </c>
      <c r="L403" s="56">
        <f>SUM(F403:K403)</f>
        <v>0</v>
      </c>
      <c r="M403" s="8"/>
      <c r="N403" s="266"/>
    </row>
    <row r="404" spans="1:21" s="3" customFormat="1" ht="12.2" customHeight="1" x14ac:dyDescent="0.15">
      <c r="A404" s="110"/>
      <c r="B404" s="2" t="s">
        <v>381</v>
      </c>
      <c r="C404" s="6">
        <v>16</v>
      </c>
      <c r="D404" s="2" t="s">
        <v>432</v>
      </c>
      <c r="E404" s="6"/>
      <c r="F404" s="18">
        <v>0</v>
      </c>
      <c r="G404" s="18">
        <v>0</v>
      </c>
      <c r="H404" s="18">
        <v>0</v>
      </c>
      <c r="I404" s="18">
        <v>0</v>
      </c>
      <c r="J404" s="24" t="s">
        <v>288</v>
      </c>
      <c r="K404" s="24" t="s">
        <v>288</v>
      </c>
      <c r="L404" s="56">
        <f>SUM(F404:K404)</f>
        <v>0</v>
      </c>
      <c r="M404" s="8"/>
      <c r="N404" s="266"/>
    </row>
    <row r="405" spans="1:21" s="3" customFormat="1" ht="12.2" customHeight="1" x14ac:dyDescent="0.15">
      <c r="A405" s="110"/>
      <c r="B405" s="2" t="s">
        <v>381</v>
      </c>
      <c r="C405" s="6">
        <v>17</v>
      </c>
      <c r="D405" s="2" t="s">
        <v>432</v>
      </c>
      <c r="E405" s="6"/>
      <c r="F405" s="18">
        <v>0</v>
      </c>
      <c r="G405" s="18">
        <v>0</v>
      </c>
      <c r="H405" s="18">
        <v>0</v>
      </c>
      <c r="I405" s="18">
        <v>0</v>
      </c>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v>0</v>
      </c>
      <c r="G406" s="18">
        <v>0</v>
      </c>
      <c r="H406" s="18">
        <v>0</v>
      </c>
      <c r="I406" s="18">
        <v>0</v>
      </c>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241000</v>
      </c>
      <c r="H408" s="47">
        <f>H393+H401+H407</f>
        <v>9794.14</v>
      </c>
      <c r="I408" s="47">
        <f>I393+I401+I407</f>
        <v>0</v>
      </c>
      <c r="J408" s="24" t="s">
        <v>288</v>
      </c>
      <c r="K408" s="24" t="s">
        <v>288</v>
      </c>
      <c r="L408" s="47">
        <f>L393+L401+L407</f>
        <v>250794.14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v>0</v>
      </c>
      <c r="G413" s="18">
        <v>0</v>
      </c>
      <c r="H413" s="18">
        <v>0</v>
      </c>
      <c r="I413" s="18">
        <v>0</v>
      </c>
      <c r="J413" s="18">
        <v>0</v>
      </c>
      <c r="K413" s="18">
        <v>0</v>
      </c>
      <c r="L413" s="56">
        <f t="shared" ref="L413:L418" si="27">SUM(F413:K413)</f>
        <v>0</v>
      </c>
      <c r="M413" s="8"/>
      <c r="N413" s="266"/>
    </row>
    <row r="414" spans="1:21" s="12" customFormat="1" ht="12.2" customHeight="1" thickBot="1" x14ac:dyDescent="0.25">
      <c r="A414" s="79" t="s">
        <v>551</v>
      </c>
      <c r="B414" s="6">
        <v>17</v>
      </c>
      <c r="C414" s="6">
        <v>2</v>
      </c>
      <c r="D414" s="2" t="s">
        <v>432</v>
      </c>
      <c r="E414" s="6"/>
      <c r="F414" s="18">
        <v>0</v>
      </c>
      <c r="G414" s="18">
        <v>0</v>
      </c>
      <c r="H414" s="18">
        <v>0</v>
      </c>
      <c r="I414" s="18">
        <v>0</v>
      </c>
      <c r="J414" s="18">
        <v>0</v>
      </c>
      <c r="K414" s="18">
        <v>0</v>
      </c>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v>0</v>
      </c>
      <c r="G415" s="18">
        <v>0</v>
      </c>
      <c r="H415" s="18">
        <v>0</v>
      </c>
      <c r="I415" s="18">
        <v>0</v>
      </c>
      <c r="J415" s="18">
        <v>0</v>
      </c>
      <c r="K415" s="18">
        <f>F185+I185</f>
        <v>422205.54000000004</v>
      </c>
      <c r="L415" s="56">
        <f t="shared" si="27"/>
        <v>422205.54000000004</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554</v>
      </c>
      <c r="B417" s="6">
        <v>17</v>
      </c>
      <c r="C417" s="6">
        <v>5</v>
      </c>
      <c r="D417" s="2" t="s">
        <v>432</v>
      </c>
      <c r="E417" s="6"/>
      <c r="F417" s="18">
        <v>0</v>
      </c>
      <c r="G417" s="18">
        <v>0</v>
      </c>
      <c r="H417" s="18">
        <v>0</v>
      </c>
      <c r="I417" s="18">
        <v>0</v>
      </c>
      <c r="J417" s="18">
        <v>0</v>
      </c>
      <c r="K417" s="18">
        <v>0</v>
      </c>
      <c r="L417" s="56">
        <f t="shared" si="27"/>
        <v>0</v>
      </c>
      <c r="M417" s="8"/>
      <c r="N417" s="266"/>
    </row>
    <row r="418" spans="1:21" s="3" customFormat="1" ht="12.2" customHeight="1" thickBot="1" x14ac:dyDescent="0.2">
      <c r="A418" s="79" t="s">
        <v>555</v>
      </c>
      <c r="B418" s="6">
        <v>17</v>
      </c>
      <c r="C418" s="6">
        <v>6</v>
      </c>
      <c r="D418" s="2" t="s">
        <v>432</v>
      </c>
      <c r="E418" s="6"/>
      <c r="F418" s="18">
        <v>0</v>
      </c>
      <c r="G418" s="18">
        <v>0</v>
      </c>
      <c r="H418" s="18">
        <v>0</v>
      </c>
      <c r="I418" s="18">
        <v>0</v>
      </c>
      <c r="J418" s="18">
        <v>0</v>
      </c>
      <c r="K418" s="18">
        <v>0</v>
      </c>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422205.54000000004</v>
      </c>
      <c r="L419" s="47">
        <f t="shared" si="28"/>
        <v>422205.54000000004</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v>0</v>
      </c>
      <c r="G421" s="18">
        <v>0</v>
      </c>
      <c r="H421" s="18">
        <v>0</v>
      </c>
      <c r="I421" s="18">
        <v>0</v>
      </c>
      <c r="J421" s="18">
        <v>0</v>
      </c>
      <c r="K421" s="18">
        <v>0</v>
      </c>
      <c r="L421" s="56">
        <f t="shared" ref="L421:L426" si="29">SUM(F421:K421)</f>
        <v>0</v>
      </c>
      <c r="M421" s="8"/>
      <c r="N421" s="266"/>
    </row>
    <row r="422" spans="1:21" s="3" customFormat="1" ht="12.2" customHeight="1" x14ac:dyDescent="0.15">
      <c r="A422" s="79" t="s">
        <v>557</v>
      </c>
      <c r="B422" s="6">
        <v>17</v>
      </c>
      <c r="C422" s="6">
        <v>9</v>
      </c>
      <c r="D422" s="2" t="s">
        <v>432</v>
      </c>
      <c r="E422" s="6"/>
      <c r="F422" s="18">
        <v>0</v>
      </c>
      <c r="G422" s="18">
        <v>0</v>
      </c>
      <c r="H422" s="18">
        <v>0</v>
      </c>
      <c r="I422" s="18">
        <v>0</v>
      </c>
      <c r="J422" s="18">
        <v>0</v>
      </c>
      <c r="K422" s="18">
        <v>0</v>
      </c>
      <c r="L422" s="56">
        <f t="shared" si="29"/>
        <v>0</v>
      </c>
      <c r="M422" s="8"/>
      <c r="N422" s="266"/>
    </row>
    <row r="423" spans="1:21" s="3" customFormat="1" ht="12.2" customHeight="1" x14ac:dyDescent="0.15">
      <c r="A423" s="79" t="s">
        <v>515</v>
      </c>
      <c r="B423" s="6">
        <v>17</v>
      </c>
      <c r="C423" s="6">
        <v>10</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558</v>
      </c>
      <c r="B424" s="6">
        <v>17</v>
      </c>
      <c r="C424" s="6">
        <v>11</v>
      </c>
      <c r="D424" s="2" t="s">
        <v>432</v>
      </c>
      <c r="E424" s="6"/>
      <c r="F424" s="18">
        <v>0</v>
      </c>
      <c r="G424" s="18">
        <v>0</v>
      </c>
      <c r="H424" s="18">
        <v>0</v>
      </c>
      <c r="I424" s="18">
        <v>0</v>
      </c>
      <c r="J424" s="18">
        <v>0</v>
      </c>
      <c r="K424" s="18">
        <v>0</v>
      </c>
      <c r="L424" s="56">
        <f t="shared" si="29"/>
        <v>0</v>
      </c>
      <c r="M424" s="8"/>
      <c r="N424" s="266"/>
    </row>
    <row r="425" spans="1:21" s="3" customFormat="1" ht="12.2" customHeight="1" x14ac:dyDescent="0.15">
      <c r="A425" s="79" t="s">
        <v>559</v>
      </c>
      <c r="B425" s="6">
        <v>17</v>
      </c>
      <c r="C425" s="6">
        <v>12</v>
      </c>
      <c r="D425" s="2" t="s">
        <v>432</v>
      </c>
      <c r="E425" s="6"/>
      <c r="F425" s="18">
        <v>0</v>
      </c>
      <c r="G425" s="18">
        <v>0</v>
      </c>
      <c r="H425" s="18">
        <v>0</v>
      </c>
      <c r="I425" s="18">
        <v>0</v>
      </c>
      <c r="J425" s="18">
        <v>0</v>
      </c>
      <c r="K425" s="18">
        <v>0</v>
      </c>
      <c r="L425" s="56">
        <f t="shared" si="29"/>
        <v>0</v>
      </c>
      <c r="M425" s="8"/>
      <c r="N425" s="266"/>
    </row>
    <row r="426" spans="1:21" s="3" customFormat="1" ht="12.2" customHeight="1" thickBot="1" x14ac:dyDescent="0.2">
      <c r="A426" s="79" t="s">
        <v>510</v>
      </c>
      <c r="B426" s="6">
        <v>17</v>
      </c>
      <c r="C426" s="6">
        <v>13</v>
      </c>
      <c r="D426" s="2" t="s">
        <v>432</v>
      </c>
      <c r="E426" s="6"/>
      <c r="F426" s="18">
        <v>0</v>
      </c>
      <c r="G426" s="18">
        <v>0</v>
      </c>
      <c r="H426" s="18">
        <v>0</v>
      </c>
      <c r="I426" s="18">
        <v>0</v>
      </c>
      <c r="J426" s="18">
        <v>0</v>
      </c>
      <c r="K426" s="18">
        <v>0</v>
      </c>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v>0</v>
      </c>
      <c r="G429" s="18">
        <v>0</v>
      </c>
      <c r="H429" s="18">
        <v>0</v>
      </c>
      <c r="I429" s="18">
        <v>0</v>
      </c>
      <c r="J429" s="18">
        <v>0</v>
      </c>
      <c r="K429" s="18">
        <v>0</v>
      </c>
      <c r="L429" s="56">
        <f>SUM(F429:K429)</f>
        <v>0</v>
      </c>
      <c r="M429" s="68"/>
      <c r="N429" s="227"/>
    </row>
    <row r="430" spans="1:21" s="58" customFormat="1" ht="12.2" customHeight="1" x14ac:dyDescent="0.15">
      <c r="A430" s="110"/>
      <c r="B430" s="6">
        <v>17</v>
      </c>
      <c r="C430" s="6">
        <v>16</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17</v>
      </c>
      <c r="D431" s="2" t="s">
        <v>432</v>
      </c>
      <c r="E431" s="6"/>
      <c r="F431" s="18">
        <v>0</v>
      </c>
      <c r="G431" s="18">
        <v>0</v>
      </c>
      <c r="H431" s="18">
        <v>0</v>
      </c>
      <c r="I431" s="18">
        <v>0</v>
      </c>
      <c r="J431" s="18">
        <v>0</v>
      </c>
      <c r="K431" s="18">
        <v>0</v>
      </c>
      <c r="L431" s="56">
        <f>SUM(F431:K431)</f>
        <v>0</v>
      </c>
      <c r="N431" s="264"/>
    </row>
    <row r="432" spans="1:21" s="3" customFormat="1" ht="12.2" customHeight="1" thickBot="1" x14ac:dyDescent="0.2">
      <c r="A432" s="110"/>
      <c r="B432" s="6">
        <v>17</v>
      </c>
      <c r="C432" s="6">
        <v>18</v>
      </c>
      <c r="D432" s="2" t="s">
        <v>432</v>
      </c>
      <c r="E432" s="6"/>
      <c r="F432" s="18">
        <v>0</v>
      </c>
      <c r="G432" s="18">
        <v>0</v>
      </c>
      <c r="H432" s="18">
        <v>0</v>
      </c>
      <c r="I432" s="18">
        <v>0</v>
      </c>
      <c r="J432" s="18">
        <v>0</v>
      </c>
      <c r="K432" s="18">
        <v>0</v>
      </c>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422205.54000000004</v>
      </c>
      <c r="L434" s="47">
        <f t="shared" si="32"/>
        <v>422205.54000000004</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f>90673.62+7256.39</f>
        <v>97930.01</v>
      </c>
      <c r="G439" s="18">
        <v>113096.6</v>
      </c>
      <c r="H439" s="18">
        <v>0</v>
      </c>
      <c r="I439" s="56">
        <f t="shared" ref="I439:I445" si="33">SUM(F439:H439)</f>
        <v>211026.61</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0</v>
      </c>
      <c r="G440" s="18">
        <v>0</v>
      </c>
      <c r="H440" s="18">
        <v>0</v>
      </c>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0</v>
      </c>
      <c r="G441" s="18">
        <v>0</v>
      </c>
      <c r="H441" s="18">
        <v>0</v>
      </c>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0</v>
      </c>
      <c r="G442" s="18">
        <v>0</v>
      </c>
      <c r="H442" s="18">
        <v>0</v>
      </c>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v>0</v>
      </c>
      <c r="G443" s="18">
        <v>0</v>
      </c>
      <c r="H443" s="18">
        <v>0</v>
      </c>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v>0</v>
      </c>
      <c r="G445" s="18">
        <v>0</v>
      </c>
      <c r="H445" s="18">
        <v>0</v>
      </c>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97930.01</v>
      </c>
      <c r="G446" s="13">
        <f>SUM(G439:G445)</f>
        <v>113096.6</v>
      </c>
      <c r="H446" s="13">
        <f>SUM(H439:H445)</f>
        <v>0</v>
      </c>
      <c r="I446" s="13">
        <f>SUM(I439:I445)</f>
        <v>211026.61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v>0</v>
      </c>
      <c r="G448" s="18">
        <v>0</v>
      </c>
      <c r="H448" s="18">
        <v>0</v>
      </c>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v>0</v>
      </c>
      <c r="G449" s="18">
        <v>0</v>
      </c>
      <c r="H449" s="18">
        <v>0</v>
      </c>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v>0</v>
      </c>
      <c r="G450" s="18">
        <v>0</v>
      </c>
      <c r="H450" s="18">
        <v>0</v>
      </c>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v>0</v>
      </c>
      <c r="G451" s="18">
        <v>0</v>
      </c>
      <c r="H451" s="18">
        <v>0</v>
      </c>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v>0</v>
      </c>
      <c r="G454" s="18">
        <v>0</v>
      </c>
      <c r="H454" s="18">
        <v>0</v>
      </c>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v>0</v>
      </c>
      <c r="G455" s="18">
        <v>0</v>
      </c>
      <c r="H455" s="18">
        <v>0</v>
      </c>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v>0</v>
      </c>
      <c r="G456" s="18">
        <v>0</v>
      </c>
      <c r="H456" s="18">
        <v>0</v>
      </c>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v>0</v>
      </c>
      <c r="G457" s="18">
        <v>0</v>
      </c>
      <c r="H457" s="18">
        <v>0</v>
      </c>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v>0</v>
      </c>
      <c r="G458" s="18">
        <v>0</v>
      </c>
      <c r="H458" s="18">
        <v>0</v>
      </c>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F439</f>
        <v>97930.01</v>
      </c>
      <c r="G459" s="18">
        <f>G439</f>
        <v>113096.6</v>
      </c>
      <c r="H459" s="18">
        <v>0</v>
      </c>
      <c r="I459" s="56">
        <f t="shared" si="34"/>
        <v>211026.61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97930.01</v>
      </c>
      <c r="G460" s="83">
        <f>SUM(G454:G459)</f>
        <v>113096.6</v>
      </c>
      <c r="H460" s="83">
        <f>SUM(H454:H459)</f>
        <v>0</v>
      </c>
      <c r="I460" s="83">
        <f>SUM(I454:I459)</f>
        <v>211026.61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97930.01</v>
      </c>
      <c r="G461" s="42">
        <f>G452+G460</f>
        <v>113096.6</v>
      </c>
      <c r="H461" s="42">
        <f>H452+H460</f>
        <v>0</v>
      </c>
      <c r="I461" s="42">
        <f>I452+I460</f>
        <v>211026.61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1485752.51</v>
      </c>
      <c r="G465" s="18">
        <v>0</v>
      </c>
      <c r="H465" s="18">
        <v>0</v>
      </c>
      <c r="I465" s="18">
        <v>1305304.31</v>
      </c>
      <c r="J465" s="18">
        <v>382438.01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5770264.6699999999</v>
      </c>
      <c r="G468" s="18">
        <f>G193</f>
        <v>79357.62999999999</v>
      </c>
      <c r="H468" s="18">
        <f>H193</f>
        <v>125624.32000000001</v>
      </c>
      <c r="I468" s="18">
        <f>I193</f>
        <v>398299.88</v>
      </c>
      <c r="J468" s="18">
        <f>L408</f>
        <v>250794.14</v>
      </c>
      <c r="K468" s="24" t="s">
        <v>288</v>
      </c>
      <c r="L468" s="24" t="s">
        <v>288</v>
      </c>
      <c r="N468" s="265"/>
    </row>
    <row r="469" spans="1:14" s="52" customFormat="1" ht="12.2" customHeight="1" x14ac:dyDescent="0.2">
      <c r="A469" s="93" t="s">
        <v>611</v>
      </c>
      <c r="B469" s="75">
        <v>19</v>
      </c>
      <c r="C469" s="80">
        <v>3</v>
      </c>
      <c r="D469" s="2" t="s">
        <v>432</v>
      </c>
      <c r="E469" s="80"/>
      <c r="F469" s="18"/>
      <c r="G469" s="18">
        <v>0</v>
      </c>
      <c r="H469" s="18">
        <v>0</v>
      </c>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5770264.6699999999</v>
      </c>
      <c r="G470" s="53">
        <f>SUM(G468:G469)</f>
        <v>79357.62999999999</v>
      </c>
      <c r="H470" s="53">
        <f>SUM(H468:H469)</f>
        <v>125624.32000000001</v>
      </c>
      <c r="I470" s="53">
        <f>SUM(I468:I469)</f>
        <v>398299.88</v>
      </c>
      <c r="J470" s="53">
        <f>SUM(J468:J469)</f>
        <v>250794.14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7079275.7199999979</v>
      </c>
      <c r="G472" s="18">
        <f>L362</f>
        <v>79357.63</v>
      </c>
      <c r="H472" s="18">
        <f>L352</f>
        <v>125624.31999999998</v>
      </c>
      <c r="I472" s="18">
        <f>L382</f>
        <v>1703604.19</v>
      </c>
      <c r="J472" s="18">
        <f>L434</f>
        <v>422205.54000000004</v>
      </c>
      <c r="K472" s="24" t="s">
        <v>288</v>
      </c>
      <c r="L472" s="24" t="s">
        <v>288</v>
      </c>
      <c r="N472" s="265"/>
    </row>
    <row r="473" spans="1:14" s="52" customFormat="1" ht="12.2" customHeight="1" x14ac:dyDescent="0.2">
      <c r="A473" s="93" t="s">
        <v>613</v>
      </c>
      <c r="B473" s="75">
        <v>19</v>
      </c>
      <c r="C473" s="80">
        <v>6</v>
      </c>
      <c r="D473" s="2" t="s">
        <v>432</v>
      </c>
      <c r="E473" s="80"/>
      <c r="F473" s="18"/>
      <c r="G473" s="18">
        <v>0</v>
      </c>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7079275.7199999979</v>
      </c>
      <c r="G474" s="53">
        <f>SUM(G472:G473)</f>
        <v>79357.63</v>
      </c>
      <c r="H474" s="53">
        <f>SUM(H472:H473)</f>
        <v>125624.31999999998</v>
      </c>
      <c r="I474" s="53">
        <f>SUM(I472:I473)</f>
        <v>1703604.19</v>
      </c>
      <c r="J474" s="53">
        <f>SUM(J472:J473)</f>
        <v>422205.54000000004</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176741.46000000183</v>
      </c>
      <c r="G476" s="53">
        <f>(G465+G470)- G474</f>
        <v>0</v>
      </c>
      <c r="H476" s="53">
        <f>(H465+H470)- H474</f>
        <v>0</v>
      </c>
      <c r="I476" s="53">
        <f>(I465+I470)- I474</f>
        <v>0</v>
      </c>
      <c r="J476" s="53">
        <f>(J465+J470)- J474</f>
        <v>211026.61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1790000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2.56</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1584025</v>
      </c>
      <c r="G495" s="18"/>
      <c r="H495" s="18"/>
      <c r="I495" s="18"/>
      <c r="J495" s="18"/>
      <c r="K495" s="53">
        <f>SUM(F495:J495)</f>
        <v>1584025</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0</v>
      </c>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v>1584025</v>
      </c>
      <c r="G498" s="204"/>
      <c r="H498" s="204"/>
      <c r="I498" s="204"/>
      <c r="J498" s="204"/>
      <c r="K498" s="205">
        <f t="shared" si="35"/>
        <v>1584025</v>
      </c>
      <c r="L498" s="206" t="s">
        <v>288</v>
      </c>
      <c r="N498" s="265"/>
    </row>
    <row r="499" spans="1:14" s="52" customFormat="1" ht="12.2" customHeight="1" thickBot="1" x14ac:dyDescent="0.25">
      <c r="A499" s="22" t="s">
        <v>623</v>
      </c>
      <c r="B499" s="75">
        <v>20</v>
      </c>
      <c r="C499" s="115">
        <v>10</v>
      </c>
      <c r="D499" s="2" t="s">
        <v>432</v>
      </c>
      <c r="E499" s="115"/>
      <c r="F499" s="18">
        <v>401472.64</v>
      </c>
      <c r="G499" s="18"/>
      <c r="H499" s="18"/>
      <c r="I499" s="18"/>
      <c r="J499" s="18"/>
      <c r="K499" s="53">
        <f t="shared" si="35"/>
        <v>401472.64</v>
      </c>
      <c r="L499" s="24" t="s">
        <v>288</v>
      </c>
      <c r="N499" s="265"/>
    </row>
    <row r="500" spans="1:14" s="52" customFormat="1" ht="12.2" customHeight="1" thickTop="1" x14ac:dyDescent="0.2">
      <c r="A500" s="139" t="s">
        <v>624</v>
      </c>
      <c r="B500" s="44">
        <v>20</v>
      </c>
      <c r="C500" s="195">
        <v>11</v>
      </c>
      <c r="D500" s="39" t="s">
        <v>432</v>
      </c>
      <c r="E500" s="195"/>
      <c r="F500" s="42">
        <f>SUM(F498:F499)</f>
        <v>1985497.6400000001</v>
      </c>
      <c r="G500" s="42">
        <f>SUM(G498:G499)</f>
        <v>0</v>
      </c>
      <c r="H500" s="42">
        <f>SUM(H498:H499)</f>
        <v>0</v>
      </c>
      <c r="I500" s="42">
        <f>SUM(I498:I499)</f>
        <v>0</v>
      </c>
      <c r="J500" s="42">
        <f>SUM(J498:J499)</f>
        <v>0</v>
      </c>
      <c r="K500" s="42">
        <f t="shared" si="35"/>
        <v>1985497.6400000001</v>
      </c>
      <c r="L500" s="45" t="s">
        <v>288</v>
      </c>
      <c r="N500" s="265"/>
    </row>
    <row r="501" spans="1:14" s="52" customFormat="1" ht="12.2" customHeight="1" x14ac:dyDescent="0.2">
      <c r="A501" s="200" t="s">
        <v>651</v>
      </c>
      <c r="B501" s="201">
        <v>20</v>
      </c>
      <c r="C501" s="202">
        <v>12</v>
      </c>
      <c r="D501" s="203" t="s">
        <v>432</v>
      </c>
      <c r="E501" s="202"/>
      <c r="F501" s="204">
        <v>159025</v>
      </c>
      <c r="G501" s="204"/>
      <c r="H501" s="204"/>
      <c r="I501" s="204"/>
      <c r="J501" s="204"/>
      <c r="K501" s="205">
        <f t="shared" si="35"/>
        <v>159025</v>
      </c>
      <c r="L501" s="206" t="s">
        <v>288</v>
      </c>
      <c r="N501" s="265"/>
    </row>
    <row r="502" spans="1:14" s="52" customFormat="1" ht="12.2" customHeight="1" thickBot="1" x14ac:dyDescent="0.25">
      <c r="A502" s="22" t="s">
        <v>625</v>
      </c>
      <c r="B502" s="75">
        <v>20</v>
      </c>
      <c r="C502" s="115">
        <v>13</v>
      </c>
      <c r="D502" s="2" t="s">
        <v>432</v>
      </c>
      <c r="E502" s="115"/>
      <c r="F502" s="18">
        <v>76730.14</v>
      </c>
      <c r="G502" s="18"/>
      <c r="H502" s="18"/>
      <c r="I502" s="18"/>
      <c r="J502" s="18"/>
      <c r="K502" s="53">
        <f t="shared" si="35"/>
        <v>76730.14</v>
      </c>
      <c r="L502" s="24" t="s">
        <v>288</v>
      </c>
      <c r="N502" s="265"/>
    </row>
    <row r="503" spans="1:14" s="52" customFormat="1" ht="12.2" customHeight="1" thickTop="1" x14ac:dyDescent="0.2">
      <c r="A503" s="139" t="s">
        <v>626</v>
      </c>
      <c r="B503" s="44">
        <v>20</v>
      </c>
      <c r="C503" s="195">
        <v>14</v>
      </c>
      <c r="D503" s="39" t="s">
        <v>432</v>
      </c>
      <c r="E503" s="195"/>
      <c r="F503" s="42">
        <f>SUM(F501:F502)</f>
        <v>235755.14</v>
      </c>
      <c r="G503" s="42">
        <f>SUM(G501:G502)</f>
        <v>0</v>
      </c>
      <c r="H503" s="42">
        <f>SUM(H501:H502)</f>
        <v>0</v>
      </c>
      <c r="I503" s="42">
        <f>SUM(I501:I502)</f>
        <v>0</v>
      </c>
      <c r="J503" s="42">
        <f>SUM(J501:J502)</f>
        <v>0</v>
      </c>
      <c r="K503" s="42">
        <f t="shared" si="35"/>
        <v>235755.14</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95085.99+170830.39+77016.66+45543.59</f>
        <v>388476.63</v>
      </c>
      <c r="G521" s="18">
        <f>131674.41+1655+76+95+3513+7972+39+83</f>
        <v>145107.41</v>
      </c>
      <c r="H521" s="18">
        <f>33632.5+3564+12366.36+395.91</f>
        <v>49958.770000000004</v>
      </c>
      <c r="I521" s="18">
        <f>1549.32+1967.96+365</f>
        <v>3882.2799999999997</v>
      </c>
      <c r="J521" s="18">
        <f>1802.7+1748.02</f>
        <v>3550.7200000000003</v>
      </c>
      <c r="K521" s="18">
        <v>959.85</v>
      </c>
      <c r="L521" s="88">
        <f>SUM(F521:K521)</f>
        <v>591935.66</v>
      </c>
      <c r="N521" s="265"/>
    </row>
    <row r="522" spans="1:14" s="52" customFormat="1" ht="12.2" customHeight="1" x14ac:dyDescent="0.2">
      <c r="A522" s="22" t="s">
        <v>634</v>
      </c>
      <c r="B522" s="105">
        <v>21</v>
      </c>
      <c r="C522" s="115">
        <v>2</v>
      </c>
      <c r="D522" s="2" t="s">
        <v>432</v>
      </c>
      <c r="E522" s="115"/>
      <c r="F522" s="18">
        <v>0</v>
      </c>
      <c r="G522" s="18">
        <v>0</v>
      </c>
      <c r="H522" s="18">
        <f>108158.5+84564</f>
        <v>192722.5</v>
      </c>
      <c r="I522" s="18">
        <v>0</v>
      </c>
      <c r="J522" s="18">
        <v>0</v>
      </c>
      <c r="K522" s="18">
        <v>0</v>
      </c>
      <c r="L522" s="88">
        <f>SUM(F522:K522)</f>
        <v>192722.5</v>
      </c>
      <c r="N522" s="265"/>
    </row>
    <row r="523" spans="1:14" s="52" customFormat="1" ht="12.2" customHeight="1" thickBot="1" x14ac:dyDescent="0.25">
      <c r="A523" s="22" t="s">
        <v>635</v>
      </c>
      <c r="B523" s="105">
        <v>21</v>
      </c>
      <c r="C523" s="115">
        <v>3</v>
      </c>
      <c r="D523" s="2" t="s">
        <v>432</v>
      </c>
      <c r="E523" s="115"/>
      <c r="F523" s="18">
        <v>0</v>
      </c>
      <c r="G523" s="18">
        <v>0</v>
      </c>
      <c r="H523" s="18">
        <f>12936.85+205116+58449.39</f>
        <v>276502.24</v>
      </c>
      <c r="I523" s="18">
        <v>0</v>
      </c>
      <c r="J523" s="18">
        <v>836</v>
      </c>
      <c r="K523" s="18">
        <v>0</v>
      </c>
      <c r="L523" s="88">
        <f>SUM(F523:K523)</f>
        <v>277338.23999999999</v>
      </c>
      <c r="N523" s="265"/>
    </row>
    <row r="524" spans="1:14" s="52" customFormat="1" ht="12.2" customHeight="1" thickTop="1" x14ac:dyDescent="0.2">
      <c r="A524" s="139" t="s">
        <v>63</v>
      </c>
      <c r="B524" s="107">
        <v>21</v>
      </c>
      <c r="C524" s="195">
        <v>4</v>
      </c>
      <c r="D524" s="196" t="s">
        <v>432</v>
      </c>
      <c r="E524" s="195"/>
      <c r="F524" s="108">
        <f>SUM(F521:F523)</f>
        <v>388476.63</v>
      </c>
      <c r="G524" s="108">
        <f t="shared" ref="G524:L524" si="36">SUM(G521:G523)</f>
        <v>145107.41</v>
      </c>
      <c r="H524" s="108">
        <f t="shared" si="36"/>
        <v>519183.51</v>
      </c>
      <c r="I524" s="108">
        <f t="shared" si="36"/>
        <v>3882.2799999999997</v>
      </c>
      <c r="J524" s="108">
        <f t="shared" si="36"/>
        <v>4386.72</v>
      </c>
      <c r="K524" s="108">
        <f t="shared" si="36"/>
        <v>959.85</v>
      </c>
      <c r="L524" s="89">
        <f t="shared" si="36"/>
        <v>1061996.3999999999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47665+37558.22+47514.24+17508.32</f>
        <v>150245.78</v>
      </c>
      <c r="G526" s="18">
        <f>16545.2+29206.72</f>
        <v>45751.92</v>
      </c>
      <c r="H526" s="18">
        <f>48883+615.97+9315.61+4785.5</f>
        <v>63600.08</v>
      </c>
      <c r="I526" s="18">
        <f>1328.92+973.96+2626.77+696.25</f>
        <v>5625.9</v>
      </c>
      <c r="J526" s="18">
        <v>0</v>
      </c>
      <c r="K526" s="18">
        <v>0</v>
      </c>
      <c r="L526" s="88">
        <f>SUM(F526:K526)</f>
        <v>265223.68000000005</v>
      </c>
      <c r="M526" s="8"/>
      <c r="N526" s="266"/>
    </row>
    <row r="527" spans="1:14" s="3" customFormat="1" ht="12.2" customHeight="1" x14ac:dyDescent="0.15">
      <c r="A527" s="22" t="s">
        <v>634</v>
      </c>
      <c r="B527" s="105">
        <v>21</v>
      </c>
      <c r="C527" s="115">
        <v>6</v>
      </c>
      <c r="D527" s="2" t="s">
        <v>432</v>
      </c>
      <c r="E527" s="115"/>
      <c r="F527" s="18">
        <v>0</v>
      </c>
      <c r="G527" s="18">
        <v>0</v>
      </c>
      <c r="H527" s="18">
        <f>1214.56</f>
        <v>1214.56</v>
      </c>
      <c r="I527" s="18">
        <v>0</v>
      </c>
      <c r="J527" s="18">
        <v>0</v>
      </c>
      <c r="K527" s="18">
        <v>0</v>
      </c>
      <c r="L527" s="88">
        <f>SUM(F527:K527)</f>
        <v>1214.56</v>
      </c>
      <c r="M527" s="8"/>
      <c r="N527" s="266"/>
    </row>
    <row r="528" spans="1:14" s="3" customFormat="1" ht="12.2" customHeight="1" thickBot="1" x14ac:dyDescent="0.2">
      <c r="A528" s="22" t="s">
        <v>635</v>
      </c>
      <c r="B528" s="118">
        <v>21</v>
      </c>
      <c r="C528" s="118">
        <v>7</v>
      </c>
      <c r="D528" s="2" t="s">
        <v>432</v>
      </c>
      <c r="E528" s="118"/>
      <c r="F528" s="18">
        <v>0</v>
      </c>
      <c r="G528" s="18">
        <v>0</v>
      </c>
      <c r="H528" s="18">
        <f>3799.3</f>
        <v>3799.3</v>
      </c>
      <c r="I528" s="18">
        <v>0</v>
      </c>
      <c r="J528" s="18">
        <v>0</v>
      </c>
      <c r="K528" s="18">
        <v>0</v>
      </c>
      <c r="L528" s="88">
        <f>SUM(F528:K528)</f>
        <v>3799.3</v>
      </c>
      <c r="M528" s="8"/>
      <c r="N528" s="266"/>
    </row>
    <row r="529" spans="1:14" s="3" customFormat="1" ht="12.2" customHeight="1" thickTop="1" x14ac:dyDescent="0.15">
      <c r="A529" s="139" t="s">
        <v>65</v>
      </c>
      <c r="B529" s="107">
        <v>21</v>
      </c>
      <c r="C529" s="107">
        <v>8</v>
      </c>
      <c r="D529" s="158" t="s">
        <v>432</v>
      </c>
      <c r="E529" s="107"/>
      <c r="F529" s="89">
        <f>SUM(F526:F528)</f>
        <v>150245.78</v>
      </c>
      <c r="G529" s="89">
        <f t="shared" ref="G529:L529" si="37">SUM(G526:G528)</f>
        <v>45751.92</v>
      </c>
      <c r="H529" s="89">
        <f t="shared" si="37"/>
        <v>68613.94</v>
      </c>
      <c r="I529" s="89">
        <f t="shared" si="37"/>
        <v>5625.9</v>
      </c>
      <c r="J529" s="89">
        <f t="shared" si="37"/>
        <v>0</v>
      </c>
      <c r="K529" s="89">
        <f t="shared" si="37"/>
        <v>0</v>
      </c>
      <c r="L529" s="89">
        <f t="shared" si="37"/>
        <v>270237.54000000004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0</v>
      </c>
      <c r="G531" s="18">
        <v>0</v>
      </c>
      <c r="H531" s="18">
        <v>35349.82</v>
      </c>
      <c r="I531" s="18">
        <v>0</v>
      </c>
      <c r="J531" s="18">
        <v>0</v>
      </c>
      <c r="K531" s="18">
        <v>0</v>
      </c>
      <c r="L531" s="88">
        <f>SUM(F531:K531)</f>
        <v>35349.82</v>
      </c>
      <c r="M531" s="8"/>
      <c r="N531" s="266"/>
    </row>
    <row r="532" spans="1:14" s="3" customFormat="1" ht="12.2" customHeight="1" x14ac:dyDescent="0.15">
      <c r="A532" s="22" t="s">
        <v>634</v>
      </c>
      <c r="B532" s="105">
        <v>21</v>
      </c>
      <c r="C532" s="105">
        <v>10</v>
      </c>
      <c r="D532" s="2" t="s">
        <v>432</v>
      </c>
      <c r="E532" s="105"/>
      <c r="F532" s="18">
        <v>0</v>
      </c>
      <c r="G532" s="18">
        <v>0</v>
      </c>
      <c r="H532" s="18">
        <v>0</v>
      </c>
      <c r="I532" s="18">
        <v>0</v>
      </c>
      <c r="J532" s="18">
        <v>0</v>
      </c>
      <c r="K532" s="18">
        <v>0</v>
      </c>
      <c r="L532" s="88">
        <f>SUM(F532:K532)</f>
        <v>0</v>
      </c>
      <c r="M532" s="8"/>
      <c r="N532" s="266"/>
    </row>
    <row r="533" spans="1:14" s="3" customFormat="1" ht="12.2" customHeight="1" thickBot="1" x14ac:dyDescent="0.2">
      <c r="A533" s="22" t="s">
        <v>635</v>
      </c>
      <c r="B533" s="105">
        <v>21</v>
      </c>
      <c r="C533" s="105">
        <v>11</v>
      </c>
      <c r="D533" s="2" t="s">
        <v>432</v>
      </c>
      <c r="E533" s="105"/>
      <c r="F533" s="18">
        <v>0</v>
      </c>
      <c r="G533" s="18">
        <v>0</v>
      </c>
      <c r="H533" s="18">
        <v>0</v>
      </c>
      <c r="I533" s="18">
        <v>0</v>
      </c>
      <c r="J533" s="18">
        <v>0</v>
      </c>
      <c r="K533" s="18">
        <v>0</v>
      </c>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35349.82</v>
      </c>
      <c r="I534" s="89">
        <f t="shared" si="38"/>
        <v>0</v>
      </c>
      <c r="J534" s="89">
        <f t="shared" si="38"/>
        <v>0</v>
      </c>
      <c r="K534" s="89">
        <f t="shared" si="38"/>
        <v>0</v>
      </c>
      <c r="L534" s="89">
        <f t="shared" si="38"/>
        <v>35349.82</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v>0</v>
      </c>
      <c r="G536" s="18">
        <v>0</v>
      </c>
      <c r="H536" s="18">
        <v>0</v>
      </c>
      <c r="I536" s="18">
        <v>0</v>
      </c>
      <c r="J536" s="18">
        <v>0</v>
      </c>
      <c r="K536" s="18">
        <v>0</v>
      </c>
      <c r="L536" s="88">
        <f>SUM(F536:K536)</f>
        <v>0</v>
      </c>
      <c r="M536" s="8"/>
      <c r="N536" s="266"/>
    </row>
    <row r="537" spans="1:14" s="3" customFormat="1" ht="12.2" customHeight="1" x14ac:dyDescent="0.15">
      <c r="A537" s="22" t="s">
        <v>634</v>
      </c>
      <c r="B537" s="105">
        <v>21</v>
      </c>
      <c r="C537" s="105">
        <v>14</v>
      </c>
      <c r="D537" s="2" t="s">
        <v>432</v>
      </c>
      <c r="E537" s="105"/>
      <c r="F537" s="18">
        <v>0</v>
      </c>
      <c r="G537" s="18">
        <v>0</v>
      </c>
      <c r="H537" s="18">
        <v>0</v>
      </c>
      <c r="I537" s="18">
        <v>0</v>
      </c>
      <c r="J537" s="18">
        <v>0</v>
      </c>
      <c r="K537" s="18">
        <v>0</v>
      </c>
      <c r="L537" s="88">
        <f>SUM(F537:K537)</f>
        <v>0</v>
      </c>
      <c r="M537" s="8"/>
      <c r="N537" s="266"/>
    </row>
    <row r="538" spans="1:14" s="3" customFormat="1" ht="12.2" customHeight="1" thickBot="1" x14ac:dyDescent="0.2">
      <c r="A538" s="22" t="s">
        <v>635</v>
      </c>
      <c r="B538" s="105">
        <v>21</v>
      </c>
      <c r="C538" s="105">
        <v>15</v>
      </c>
      <c r="D538" s="2" t="s">
        <v>432</v>
      </c>
      <c r="E538" s="105"/>
      <c r="F538" s="18">
        <v>0</v>
      </c>
      <c r="G538" s="18">
        <v>0</v>
      </c>
      <c r="H538" s="18">
        <v>0</v>
      </c>
      <c r="I538" s="18">
        <v>0</v>
      </c>
      <c r="J538" s="18">
        <v>0</v>
      </c>
      <c r="K538" s="18">
        <v>0</v>
      </c>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0</v>
      </c>
      <c r="G541" s="18">
        <v>0</v>
      </c>
      <c r="H541" s="18">
        <v>11630.69</v>
      </c>
      <c r="I541" s="18">
        <v>0</v>
      </c>
      <c r="J541" s="18">
        <v>0</v>
      </c>
      <c r="K541" s="18">
        <v>0</v>
      </c>
      <c r="L541" s="88">
        <f>SUM(F541:K541)</f>
        <v>11630.69</v>
      </c>
      <c r="M541" s="8"/>
      <c r="N541" s="266"/>
    </row>
    <row r="542" spans="1:14" s="3" customFormat="1" ht="12.2" customHeight="1" x14ac:dyDescent="0.15">
      <c r="A542" s="22" t="s">
        <v>634</v>
      </c>
      <c r="B542" s="105">
        <v>21</v>
      </c>
      <c r="C542" s="105">
        <v>18</v>
      </c>
      <c r="D542" s="2" t="s">
        <v>432</v>
      </c>
      <c r="E542" s="105"/>
      <c r="F542" s="18">
        <v>0</v>
      </c>
      <c r="G542" s="18">
        <v>0</v>
      </c>
      <c r="H542" s="18">
        <v>9911.98</v>
      </c>
      <c r="I542" s="18">
        <v>0</v>
      </c>
      <c r="J542" s="18">
        <v>0</v>
      </c>
      <c r="K542" s="18">
        <v>0</v>
      </c>
      <c r="L542" s="88">
        <f>SUM(F542:K542)</f>
        <v>9911.98</v>
      </c>
      <c r="M542" s="8"/>
      <c r="N542" s="266"/>
    </row>
    <row r="543" spans="1:14" s="3" customFormat="1" ht="12.2" customHeight="1" thickBot="1" x14ac:dyDescent="0.2">
      <c r="A543" s="22" t="s">
        <v>635</v>
      </c>
      <c r="B543" s="105">
        <v>21</v>
      </c>
      <c r="C543" s="105">
        <v>19</v>
      </c>
      <c r="D543" s="2" t="s">
        <v>432</v>
      </c>
      <c r="E543" s="105"/>
      <c r="F543" s="18">
        <v>0</v>
      </c>
      <c r="G543" s="18">
        <v>0</v>
      </c>
      <c r="H543" s="18">
        <v>47979.63</v>
      </c>
      <c r="I543" s="18">
        <v>0</v>
      </c>
      <c r="J543" s="18">
        <v>0</v>
      </c>
      <c r="K543" s="18">
        <v>0</v>
      </c>
      <c r="L543" s="88">
        <f>SUM(F543:K543)</f>
        <v>47979.63</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69522.299999999988</v>
      </c>
      <c r="I544" s="193">
        <f t="shared" si="40"/>
        <v>0</v>
      </c>
      <c r="J544" s="193">
        <f t="shared" si="40"/>
        <v>0</v>
      </c>
      <c r="K544" s="193">
        <f t="shared" si="40"/>
        <v>0</v>
      </c>
      <c r="L544" s="193">
        <f t="shared" si="40"/>
        <v>69522.299999999988</v>
      </c>
      <c r="M544" s="8"/>
      <c r="N544" s="266"/>
    </row>
    <row r="545" spans="1:14" s="3" customFormat="1" ht="12.2" customHeight="1" thickTop="1" x14ac:dyDescent="0.15">
      <c r="A545" s="98" t="s">
        <v>72</v>
      </c>
      <c r="B545" s="107">
        <v>21</v>
      </c>
      <c r="C545" s="107">
        <v>21</v>
      </c>
      <c r="D545" s="158" t="s">
        <v>432</v>
      </c>
      <c r="E545" s="107"/>
      <c r="F545" s="89">
        <f>F524+F529+F534+F539+F544</f>
        <v>538722.41</v>
      </c>
      <c r="G545" s="89">
        <f t="shared" ref="G545:L545" si="41">G524+G529+G534+G539+G544</f>
        <v>190859.33000000002</v>
      </c>
      <c r="H545" s="89">
        <f t="shared" si="41"/>
        <v>692669.56999999983</v>
      </c>
      <c r="I545" s="89">
        <f t="shared" si="41"/>
        <v>9508.18</v>
      </c>
      <c r="J545" s="89">
        <f t="shared" si="41"/>
        <v>4386.72</v>
      </c>
      <c r="K545" s="89">
        <f t="shared" si="41"/>
        <v>959.85</v>
      </c>
      <c r="L545" s="89">
        <f t="shared" si="41"/>
        <v>1437106.06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591935.66</v>
      </c>
      <c r="G549" s="87">
        <f>L526</f>
        <v>265223.68000000005</v>
      </c>
      <c r="H549" s="87">
        <f>L531</f>
        <v>35349.82</v>
      </c>
      <c r="I549" s="87">
        <f>L536</f>
        <v>0</v>
      </c>
      <c r="J549" s="87">
        <f>L541</f>
        <v>11630.69</v>
      </c>
      <c r="K549" s="87">
        <f>SUM(F549:J549)</f>
        <v>904139.85</v>
      </c>
      <c r="L549" s="24" t="s">
        <v>288</v>
      </c>
      <c r="M549" s="8"/>
      <c r="N549" s="266"/>
    </row>
    <row r="550" spans="1:14" s="3" customFormat="1" ht="12.2" customHeight="1" x14ac:dyDescent="0.15">
      <c r="A550" s="22" t="s">
        <v>634</v>
      </c>
      <c r="B550" s="75">
        <v>21</v>
      </c>
      <c r="C550" s="75">
        <v>23</v>
      </c>
      <c r="D550" s="2" t="s">
        <v>432</v>
      </c>
      <c r="E550" s="75"/>
      <c r="F550" s="87">
        <f>L522</f>
        <v>192722.5</v>
      </c>
      <c r="G550" s="87">
        <f>L527</f>
        <v>1214.56</v>
      </c>
      <c r="H550" s="87">
        <f>L532</f>
        <v>0</v>
      </c>
      <c r="I550" s="87">
        <f>L537</f>
        <v>0</v>
      </c>
      <c r="J550" s="87">
        <f>L542</f>
        <v>9911.98</v>
      </c>
      <c r="K550" s="87">
        <f>SUM(F550:J550)</f>
        <v>203849.04</v>
      </c>
      <c r="L550" s="24" t="s">
        <v>288</v>
      </c>
      <c r="M550" s="8"/>
      <c r="N550" s="266"/>
    </row>
    <row r="551" spans="1:14" s="3" customFormat="1" ht="12.2" customHeight="1" thickBot="1" x14ac:dyDescent="0.2">
      <c r="A551" s="22" t="s">
        <v>635</v>
      </c>
      <c r="B551" s="75">
        <v>21</v>
      </c>
      <c r="C551" s="75">
        <v>24</v>
      </c>
      <c r="D551" s="2" t="s">
        <v>432</v>
      </c>
      <c r="E551" s="75"/>
      <c r="F551" s="87">
        <f>L523</f>
        <v>277338.23999999999</v>
      </c>
      <c r="G551" s="87">
        <f>L528</f>
        <v>3799.3</v>
      </c>
      <c r="H551" s="87">
        <f>L533</f>
        <v>0</v>
      </c>
      <c r="I551" s="87">
        <f>L538</f>
        <v>0</v>
      </c>
      <c r="J551" s="87">
        <f>L543</f>
        <v>47979.63</v>
      </c>
      <c r="K551" s="87">
        <f>SUM(F551:J551)</f>
        <v>329117.17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1061996.3999999999</v>
      </c>
      <c r="G552" s="89">
        <f t="shared" si="42"/>
        <v>270237.54000000004</v>
      </c>
      <c r="H552" s="89">
        <f t="shared" si="42"/>
        <v>35349.82</v>
      </c>
      <c r="I552" s="89">
        <f t="shared" si="42"/>
        <v>0</v>
      </c>
      <c r="J552" s="89">
        <f t="shared" si="42"/>
        <v>69522.299999999988</v>
      </c>
      <c r="K552" s="89">
        <f t="shared" si="42"/>
        <v>1437106.0599999998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v>0</v>
      </c>
      <c r="G557" s="18">
        <v>0</v>
      </c>
      <c r="H557" s="18">
        <v>0</v>
      </c>
      <c r="I557" s="18">
        <v>0</v>
      </c>
      <c r="J557" s="18">
        <v>0</v>
      </c>
      <c r="K557" s="18">
        <v>0</v>
      </c>
      <c r="L557" s="88">
        <f>SUM(F557:K557)</f>
        <v>0</v>
      </c>
      <c r="M557" s="8"/>
      <c r="N557" s="266"/>
    </row>
    <row r="558" spans="1:14" s="3" customFormat="1" ht="12.2" customHeight="1" x14ac:dyDescent="0.15">
      <c r="A558" s="22" t="s">
        <v>634</v>
      </c>
      <c r="B558" s="105">
        <v>22</v>
      </c>
      <c r="C558" s="115">
        <v>2</v>
      </c>
      <c r="D558" s="2" t="s">
        <v>432</v>
      </c>
      <c r="E558" s="115"/>
      <c r="F558" s="18">
        <v>0</v>
      </c>
      <c r="G558" s="18">
        <v>0</v>
      </c>
      <c r="H558" s="18">
        <v>0</v>
      </c>
      <c r="I558" s="18">
        <v>0</v>
      </c>
      <c r="J558" s="18">
        <v>0</v>
      </c>
      <c r="K558" s="18">
        <v>0</v>
      </c>
      <c r="L558" s="88">
        <f>SUM(F558:K558)</f>
        <v>0</v>
      </c>
      <c r="M558" s="8"/>
      <c r="N558" s="266"/>
    </row>
    <row r="559" spans="1:14" s="3" customFormat="1" ht="12.2" customHeight="1" thickBot="1" x14ac:dyDescent="0.2">
      <c r="A559" s="22" t="s">
        <v>635</v>
      </c>
      <c r="B559" s="105">
        <v>22</v>
      </c>
      <c r="C559" s="115">
        <v>3</v>
      </c>
      <c r="D559" s="2" t="s">
        <v>432</v>
      </c>
      <c r="E559" s="115"/>
      <c r="F559" s="18">
        <v>0</v>
      </c>
      <c r="G559" s="18">
        <v>0</v>
      </c>
      <c r="H559" s="18">
        <v>0</v>
      </c>
      <c r="I559" s="18">
        <v>0</v>
      </c>
      <c r="J559" s="18">
        <v>0</v>
      </c>
      <c r="K559" s="18">
        <v>0</v>
      </c>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0</v>
      </c>
      <c r="G562" s="18">
        <v>0</v>
      </c>
      <c r="H562" s="18">
        <v>0</v>
      </c>
      <c r="I562" s="18">
        <v>0</v>
      </c>
      <c r="J562" s="18">
        <v>0</v>
      </c>
      <c r="K562" s="18">
        <v>0</v>
      </c>
      <c r="L562" s="88">
        <f>SUM(F562:K562)</f>
        <v>0</v>
      </c>
      <c r="M562" s="8"/>
      <c r="N562" s="266"/>
    </row>
    <row r="563" spans="1:14" s="3" customFormat="1" ht="12.2" customHeight="1" x14ac:dyDescent="0.15">
      <c r="A563" s="22" t="s">
        <v>634</v>
      </c>
      <c r="B563" s="105">
        <v>22</v>
      </c>
      <c r="C563" s="115">
        <v>6</v>
      </c>
      <c r="D563" s="2" t="s">
        <v>432</v>
      </c>
      <c r="E563" s="115"/>
      <c r="F563" s="18">
        <v>0</v>
      </c>
      <c r="G563" s="18">
        <v>0</v>
      </c>
      <c r="H563" s="18">
        <v>0</v>
      </c>
      <c r="I563" s="18">
        <v>0</v>
      </c>
      <c r="J563" s="18">
        <v>0</v>
      </c>
      <c r="K563" s="18">
        <v>0</v>
      </c>
      <c r="L563" s="88">
        <f>SUM(F563:K563)</f>
        <v>0</v>
      </c>
      <c r="M563" s="8"/>
      <c r="N563" s="266"/>
    </row>
    <row r="564" spans="1:14" s="3" customFormat="1" ht="12.2" customHeight="1" thickBot="1" x14ac:dyDescent="0.2">
      <c r="A564" s="22" t="s">
        <v>635</v>
      </c>
      <c r="B564" s="105">
        <v>22</v>
      </c>
      <c r="C564" s="118">
        <v>7</v>
      </c>
      <c r="D564" s="2" t="s">
        <v>432</v>
      </c>
      <c r="E564" s="118"/>
      <c r="F564" s="18">
        <v>0</v>
      </c>
      <c r="G564" s="18">
        <v>0</v>
      </c>
      <c r="H564" s="18">
        <v>0</v>
      </c>
      <c r="I564" s="18">
        <v>0</v>
      </c>
      <c r="J564" s="18">
        <v>0</v>
      </c>
      <c r="K564" s="18">
        <v>0</v>
      </c>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0</v>
      </c>
      <c r="G567" s="18">
        <v>0</v>
      </c>
      <c r="H567" s="18">
        <v>0</v>
      </c>
      <c r="I567" s="18">
        <v>0</v>
      </c>
      <c r="J567" s="18">
        <v>0</v>
      </c>
      <c r="K567" s="18">
        <v>0</v>
      </c>
      <c r="L567" s="88">
        <f>SUM(F567:K567)</f>
        <v>0</v>
      </c>
      <c r="M567" s="8"/>
      <c r="N567" s="266"/>
    </row>
    <row r="568" spans="1:14" s="3" customFormat="1" ht="12.2" customHeight="1" x14ac:dyDescent="0.15">
      <c r="A568" s="22" t="s">
        <v>634</v>
      </c>
      <c r="B568" s="105">
        <v>22</v>
      </c>
      <c r="C568" s="105">
        <v>10</v>
      </c>
      <c r="D568" s="2" t="s">
        <v>432</v>
      </c>
      <c r="E568" s="105"/>
      <c r="F568" s="18">
        <v>0</v>
      </c>
      <c r="G568" s="18">
        <v>0</v>
      </c>
      <c r="H568" s="18">
        <v>0</v>
      </c>
      <c r="I568" s="18">
        <v>0</v>
      </c>
      <c r="J568" s="18">
        <v>0</v>
      </c>
      <c r="K568" s="18">
        <v>0</v>
      </c>
      <c r="L568" s="88">
        <f>SUM(F568:K568)</f>
        <v>0</v>
      </c>
      <c r="M568" s="8"/>
      <c r="N568" s="266"/>
    </row>
    <row r="569" spans="1:14" s="3" customFormat="1" ht="12.2" customHeight="1" thickBot="1" x14ac:dyDescent="0.2">
      <c r="A569" s="22" t="s">
        <v>635</v>
      </c>
      <c r="B569" s="105">
        <v>22</v>
      </c>
      <c r="C569" s="105">
        <v>11</v>
      </c>
      <c r="D569" s="2" t="s">
        <v>432</v>
      </c>
      <c r="E569" s="105"/>
      <c r="F569" s="18">
        <v>0</v>
      </c>
      <c r="G569" s="18">
        <v>0</v>
      </c>
      <c r="H569" s="18">
        <v>0</v>
      </c>
      <c r="I569" s="18">
        <v>0</v>
      </c>
      <c r="J569" s="18">
        <v>0</v>
      </c>
      <c r="K569" s="18">
        <v>0</v>
      </c>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0</v>
      </c>
      <c r="G575" s="18">
        <v>686413.54</v>
      </c>
      <c r="H575" s="18">
        <v>1985227.03</v>
      </c>
      <c r="I575" s="87">
        <f>SUM(F575:H575)</f>
        <v>2671640.5700000003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v>0</v>
      </c>
      <c r="G576" s="18">
        <v>0</v>
      </c>
      <c r="H576" s="18">
        <v>0</v>
      </c>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0</v>
      </c>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0</v>
      </c>
      <c r="G578" s="18">
        <v>0</v>
      </c>
      <c r="H578" s="18">
        <v>0</v>
      </c>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0</v>
      </c>
      <c r="G579" s="18">
        <v>0</v>
      </c>
      <c r="H579" s="18">
        <v>0</v>
      </c>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f>3564</f>
        <v>3564</v>
      </c>
      <c r="G580" s="18">
        <v>0</v>
      </c>
      <c r="H580" s="18">
        <v>0</v>
      </c>
      <c r="I580" s="87">
        <f t="shared" si="47"/>
        <v>3564</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0</v>
      </c>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12366.36</v>
      </c>
      <c r="G582" s="18">
        <v>0</v>
      </c>
      <c r="H582" s="18">
        <v>58449.39</v>
      </c>
      <c r="I582" s="87">
        <f t="shared" si="47"/>
        <v>70815.75</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0</v>
      </c>
      <c r="G583" s="18">
        <v>0</v>
      </c>
      <c r="H583" s="18">
        <v>0</v>
      </c>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v>0</v>
      </c>
      <c r="G584" s="18">
        <v>0</v>
      </c>
      <c r="H584" s="18">
        <v>0</v>
      </c>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v>0</v>
      </c>
      <c r="G585" s="18">
        <v>0</v>
      </c>
      <c r="H585" s="18">
        <v>0</v>
      </c>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v>0</v>
      </c>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v>0</v>
      </c>
      <c r="G587" s="18">
        <v>0</v>
      </c>
      <c r="H587" s="18">
        <v>0</v>
      </c>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244046.1</v>
      </c>
      <c r="I591" s="18">
        <v>0</v>
      </c>
      <c r="J591" s="18">
        <v>0</v>
      </c>
      <c r="K591" s="104">
        <f t="shared" ref="K591:K597" si="48">SUM(H591:J591)</f>
        <v>244046.1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11630.69</v>
      </c>
      <c r="I592" s="18">
        <v>9911.98</v>
      </c>
      <c r="J592" s="18">
        <v>47979.63</v>
      </c>
      <c r="K592" s="104">
        <f t="shared" si="48"/>
        <v>69522.299999999988</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0</v>
      </c>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0</v>
      </c>
      <c r="J594" s="18">
        <v>0</v>
      </c>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4000.3</v>
      </c>
      <c r="I595" s="18">
        <v>0</v>
      </c>
      <c r="J595" s="18">
        <v>0</v>
      </c>
      <c r="K595" s="104">
        <f t="shared" si="48"/>
        <v>4000.3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0</v>
      </c>
      <c r="I597" s="18">
        <v>0</v>
      </c>
      <c r="J597" s="18">
        <v>0</v>
      </c>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259677.09</v>
      </c>
      <c r="I598" s="108">
        <f>SUM(I591:I597)</f>
        <v>9911.98</v>
      </c>
      <c r="J598" s="108">
        <f>SUM(J591:J597)</f>
        <v>47979.63</v>
      </c>
      <c r="K598" s="108">
        <f>SUM(K591:K597)</f>
        <v>317568.7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v>0</v>
      </c>
      <c r="J602" s="18">
        <v>0</v>
      </c>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0</v>
      </c>
      <c r="I603" s="18">
        <v>0</v>
      </c>
      <c r="J603" s="18">
        <v>0</v>
      </c>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64497.95-24925.38</f>
        <v>39572.569999999992</v>
      </c>
      <c r="I604" s="18">
        <v>0</v>
      </c>
      <c r="J604" s="18">
        <v>0</v>
      </c>
      <c r="K604" s="104">
        <f>SUM(H604:J604)</f>
        <v>39572.569999999992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39572.569999999992</v>
      </c>
      <c r="I605" s="108">
        <f>SUM(I602:I604)</f>
        <v>0</v>
      </c>
      <c r="J605" s="108">
        <f>SUM(J602:J604)</f>
        <v>0</v>
      </c>
      <c r="K605" s="108">
        <f>SUM(K602:K604)</f>
        <v>39572.569999999992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0</v>
      </c>
      <c r="G611" s="18">
        <v>0</v>
      </c>
      <c r="H611" s="18">
        <v>0</v>
      </c>
      <c r="I611" s="18">
        <v>0</v>
      </c>
      <c r="J611" s="18">
        <v>0</v>
      </c>
      <c r="K611" s="18">
        <v>0</v>
      </c>
      <c r="L611" s="88">
        <f>SUM(F611:K611)</f>
        <v>0</v>
      </c>
      <c r="M611" s="8"/>
      <c r="N611" s="266"/>
    </row>
    <row r="612" spans="1:14" s="3" customFormat="1" ht="12.2" customHeight="1" x14ac:dyDescent="0.15">
      <c r="A612" s="22" t="s">
        <v>634</v>
      </c>
      <c r="B612" s="75">
        <v>23</v>
      </c>
      <c r="C612" s="75">
        <v>14</v>
      </c>
      <c r="D612" s="2" t="s">
        <v>432</v>
      </c>
      <c r="E612" s="75"/>
      <c r="F612" s="18">
        <v>0</v>
      </c>
      <c r="G612" s="18">
        <v>0</v>
      </c>
      <c r="H612" s="18">
        <v>0</v>
      </c>
      <c r="I612" s="18">
        <v>0</v>
      </c>
      <c r="J612" s="18">
        <v>0</v>
      </c>
      <c r="K612" s="18">
        <v>0</v>
      </c>
      <c r="L612" s="88">
        <f>SUM(F612:K612)</f>
        <v>0</v>
      </c>
      <c r="M612" s="8"/>
      <c r="N612" s="266"/>
    </row>
    <row r="613" spans="1:14" s="3" customFormat="1" ht="12.2" customHeight="1" thickBot="1" x14ac:dyDescent="0.2">
      <c r="A613" s="22" t="s">
        <v>645</v>
      </c>
      <c r="B613" s="75">
        <v>23</v>
      </c>
      <c r="C613" s="75">
        <v>15</v>
      </c>
      <c r="D613" s="2" t="s">
        <v>432</v>
      </c>
      <c r="E613" s="75"/>
      <c r="F613" s="18">
        <v>0</v>
      </c>
      <c r="G613" s="18">
        <v>0</v>
      </c>
      <c r="H613" s="18">
        <v>0</v>
      </c>
      <c r="I613" s="18">
        <v>0</v>
      </c>
      <c r="J613" s="18">
        <v>0</v>
      </c>
      <c r="K613" s="18">
        <v>0</v>
      </c>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3075003.1300000004</v>
      </c>
      <c r="H617" s="109">
        <f>SUM(F52)</f>
        <v>3075003.1300000004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225820.08000000002</v>
      </c>
      <c r="H618" s="109">
        <f>SUM(G52)</f>
        <v>225820.08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364068.72</v>
      </c>
      <c r="H619" s="109">
        <f>SUM(H52)</f>
        <v>364068.72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2190895.54</v>
      </c>
      <c r="H620" s="109">
        <f>SUM(I52)</f>
        <v>2190895.54</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211026.61</v>
      </c>
      <c r="H621" s="109">
        <f>SUM(J52)</f>
        <v>211026.61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176741.46</v>
      </c>
      <c r="H622" s="109">
        <f>F476</f>
        <v>176741.46000000183</v>
      </c>
      <c r="I622" s="121" t="s">
        <v>101</v>
      </c>
      <c r="J622" s="109">
        <f t="shared" ref="J622:J655" si="50">G622-H622</f>
        <v>-1.8335413187742233E-9</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211026.61</v>
      </c>
      <c r="H626" s="109">
        <f>J476</f>
        <v>211026.61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5770264.6699999999</v>
      </c>
      <c r="H627" s="104">
        <f>SUM(F468)</f>
        <v>5770264.6699999999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79357.62999999999</v>
      </c>
      <c r="H628" s="104">
        <f>SUM(G468)</f>
        <v>79357.62999999999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125624.32000000001</v>
      </c>
      <c r="H629" s="104">
        <f>SUM(H468)</f>
        <v>125624.32000000001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398299.88</v>
      </c>
      <c r="H630" s="104">
        <f>SUM(I468)</f>
        <v>398299.88</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250794.14</v>
      </c>
      <c r="H631" s="104">
        <f>SUM(J468)</f>
        <v>250794.14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7079275.7199999979</v>
      </c>
      <c r="H632" s="104">
        <f>SUM(F472)</f>
        <v>7079275.7199999979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125624.31999999998</v>
      </c>
      <c r="H633" s="104">
        <f>SUM(H472)</f>
        <v>125624.31999999998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43654.99</v>
      </c>
      <c r="H634" s="104">
        <f>I369</f>
        <v>43654.99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79357.63</v>
      </c>
      <c r="H635" s="104">
        <f>SUM(G472)</f>
        <v>79357.63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1703604.19</v>
      </c>
      <c r="H636" s="104">
        <f>SUM(I472)</f>
        <v>1703604.19</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250794.14</v>
      </c>
      <c r="H637" s="164">
        <f>SUM(J468)</f>
        <v>250794.14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422205.54000000004</v>
      </c>
      <c r="H638" s="164">
        <f>SUM(J472)</f>
        <v>422205.54000000004</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97930.01</v>
      </c>
      <c r="H639" s="104">
        <f>SUM(F461)</f>
        <v>97930.01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113096.6</v>
      </c>
      <c r="H640" s="104">
        <f>SUM(G461)</f>
        <v>113096.6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211026.61</v>
      </c>
      <c r="H642" s="104">
        <f>SUM(I461)</f>
        <v>211026.61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9794.14</v>
      </c>
      <c r="H644" s="104">
        <f>H408</f>
        <v>9794.14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241000</v>
      </c>
      <c r="H645" s="104">
        <f>G408</f>
        <v>241000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250794.14</v>
      </c>
      <c r="H646" s="104">
        <f>L408</f>
        <v>250794.14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317568.7</v>
      </c>
      <c r="H647" s="104">
        <f>L208+L226+L244</f>
        <v>317568.7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39572.569999999992</v>
      </c>
      <c r="H648" s="104">
        <f>(J257+J338)-(J255+J336)</f>
        <v>39572.57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259677.09</v>
      </c>
      <c r="H649" s="104">
        <f>H598</f>
        <v>259677.09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9911.98</v>
      </c>
      <c r="H650" s="104">
        <f>I598</f>
        <v>9911.98</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47979.63</v>
      </c>
      <c r="H651" s="104">
        <f>J598</f>
        <v>47979.63</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530.65</v>
      </c>
      <c r="H652" s="104">
        <f>K263+K345</f>
        <v>530.65</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241000</v>
      </c>
      <c r="H655" s="104">
        <f>K266+K347</f>
        <v>241000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3783814.5799999991</v>
      </c>
      <c r="G660" s="19">
        <f>(L229+L309+L359)</f>
        <v>890262.58000000007</v>
      </c>
      <c r="H660" s="19">
        <f>(L247+L328+L360)</f>
        <v>2314344.1999999997</v>
      </c>
      <c r="I660" s="19">
        <f>SUM(F660:H660)</f>
        <v>6988421.3599999994</v>
      </c>
      <c r="J660" s="13"/>
      <c r="K660" s="13"/>
      <c r="L660" s="13"/>
      <c r="M660" s="9"/>
    </row>
    <row r="661" spans="1:13" s="3" customFormat="1" ht="12.2" customHeight="1" x14ac:dyDescent="0.2">
      <c r="A661" s="1" t="s">
        <v>127</v>
      </c>
      <c r="F661" s="19">
        <f>(L358/IF(SUM(L358:L360)=0,1,SUM(L358:L360))*(SUM(G97:G110)))</f>
        <v>54816.94</v>
      </c>
      <c r="G661" s="19">
        <f>(L359/IF(SUM(L358:L360)=0,1,SUM(L358:L360))*(SUM(G97:G110)))</f>
        <v>0</v>
      </c>
      <c r="H661" s="19">
        <f>(L360/IF(SUM(L358:L360)=0,1,SUM(L358:L360))*(SUM(G97:G110)))</f>
        <v>0</v>
      </c>
      <c r="I661" s="19">
        <f>SUM(F661:H661)</f>
        <v>54816.94</v>
      </c>
      <c r="J661"/>
      <c r="K661" s="13"/>
      <c r="L661" s="13"/>
      <c r="M661" s="9"/>
    </row>
    <row r="662" spans="1:13" s="3" customFormat="1" ht="12.2" customHeight="1" x14ac:dyDescent="0.2">
      <c r="A662" s="1" t="s">
        <v>128</v>
      </c>
      <c r="F662" s="19">
        <f>(L208+L287)-(J208+J287)</f>
        <v>264177.08999999997</v>
      </c>
      <c r="G662" s="19">
        <f>(L226+L306)-(J226+J306)</f>
        <v>9911.98</v>
      </c>
      <c r="H662" s="19">
        <f>(L244+L325)-(J244+J325)</f>
        <v>47979.63</v>
      </c>
      <c r="I662" s="19">
        <f>SUM(F662:H662)</f>
        <v>322068.69999999995</v>
      </c>
      <c r="J662"/>
      <c r="K662" s="13"/>
      <c r="L662" s="13"/>
      <c r="M662" s="8"/>
    </row>
    <row r="663" spans="1:13" s="3" customFormat="1" ht="12.2" customHeight="1" x14ac:dyDescent="0.15">
      <c r="A663" s="198" t="s">
        <v>129</v>
      </c>
      <c r="B663" s="169"/>
      <c r="C663" s="169"/>
      <c r="D663" s="169"/>
      <c r="E663" s="169"/>
      <c r="F663" s="199">
        <f>SUM(F575:F587)+SUM(H602:H604)+SUM(L611)</f>
        <v>55502.929999999993</v>
      </c>
      <c r="G663" s="199">
        <f>SUM(G575:G587)+SUM(I602:I604)+L612</f>
        <v>686413.54</v>
      </c>
      <c r="H663" s="199">
        <f>SUM(H575:H587)+SUM(J602:J604)+L613</f>
        <v>2043676.42</v>
      </c>
      <c r="I663" s="19">
        <f>SUM(F663:H663)</f>
        <v>2785592.8899999997</v>
      </c>
      <c r="J663" s="13"/>
      <c r="K663" s="13"/>
      <c r="L663" s="13"/>
      <c r="M663" s="9"/>
    </row>
    <row r="664" spans="1:13" s="3" customFormat="1" ht="12.2" customHeight="1" x14ac:dyDescent="0.15">
      <c r="A664" s="1" t="s">
        <v>130</v>
      </c>
      <c r="F664" s="19">
        <f>F660-SUM(F661:F663)</f>
        <v>3409317.6199999992</v>
      </c>
      <c r="G664" s="19">
        <f>G660-SUM(G661:G663)</f>
        <v>193937.06000000006</v>
      </c>
      <c r="H664" s="19">
        <f>H660-SUM(H661:H663)</f>
        <v>222688.14999999991</v>
      </c>
      <c r="I664" s="19">
        <f>I660-SUM(I661:I663)</f>
        <v>3825942.8299999996</v>
      </c>
      <c r="J664" s="13"/>
      <c r="K664" s="13"/>
      <c r="L664" s="13"/>
      <c r="M664" s="9"/>
    </row>
    <row r="665" spans="1:13" s="3" customFormat="1" ht="12.2" customHeight="1" x14ac:dyDescent="0.2">
      <c r="A665" s="1" t="s">
        <v>131</v>
      </c>
      <c r="F665" s="246">
        <v>239.84</v>
      </c>
      <c r="G665" s="247"/>
      <c r="H665" s="247"/>
      <c r="I665" s="19">
        <f>SUM(F665:H665)</f>
        <v>239.84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14214.97</v>
      </c>
      <c r="G667" s="19" t="e">
        <f>ROUND(G664/G665,2)</f>
        <v>#DIV/0!</v>
      </c>
      <c r="H667" s="19" t="e">
        <f>ROUND(H664/H665,2)</f>
        <v>#DIV/0!</v>
      </c>
      <c r="I667" s="19">
        <f>ROUND(I664/I665,2)</f>
        <v>15952.06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-193937.06</v>
      </c>
      <c r="H669" s="18">
        <v>-222688.15</v>
      </c>
      <c r="I669" s="19">
        <f>SUM(F669:H669)</f>
        <v>-416625.20999999996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14214.97</v>
      </c>
      <c r="G672" s="19" t="e">
        <f>ROUND((G664+G669)/(G665+G670),2)</f>
        <v>#DIV/0!</v>
      </c>
      <c r="H672" s="19" t="e">
        <f>ROUND((H664+H669)/(H665+H670),2)</f>
        <v>#DIV/0!</v>
      </c>
      <c r="I672" s="19">
        <f>ROUND((I664+I669)/(I665+I670),2)</f>
        <v>14214.97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DUNBARTON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1101192.71</v>
      </c>
      <c r="C9" s="229">
        <f>'DOE25'!G197+'DOE25'!G215+'DOE25'!G233+'DOE25'!G276+'DOE25'!G295+'DOE25'!G314</f>
        <v>456695.37</v>
      </c>
    </row>
    <row r="10" spans="1:3" x14ac:dyDescent="0.2">
      <c r="A10" t="s">
        <v>775</v>
      </c>
      <c r="B10" s="240">
        <f>887164.65+22520</f>
        <v>909684.65</v>
      </c>
      <c r="C10" s="240">
        <v>377271.61</v>
      </c>
    </row>
    <row r="11" spans="1:3" x14ac:dyDescent="0.2">
      <c r="A11" t="s">
        <v>776</v>
      </c>
      <c r="B11" s="240">
        <v>129832.64</v>
      </c>
      <c r="C11" s="240">
        <v>53845.21</v>
      </c>
    </row>
    <row r="12" spans="1:3" x14ac:dyDescent="0.2">
      <c r="A12" t="s">
        <v>777</v>
      </c>
      <c r="B12" s="240">
        <f>54525.42+7150</f>
        <v>61675.42</v>
      </c>
      <c r="C12" s="240">
        <v>25578.55</v>
      </c>
    </row>
    <row r="13" spans="1:3" x14ac:dyDescent="0.2">
      <c r="A13" t="str">
        <f>IF(B9=B13,IF(C9=C13,"Check Total OK","Check Total Error"),"Check Total Error")</f>
        <v>Check Total OK</v>
      </c>
      <c r="B13" s="231">
        <f>SUM(B10:B12)</f>
        <v>1101192.71</v>
      </c>
      <c r="C13" s="231">
        <f>SUM(C10:C12)</f>
        <v>456695.37</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388476.63</v>
      </c>
      <c r="C18" s="229">
        <f>'DOE25'!G198+'DOE25'!G216+'DOE25'!G234+'DOE25'!G277+'DOE25'!G296+'DOE25'!G315</f>
        <v>145107.41</v>
      </c>
    </row>
    <row r="19" spans="1:3" x14ac:dyDescent="0.2">
      <c r="A19" t="s">
        <v>775</v>
      </c>
      <c r="B19" s="240">
        <v>140629.57999999999</v>
      </c>
      <c r="C19" s="240">
        <v>58384.41</v>
      </c>
    </row>
    <row r="20" spans="1:3" x14ac:dyDescent="0.2">
      <c r="A20" t="s">
        <v>776</v>
      </c>
      <c r="B20" s="240">
        <v>170830.39</v>
      </c>
      <c r="C20" s="240">
        <v>41744</v>
      </c>
    </row>
    <row r="21" spans="1:3" x14ac:dyDescent="0.2">
      <c r="A21" t="s">
        <v>777</v>
      </c>
      <c r="B21" s="240">
        <v>77016.66</v>
      </c>
      <c r="C21" s="240">
        <v>44979</v>
      </c>
    </row>
    <row r="22" spans="1:3" x14ac:dyDescent="0.2">
      <c r="A22" t="str">
        <f>IF(B18=B22,IF(C18=C22,"Check Total OK","Check Total Error"),"Check Total Error")</f>
        <v>Check Total OK</v>
      </c>
      <c r="B22" s="231">
        <f>SUM(B19:B21)</f>
        <v>388476.63</v>
      </c>
      <c r="C22" s="231">
        <f>SUM(C19:C21)</f>
        <v>145107.41</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1000</v>
      </c>
      <c r="C36" s="235">
        <f>'DOE25'!G200+'DOE25'!G218+'DOE25'!G236+'DOE25'!G279+'DOE25'!G298+'DOE25'!G317</f>
        <v>255.61</v>
      </c>
    </row>
    <row r="37" spans="1:3" x14ac:dyDescent="0.2">
      <c r="A37" t="s">
        <v>775</v>
      </c>
      <c r="B37" s="240">
        <v>1000</v>
      </c>
      <c r="C37" s="240">
        <v>255.61</v>
      </c>
    </row>
    <row r="38" spans="1:3" x14ac:dyDescent="0.2">
      <c r="A38" t="s">
        <v>776</v>
      </c>
      <c r="B38" s="240">
        <v>0</v>
      </c>
      <c r="C38" s="240">
        <v>0</v>
      </c>
    </row>
    <row r="39" spans="1:3" x14ac:dyDescent="0.2">
      <c r="A39" t="s">
        <v>777</v>
      </c>
      <c r="B39" s="240">
        <v>0</v>
      </c>
      <c r="C39" s="240">
        <v>0</v>
      </c>
    </row>
    <row r="40" spans="1:3" x14ac:dyDescent="0.2">
      <c r="A40" t="str">
        <f>IF(B36=B40,IF(C36=C40,"Check Total OK","Check Total Error"),"Check Total Error")</f>
        <v>Check Total OK</v>
      </c>
      <c r="B40" s="231">
        <f>SUM(B37:B39)</f>
        <v>1000</v>
      </c>
      <c r="C40" s="231">
        <f>SUM(C37:C39)</f>
        <v>255.61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5" sqref="F4:F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DUNBARTON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5283800.33</v>
      </c>
      <c r="D5" s="20">
        <f>SUM('DOE25'!L197:L200)+SUM('DOE25'!L215:L218)+SUM('DOE25'!L233:L236)-F5-G5-H5</f>
        <v>5123951.75</v>
      </c>
      <c r="E5" s="243"/>
      <c r="F5" s="244">
        <f>142607.21+7600</f>
        <v>150207.21</v>
      </c>
      <c r="G5" s="53">
        <f>SUM('DOE25'!J197:J200)+SUM('DOE25'!J215:J218)+SUM('DOE25'!J233:J236)</f>
        <v>7442.37</v>
      </c>
      <c r="H5" s="53">
        <f>SUM('DOE25'!K197:K200)+SUM('DOE25'!K215:K218)+SUM('DOE25'!K233:K236)</f>
        <v>2199</v>
      </c>
      <c r="I5" s="256"/>
    </row>
    <row r="6" spans="1:9" x14ac:dyDescent="0.2">
      <c r="A6" s="32">
        <v>2100</v>
      </c>
      <c r="B6" t="s">
        <v>796</v>
      </c>
      <c r="C6" s="276">
        <f t="shared" si="0"/>
        <v>419750.01</v>
      </c>
      <c r="D6" s="20">
        <f>'DOE25'!L202+'DOE25'!L220+'DOE25'!L238-F6-G6-H6</f>
        <v>419635.42</v>
      </c>
      <c r="E6" s="243"/>
      <c r="F6" s="244">
        <v>0</v>
      </c>
      <c r="G6" s="53">
        <f>'DOE25'!J202+'DOE25'!J220+'DOE25'!J238</f>
        <v>69.59</v>
      </c>
      <c r="H6" s="53">
        <f>'DOE25'!K202+'DOE25'!K220+'DOE25'!K238</f>
        <v>45</v>
      </c>
      <c r="I6" s="256"/>
    </row>
    <row r="7" spans="1:9" x14ac:dyDescent="0.2">
      <c r="A7" s="32">
        <v>2200</v>
      </c>
      <c r="B7" t="s">
        <v>821</v>
      </c>
      <c r="C7" s="276">
        <f t="shared" si="0"/>
        <v>130471.38</v>
      </c>
      <c r="D7" s="20">
        <f>'DOE25'!L203+'DOE25'!L221+'DOE25'!L239-F7-G7-H7</f>
        <v>101410.77</v>
      </c>
      <c r="E7" s="243"/>
      <c r="F7" s="244">
        <v>0</v>
      </c>
      <c r="G7" s="53">
        <f>'DOE25'!J203+'DOE25'!J221+'DOE25'!J239</f>
        <v>29060.61</v>
      </c>
      <c r="H7" s="53">
        <f>'DOE25'!K203+'DOE25'!K221+'DOE25'!K239</f>
        <v>0</v>
      </c>
      <c r="I7" s="256"/>
    </row>
    <row r="8" spans="1:9" x14ac:dyDescent="0.2">
      <c r="A8" s="32">
        <v>2300</v>
      </c>
      <c r="B8" t="s">
        <v>797</v>
      </c>
      <c r="C8" s="276">
        <f t="shared" si="0"/>
        <v>110543.82</v>
      </c>
      <c r="D8" s="243"/>
      <c r="E8" s="20">
        <f>'DOE25'!L204+'DOE25'!L222+'DOE25'!L240-F8-G8-H8-D9-D11</f>
        <v>107427.42000000001</v>
      </c>
      <c r="F8" s="244">
        <v>0</v>
      </c>
      <c r="G8" s="53">
        <f>'DOE25'!J204+'DOE25'!J222+'DOE25'!J240</f>
        <v>0</v>
      </c>
      <c r="H8" s="53">
        <f>'DOE25'!K204+'DOE25'!K222+'DOE25'!K240</f>
        <v>3116.4</v>
      </c>
      <c r="I8" s="256"/>
    </row>
    <row r="9" spans="1:9" ht="14.25" x14ac:dyDescent="0.2">
      <c r="A9" s="32">
        <v>2310</v>
      </c>
      <c r="B9" s="185" t="s">
        <v>890</v>
      </c>
      <c r="C9" s="276">
        <f t="shared" si="0"/>
        <v>9926</v>
      </c>
      <c r="D9" s="244">
        <v>9926</v>
      </c>
      <c r="E9" s="243"/>
      <c r="F9" s="253"/>
      <c r="G9" s="253"/>
      <c r="H9" s="253"/>
      <c r="I9" s="256"/>
    </row>
    <row r="10" spans="1:9" ht="14.25" x14ac:dyDescent="0.2">
      <c r="A10" s="32">
        <v>2317</v>
      </c>
      <c r="B10" s="185" t="s">
        <v>891</v>
      </c>
      <c r="C10" s="276">
        <f t="shared" si="0"/>
        <v>6025</v>
      </c>
      <c r="D10" s="243"/>
      <c r="E10" s="244">
        <v>6025</v>
      </c>
      <c r="F10" s="253"/>
      <c r="G10" s="253"/>
      <c r="H10" s="253"/>
      <c r="I10" s="256"/>
    </row>
    <row r="11" spans="1:9" ht="14.25" x14ac:dyDescent="0.2">
      <c r="A11" s="32">
        <v>2321</v>
      </c>
      <c r="B11" s="185" t="s">
        <v>892</v>
      </c>
      <c r="C11" s="276">
        <f t="shared" si="0"/>
        <v>46486.06</v>
      </c>
      <c r="D11" s="244">
        <v>46486.06</v>
      </c>
      <c r="E11" s="243"/>
      <c r="F11" s="253"/>
      <c r="G11" s="253"/>
      <c r="H11" s="253"/>
      <c r="I11" s="256"/>
    </row>
    <row r="12" spans="1:9" x14ac:dyDescent="0.2">
      <c r="A12" s="32">
        <v>2400</v>
      </c>
      <c r="B12" t="s">
        <v>711</v>
      </c>
      <c r="C12" s="276">
        <f t="shared" si="0"/>
        <v>221587.82000000004</v>
      </c>
      <c r="D12" s="20">
        <f>'DOE25'!L205+'DOE25'!L223+'DOE25'!L241-F12-G12-H12</f>
        <v>220863.82000000004</v>
      </c>
      <c r="E12" s="243"/>
      <c r="F12" s="244">
        <v>0</v>
      </c>
      <c r="G12" s="53">
        <f>'DOE25'!J205+'DOE25'!J223+'DOE25'!J241</f>
        <v>0</v>
      </c>
      <c r="H12" s="53">
        <f>'DOE25'!K205+'DOE25'!K223+'DOE25'!K241</f>
        <v>724</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243305.29</v>
      </c>
      <c r="D14" s="20">
        <f>'DOE25'!L207+'DOE25'!L225+'DOE25'!L243-F14-G14-H14</f>
        <v>235484.29</v>
      </c>
      <c r="E14" s="243"/>
      <c r="F14" s="244">
        <f>7821</f>
        <v>7821</v>
      </c>
      <c r="G14" s="53">
        <f>'DOE25'!J207+'DOE25'!J225+'DOE25'!J243</f>
        <v>0</v>
      </c>
      <c r="H14" s="53">
        <f>'DOE25'!K207+'DOE25'!K225+'DOE25'!K243</f>
        <v>0</v>
      </c>
      <c r="I14" s="256"/>
    </row>
    <row r="15" spans="1:9" x14ac:dyDescent="0.2">
      <c r="A15" s="32">
        <v>2700</v>
      </c>
      <c r="B15" t="s">
        <v>799</v>
      </c>
      <c r="C15" s="276">
        <f t="shared" si="0"/>
        <v>317568.7</v>
      </c>
      <c r="D15" s="20">
        <f>'DOE25'!L208+'DOE25'!L226+'DOE25'!L244-F15-G15-H15</f>
        <v>0</v>
      </c>
      <c r="E15" s="243"/>
      <c r="F15" s="244">
        <v>317568.7</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54305.66</v>
      </c>
      <c r="D25" s="243"/>
      <c r="E25" s="243"/>
      <c r="F25" s="255"/>
      <c r="G25" s="253"/>
      <c r="H25" s="253"/>
      <c r="I25" s="254">
        <f>'DOE25'!L260+'DOE25'!L261+'DOE25'!L341+'DOE25'!L342</f>
        <v>54305.66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40337.240000000005</v>
      </c>
      <c r="D29" s="284">
        <f>'DOE25'!L358+'DOE25'!L359+'DOE25'!L360-'DOE25'!I367-F29-G29-H29</f>
        <v>40337.240000000005</v>
      </c>
      <c r="E29" s="243"/>
      <c r="F29" s="244">
        <v>0</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125624.31999999998</v>
      </c>
      <c r="D31" s="20">
        <f>'DOE25'!L290+'DOE25'!L309+'DOE25'!L328+'DOE25'!L333+'DOE25'!L334+'DOE25'!L335-F31-G31-H31</f>
        <v>118787.82999999997</v>
      </c>
      <c r="E31" s="243"/>
      <c r="F31" s="244">
        <v>0</v>
      </c>
      <c r="G31" s="53">
        <f>'DOE25'!J290+'DOE25'!J309+'DOE25'!J328+'DOE25'!J333+'DOE25'!J334+'DOE25'!J335</f>
        <v>3000</v>
      </c>
      <c r="H31" s="53">
        <f>'DOE25'!K290+'DOE25'!K309+'DOE25'!K328+'DOE25'!K333+'DOE25'!K334+'DOE25'!K335</f>
        <v>3836.4899999999993</v>
      </c>
      <c r="I31" s="256"/>
    </row>
    <row r="32" spans="1:9" ht="12" thickBot="1" x14ac:dyDescent="0.25">
      <c r="C32" s="277"/>
      <c r="G32" s="251"/>
      <c r="H32" s="251"/>
      <c r="I32" s="258"/>
    </row>
    <row r="33" spans="1:9" ht="12" thickTop="1" x14ac:dyDescent="0.2">
      <c r="B33" t="s">
        <v>809</v>
      </c>
      <c r="D33" s="245">
        <f t="shared" ref="D33:I33" si="1">SUM(D5:D31)</f>
        <v>6316883.1799999997</v>
      </c>
      <c r="E33" s="245">
        <f t="shared" si="1"/>
        <v>113452.42000000001</v>
      </c>
      <c r="F33" s="245">
        <f t="shared" si="1"/>
        <v>475596.91000000003</v>
      </c>
      <c r="G33" s="245">
        <f t="shared" si="1"/>
        <v>39572.57</v>
      </c>
      <c r="H33" s="245">
        <f t="shared" si="1"/>
        <v>9920.89</v>
      </c>
      <c r="I33" s="245">
        <f t="shared" si="1"/>
        <v>54305.66</v>
      </c>
    </row>
    <row r="35" spans="1:9" ht="12" thickBot="1" x14ac:dyDescent="0.25">
      <c r="B35" s="251" t="s">
        <v>831</v>
      </c>
      <c r="D35" s="252">
        <f>E33</f>
        <v>113452.42000000001</v>
      </c>
      <c r="E35" s="248"/>
    </row>
    <row r="36" spans="1:9" ht="12" thickTop="1" x14ac:dyDescent="0.2">
      <c r="B36" t="s">
        <v>810</v>
      </c>
      <c r="D36" s="20">
        <f>D33</f>
        <v>6316883.1799999997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25" sqref="A2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DUNBARTON SCHOOL DISTRICT</v>
      </c>
      <c r="B2" s="126">
        <f>'DOE25'!B2</f>
        <v>149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3704456.9499999993</v>
      </c>
      <c r="G4" s="303">
        <f>'DOE25'!L211+'DOE25'!L290</f>
        <v>3704456.9499999993</v>
      </c>
      <c r="H4" s="304">
        <f>F4-G4</f>
        <v>0</v>
      </c>
      <c r="I4" s="310" t="str">
        <f>IF(H4=0,"","Does not match DOE25 page 7 and 11 Totals!!")</f>
        <v/>
      </c>
      <c r="N4"/>
    </row>
    <row r="5" spans="1:18" x14ac:dyDescent="0.2">
      <c r="A5" s="21" t="s">
        <v>1034</v>
      </c>
      <c r="B5" s="305">
        <f>IFERROR(VLOOKUP(A5,'School Tables'!$C$3:$D$368,2,FALSE),"")</f>
        <v>20685</v>
      </c>
      <c r="C5" s="297" t="str">
        <f>IFERROR(INDEX('School Tables'!$B$3:$B$368,MATCH('School Level Expenditures'!B5,'School Tables'!$D$3:$D$368,0)),"")</f>
        <v>Dunbarton</v>
      </c>
      <c r="D5" s="294">
        <f>'DOE25'!L211</f>
        <v>3578832.6299999994</v>
      </c>
      <c r="E5" s="294">
        <f>'DOE25'!L290</f>
        <v>125624.31999999998</v>
      </c>
      <c r="F5" s="313">
        <f>D5+E5</f>
        <v>3704456.9499999993</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890262.58000000007</v>
      </c>
      <c r="G24" s="303">
        <f>'DOE25'!L229+'DOE25'!L309</f>
        <v>890262.58000000007</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f>'DOE25'!L229</f>
        <v>890262.58000000007</v>
      </c>
      <c r="E25" s="294">
        <v>0</v>
      </c>
      <c r="F25" s="308">
        <f>D25+E25</f>
        <v>890262.58000000007</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2314344.1999999997</v>
      </c>
      <c r="G36" s="303">
        <f>'DOE25'!L247+'DOE25'!L328</f>
        <v>2314344.1999999997</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f>'DOE25'!L247</f>
        <v>2314344.1999999997</v>
      </c>
      <c r="E37" s="294">
        <v>0</v>
      </c>
      <c r="F37" s="308">
        <f>D37+E37</f>
        <v>2314344.1999999997</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DUNBARTON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272642.90999999997</v>
      </c>
      <c r="D8" s="95">
        <f>'DOE25'!G9</f>
        <v>0</v>
      </c>
      <c r="E8" s="95">
        <f>'DOE25'!H9</f>
        <v>0</v>
      </c>
      <c r="F8" s="95">
        <f>'DOE25'!I9</f>
        <v>0</v>
      </c>
      <c r="G8" s="95">
        <f>'DOE25'!J9</f>
        <v>211026.61</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2774836.9800000004</v>
      </c>
      <c r="D11" s="95">
        <f>'DOE25'!G12</f>
        <v>224668.82</v>
      </c>
      <c r="E11" s="95">
        <f>'DOE25'!H12</f>
        <v>354673.16</v>
      </c>
      <c r="F11" s="95">
        <f>'DOE25'!I12</f>
        <v>2190895.54</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6897.55</v>
      </c>
      <c r="D13" s="95">
        <f>'DOE25'!G14</f>
        <v>1151.26</v>
      </c>
      <c r="E13" s="95">
        <f>'DOE25'!H14</f>
        <v>9395.56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20625.689999999999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3075003.1300000004</v>
      </c>
      <c r="D18" s="41">
        <f>SUM(D8:D17)</f>
        <v>225820.08000000002</v>
      </c>
      <c r="E18" s="41">
        <f>SUM(E8:E17)</f>
        <v>364068.72</v>
      </c>
      <c r="F18" s="41">
        <f>SUM(F8:F17)</f>
        <v>2190895.54</v>
      </c>
      <c r="G18" s="41">
        <f>SUM(G8:G17)</f>
        <v>211026.61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2770082.49</v>
      </c>
      <c r="D21" s="95">
        <f>'DOE25'!G22</f>
        <v>222465.8</v>
      </c>
      <c r="E21" s="95">
        <f>'DOE25'!H22</f>
        <v>362728.93</v>
      </c>
      <c r="F21" s="95">
        <f>'DOE25'!I22</f>
        <v>2190895.54</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118020.02</v>
      </c>
      <c r="D23" s="95">
        <f>'DOE25'!G24</f>
        <v>0</v>
      </c>
      <c r="E23" s="95">
        <f>'DOE25'!H24</f>
        <v>1339.79</v>
      </c>
      <c r="F23" s="95">
        <f>'DOE25'!I24</f>
        <v>0</v>
      </c>
      <c r="G23" s="95">
        <f>'DOE25'!J24</f>
        <v>0</v>
      </c>
      <c r="H23" s="124"/>
      <c r="I23" s="124"/>
    </row>
    <row r="24" spans="1:9" x14ac:dyDescent="0.2">
      <c r="A24" s="1" t="s">
        <v>153</v>
      </c>
      <c r="B24" s="6">
        <v>430</v>
      </c>
      <c r="C24" s="95">
        <f>'DOE25'!F25</f>
        <v>10159.16</v>
      </c>
      <c r="D24" s="95">
        <f>'DOE25'!G25</f>
        <v>547.28</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2807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2898261.6700000004</v>
      </c>
      <c r="D31" s="41">
        <f>SUM(D21:D30)</f>
        <v>225820.08</v>
      </c>
      <c r="E31" s="41">
        <f>SUM(E21:E30)</f>
        <v>364068.72</v>
      </c>
      <c r="F31" s="41">
        <f>SUM(F21:F30)</f>
        <v>2190895.54</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20625.689999999999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211026.61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155115.76999999999</v>
      </c>
      <c r="D49" s="24" t="s">
        <v>288</v>
      </c>
      <c r="E49" s="24" t="s">
        <v>288</v>
      </c>
      <c r="F49" s="24" t="s">
        <v>288</v>
      </c>
      <c r="G49" s="24" t="s">
        <v>288</v>
      </c>
      <c r="H49" s="124"/>
      <c r="I49" s="124"/>
    </row>
    <row r="50" spans="1:9" ht="12.75" thickTop="1" thickBot="1" x14ac:dyDescent="0.25">
      <c r="A50" s="38" t="s">
        <v>884</v>
      </c>
      <c r="B50" s="48"/>
      <c r="C50" s="41">
        <f>SUM(C34:C49)</f>
        <v>176741.46</v>
      </c>
      <c r="D50" s="41">
        <f>SUM(D34:D49)</f>
        <v>0</v>
      </c>
      <c r="E50" s="41">
        <f>SUM(E34:E49)</f>
        <v>0</v>
      </c>
      <c r="F50" s="41">
        <f>SUM(F34:F49)</f>
        <v>0</v>
      </c>
      <c r="G50" s="41">
        <f>SUM(G34:G49)</f>
        <v>211026.61</v>
      </c>
      <c r="H50" s="124"/>
      <c r="I50" s="124"/>
    </row>
    <row r="51" spans="1:9" ht="12" thickTop="1" x14ac:dyDescent="0.2">
      <c r="A51" s="38" t="s">
        <v>885</v>
      </c>
      <c r="B51" s="2"/>
      <c r="C51" s="41">
        <f>C50+C31</f>
        <v>3075003.1300000004</v>
      </c>
      <c r="D51" s="41">
        <f>D50+D31</f>
        <v>225820.08</v>
      </c>
      <c r="E51" s="41">
        <f>E50+E31</f>
        <v>364068.72</v>
      </c>
      <c r="F51" s="41">
        <f>F50+F31</f>
        <v>2190895.54</v>
      </c>
      <c r="G51" s="41">
        <f>G50+G31</f>
        <v>211026.61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3866194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124.8</v>
      </c>
      <c r="D59" s="95">
        <f>'DOE25'!G96</f>
        <v>0</v>
      </c>
      <c r="E59" s="95">
        <f>'DOE25'!H96</f>
        <v>0</v>
      </c>
      <c r="F59" s="95">
        <f>'DOE25'!I96</f>
        <v>0</v>
      </c>
      <c r="G59" s="95">
        <f>'DOE25'!J96</f>
        <v>9794.14</v>
      </c>
      <c r="H59"/>
      <c r="I59"/>
    </row>
    <row r="60" spans="1:9" x14ac:dyDescent="0.2">
      <c r="A60" s="1" t="s">
        <v>170</v>
      </c>
      <c r="B60" s="118" t="s">
        <v>171</v>
      </c>
      <c r="C60" s="24" t="s">
        <v>288</v>
      </c>
      <c r="D60" s="95">
        <f>'DOE25'!G97</f>
        <v>54816.94</v>
      </c>
      <c r="E60" s="24" t="s">
        <v>288</v>
      </c>
      <c r="F60" s="24" t="s">
        <v>288</v>
      </c>
      <c r="G60" s="24" t="s">
        <v>288</v>
      </c>
      <c r="H60"/>
      <c r="I60"/>
    </row>
    <row r="61" spans="1:9" ht="12" thickBot="1" x14ac:dyDescent="0.25">
      <c r="A61" s="1" t="s">
        <v>172</v>
      </c>
      <c r="B61" s="118" t="s">
        <v>173</v>
      </c>
      <c r="C61" s="95">
        <f>SUM('DOE25'!F98:F110)</f>
        <v>2047</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2171.8000000000002</v>
      </c>
      <c r="D62" s="130">
        <f>SUM(D57:D61)</f>
        <v>54816.94</v>
      </c>
      <c r="E62" s="130">
        <f>SUM(E57:E61)</f>
        <v>0</v>
      </c>
      <c r="F62" s="130">
        <f>SUM(F57:F61)</f>
        <v>0</v>
      </c>
      <c r="G62" s="130">
        <f>SUM(G57:G61)</f>
        <v>9794.14</v>
      </c>
      <c r="H62"/>
      <c r="I62"/>
    </row>
    <row r="63" spans="1:9" ht="12" thickTop="1" x14ac:dyDescent="0.2">
      <c r="A63" s="29" t="s">
        <v>175</v>
      </c>
      <c r="B63" s="6"/>
      <c r="C63" s="22">
        <f>C56+C62</f>
        <v>3868365.8</v>
      </c>
      <c r="D63" s="22">
        <f>D56+D62</f>
        <v>54816.94</v>
      </c>
      <c r="E63" s="22">
        <f>E56+E62</f>
        <v>0</v>
      </c>
      <c r="F63" s="22">
        <f>F56+F62</f>
        <v>0</v>
      </c>
      <c r="G63" s="22">
        <f>G56+G62</f>
        <v>9794.14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997733.72</v>
      </c>
      <c r="D66" s="24" t="s">
        <v>288</v>
      </c>
      <c r="E66" s="24" t="s">
        <v>288</v>
      </c>
      <c r="F66" s="24" t="s">
        <v>288</v>
      </c>
      <c r="G66" s="24" t="s">
        <v>288</v>
      </c>
      <c r="H66"/>
      <c r="I66"/>
    </row>
    <row r="67" spans="1:9" x14ac:dyDescent="0.2">
      <c r="A67" s="1" t="s">
        <v>770</v>
      </c>
      <c r="B67" s="6">
        <v>3112</v>
      </c>
      <c r="C67" s="95">
        <f>'DOE25'!F118</f>
        <v>691664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30400</v>
      </c>
      <c r="G69" s="95">
        <f>'DOE25'!J120</f>
        <v>0</v>
      </c>
      <c r="H69"/>
      <c r="I69"/>
    </row>
    <row r="70" spans="1:9" ht="12" thickTop="1" x14ac:dyDescent="0.2">
      <c r="A70" s="29" t="s">
        <v>252</v>
      </c>
      <c r="B70" s="2"/>
      <c r="C70" s="139">
        <f>SUM(C66:C69)</f>
        <v>1691353.81</v>
      </c>
      <c r="D70" s="139">
        <f>D69</f>
        <v>0</v>
      </c>
      <c r="E70" s="139">
        <f>E69</f>
        <v>0</v>
      </c>
      <c r="F70" s="139">
        <f>F69</f>
        <v>30400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42900</v>
      </c>
      <c r="D74" s="24"/>
      <c r="E74" s="24"/>
      <c r="F74" s="24"/>
      <c r="G74" s="24"/>
      <c r="H74"/>
      <c r="I74"/>
    </row>
    <row r="75" spans="1:9" x14ac:dyDescent="0.2">
      <c r="A75" s="1" t="s">
        <v>256</v>
      </c>
      <c r="B75" s="6">
        <v>3230</v>
      </c>
      <c r="C75" s="95">
        <f>'DOE25'!F126</f>
        <v>39927.94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5794.35</v>
      </c>
      <c r="E77" s="95">
        <f>SUM('DOE25'!H131:H135)</f>
        <v>0</v>
      </c>
      <c r="F77" s="95">
        <f>SUM('DOE25'!I131:I135)</f>
        <v>0</v>
      </c>
      <c r="G77" s="95">
        <f>SUM('DOE25'!J131:J135)</f>
        <v>0</v>
      </c>
      <c r="H77"/>
      <c r="I77"/>
    </row>
    <row r="78" spans="1:9" ht="12.75" thickTop="1" thickBot="1" x14ac:dyDescent="0.25">
      <c r="A78" s="29" t="s">
        <v>259</v>
      </c>
      <c r="B78" s="6"/>
      <c r="C78" s="130">
        <f>SUM(C72:C77)</f>
        <v>82827.94</v>
      </c>
      <c r="D78" s="130">
        <f>SUM(D72:D77)</f>
        <v>5794.35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1774181.75</v>
      </c>
      <c r="D81" s="130">
        <f>SUM(D79:D80)+D78+D70</f>
        <v>5794.35</v>
      </c>
      <c r="E81" s="130">
        <f>SUM(E79:E80)+E78+E70</f>
        <v>0</v>
      </c>
      <c r="F81" s="130">
        <f>SUM(F79:F80)+F78+F70</f>
        <v>30400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21111</v>
      </c>
      <c r="F87" s="95">
        <f>SUM('DOE25'!I149:I152)</f>
        <v>0</v>
      </c>
      <c r="G87" s="24" t="s">
        <v>288</v>
      </c>
    </row>
    <row r="88" spans="1:9" x14ac:dyDescent="0.2">
      <c r="A88" t="s">
        <v>747</v>
      </c>
      <c r="B88" s="32" t="s">
        <v>184</v>
      </c>
      <c r="C88" s="95">
        <f>SUM('DOE25'!F153:F161)</f>
        <v>73411.460000000006</v>
      </c>
      <c r="D88" s="95">
        <f>SUM('DOE25'!G153:G161)</f>
        <v>18215.689999999999</v>
      </c>
      <c r="E88" s="95">
        <f>SUM('DOE25'!H153:H161)</f>
        <v>104513.32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73411.460000000006</v>
      </c>
      <c r="D91" s="131">
        <f>SUM(D85:D90)</f>
        <v>18215.689999999999</v>
      </c>
      <c r="E91" s="131">
        <f>SUM(E85:E90)</f>
        <v>125624.32000000001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530.65</v>
      </c>
      <c r="E96" s="95">
        <f>'DOE25'!H179</f>
        <v>0</v>
      </c>
      <c r="F96" s="95">
        <f>'DOE25'!I179</f>
        <v>0</v>
      </c>
      <c r="G96" s="95">
        <f>'DOE25'!J179</f>
        <v>241000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54305.66</v>
      </c>
      <c r="D99" s="95">
        <f>'DOE25'!G185</f>
        <v>0</v>
      </c>
      <c r="E99" s="95">
        <f>'DOE25'!H185</f>
        <v>0</v>
      </c>
      <c r="F99" s="95">
        <f>'DOE25'!I185</f>
        <v>367899.88</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54305.66</v>
      </c>
      <c r="D103" s="86">
        <f>SUM(D93:D102)</f>
        <v>530.65</v>
      </c>
      <c r="E103" s="86">
        <f>SUM(E93:E102)</f>
        <v>0</v>
      </c>
      <c r="F103" s="86">
        <f>SUM(F93:F102)</f>
        <v>367899.88</v>
      </c>
      <c r="G103" s="86">
        <f>SUM(G93:G102)</f>
        <v>241000</v>
      </c>
    </row>
    <row r="104" spans="1:7" ht="12.75" thickTop="1" thickBot="1" x14ac:dyDescent="0.25">
      <c r="A104" s="33" t="s">
        <v>761</v>
      </c>
      <c r="C104" s="86">
        <f>C63+C81+C91+C103</f>
        <v>5770264.6699999999</v>
      </c>
      <c r="D104" s="86">
        <f>D63+D81+D91+D103</f>
        <v>79357.62999999999</v>
      </c>
      <c r="E104" s="86">
        <f>E63+E81+E91+E103</f>
        <v>125624.32000000001</v>
      </c>
      <c r="F104" s="86">
        <f>F63+F81+F91+F103</f>
        <v>398299.88</v>
      </c>
      <c r="G104" s="86">
        <f>G63+G81+G103</f>
        <v>250794.14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4265379.1399999997</v>
      </c>
      <c r="D109" s="24" t="s">
        <v>288</v>
      </c>
      <c r="E109" s="95">
        <f>('DOE25'!L276)+('DOE25'!L295)+('DOE25'!L314)</f>
        <v>50690.979999999996</v>
      </c>
      <c r="F109" s="24" t="s">
        <v>288</v>
      </c>
      <c r="G109" s="24" t="s">
        <v>288</v>
      </c>
    </row>
    <row r="110" spans="1:7" x14ac:dyDescent="0.2">
      <c r="A110" t="s">
        <v>198</v>
      </c>
      <c r="B110" s="32" t="s">
        <v>199</v>
      </c>
      <c r="C110" s="95">
        <f>('DOE25'!L198)+('DOE25'!L216)+('DOE25'!L234)</f>
        <v>1002059.9600000001</v>
      </c>
      <c r="D110" s="24" t="s">
        <v>288</v>
      </c>
      <c r="E110" s="95">
        <f>('DOE25'!L277)+('DOE25'!L296)+('DOE25'!L315)</f>
        <v>59936.439999999995</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16361.230000000001</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5283800.33</v>
      </c>
      <c r="D115" s="86">
        <f>SUM(D109:D114)</f>
        <v>0</v>
      </c>
      <c r="E115" s="86">
        <f>SUM(E109:E114)</f>
        <v>110627.41999999998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419750.01</v>
      </c>
      <c r="D118" s="24" t="s">
        <v>288</v>
      </c>
      <c r="E118" s="95">
        <f>+('DOE25'!L281)+('DOE25'!L300)+('DOE25'!L319)</f>
        <v>0</v>
      </c>
      <c r="F118" s="24" t="s">
        <v>288</v>
      </c>
      <c r="G118" s="24" t="s">
        <v>288</v>
      </c>
    </row>
    <row r="119" spans="1:7" x14ac:dyDescent="0.2">
      <c r="A119" t="s">
        <v>208</v>
      </c>
      <c r="B119" s="32" t="s">
        <v>209</v>
      </c>
      <c r="C119" s="95">
        <f>('DOE25'!L203)+('DOE25'!L221)+('DOE25'!L239)</f>
        <v>130471.38</v>
      </c>
      <c r="D119" s="24" t="s">
        <v>288</v>
      </c>
      <c r="E119" s="95">
        <f>+('DOE25'!L282)+('DOE25'!L301)+('DOE25'!L320)</f>
        <v>10496.900000000001</v>
      </c>
      <c r="F119" s="24" t="s">
        <v>288</v>
      </c>
      <c r="G119" s="24" t="s">
        <v>288</v>
      </c>
    </row>
    <row r="120" spans="1:7" x14ac:dyDescent="0.2">
      <c r="A120" t="s">
        <v>210</v>
      </c>
      <c r="B120" s="32" t="s">
        <v>211</v>
      </c>
      <c r="C120" s="95">
        <f>('DOE25'!L204)+('DOE25'!L222)+('DOE25'!L240)</f>
        <v>166955.88</v>
      </c>
      <c r="D120" s="24" t="s">
        <v>288</v>
      </c>
      <c r="E120" s="95">
        <f>+('DOE25'!L283)+('DOE25'!L302)+('DOE25'!L321)</f>
        <v>0</v>
      </c>
      <c r="F120" s="24" t="s">
        <v>288</v>
      </c>
      <c r="G120" s="24" t="s">
        <v>288</v>
      </c>
    </row>
    <row r="121" spans="1:7" x14ac:dyDescent="0.2">
      <c r="A121" t="s">
        <v>212</v>
      </c>
      <c r="B121" s="32" t="s">
        <v>213</v>
      </c>
      <c r="C121" s="95">
        <f>('DOE25'!L205)+('DOE25'!L223)+('DOE25'!L241)</f>
        <v>221587.82000000004</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243305.29</v>
      </c>
      <c r="D123" s="24" t="s">
        <v>288</v>
      </c>
      <c r="E123" s="95">
        <f>+('DOE25'!L286)+('DOE25'!L305)+('DOE25'!L324)</f>
        <v>0</v>
      </c>
      <c r="F123" s="24" t="s">
        <v>288</v>
      </c>
      <c r="G123" s="24" t="s">
        <v>288</v>
      </c>
    </row>
    <row r="124" spans="1:7" x14ac:dyDescent="0.2">
      <c r="A124" t="s">
        <v>218</v>
      </c>
      <c r="B124" s="32" t="s">
        <v>219</v>
      </c>
      <c r="C124" s="95">
        <f>('DOE25'!L208)+('DOE25'!L226)+('DOE25'!L244+'DOE25'!L254)</f>
        <v>317568.7</v>
      </c>
      <c r="D124" s="24" t="s">
        <v>288</v>
      </c>
      <c r="E124" s="95">
        <f>+('DOE25'!L287)+('DOE25'!L306)+('DOE25'!L325)</f>
        <v>4500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79357.63</v>
      </c>
      <c r="E127" s="24" t="s">
        <v>288</v>
      </c>
      <c r="F127" s="24" t="s">
        <v>288</v>
      </c>
      <c r="G127" s="24" t="s">
        <v>288</v>
      </c>
    </row>
    <row r="128" spans="1:7" ht="12.75" thickTop="1" thickBot="1" x14ac:dyDescent="0.25">
      <c r="A128" s="33" t="s">
        <v>226</v>
      </c>
      <c r="C128" s="86">
        <f>SUM(C118:C127)</f>
        <v>1499639.08</v>
      </c>
      <c r="D128" s="86">
        <f>SUM(D118:D127)</f>
        <v>79357.63</v>
      </c>
      <c r="E128" s="86">
        <f>SUM(E118:E127)</f>
        <v>14996.900000000001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1703604.19</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54305.66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422205.54000000004</v>
      </c>
    </row>
    <row r="135" spans="1:7" x14ac:dyDescent="0.2">
      <c r="A135" t="s">
        <v>233</v>
      </c>
      <c r="B135" s="32" t="s">
        <v>234</v>
      </c>
      <c r="C135" s="95">
        <f>'DOE25'!L263</f>
        <v>530.65</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250794.14</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-9794.140000000014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295836.31</v>
      </c>
      <c r="D144" s="141">
        <f>SUM(D130:D143)</f>
        <v>0</v>
      </c>
      <c r="E144" s="141">
        <f>SUM(E130:E143)</f>
        <v>0</v>
      </c>
      <c r="F144" s="141">
        <f>SUM(F130:F143)</f>
        <v>1703604.19</v>
      </c>
      <c r="G144" s="141">
        <f>SUM(G130:G143)</f>
        <v>422205.54000000004</v>
      </c>
    </row>
    <row r="145" spans="1:9" ht="12.75" thickTop="1" thickBot="1" x14ac:dyDescent="0.25">
      <c r="A145" s="33" t="s">
        <v>244</v>
      </c>
      <c r="C145" s="86">
        <f>(C115+C128+C144)</f>
        <v>7079275.7199999997</v>
      </c>
      <c r="D145" s="86">
        <f>(D115+D128+D144)</f>
        <v>79357.63</v>
      </c>
      <c r="E145" s="86">
        <f>(E115+E128+E144)</f>
        <v>125624.31999999998</v>
      </c>
      <c r="F145" s="86">
        <f>(F115+F128+F144)</f>
        <v>1703604.19</v>
      </c>
      <c r="G145" s="86">
        <f>(G115+G128+G144)</f>
        <v>422205.54000000004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0</v>
      </c>
      <c r="D151" s="153">
        <f>'DOE25'!H490</f>
        <v>0</v>
      </c>
      <c r="E151" s="153">
        <f>'DOE25'!I490</f>
        <v>0</v>
      </c>
      <c r="F151" s="153">
        <f>'DOE25'!J490</f>
        <v>0</v>
      </c>
      <c r="G151" s="24" t="s">
        <v>288</v>
      </c>
    </row>
    <row r="152" spans="1:9" x14ac:dyDescent="0.2">
      <c r="A152" s="136" t="s">
        <v>28</v>
      </c>
      <c r="B152" s="152" t="str">
        <f>'DOE25'!F491</f>
        <v>06/13/2018</v>
      </c>
      <c r="C152" s="152">
        <f>'DOE25'!G491</f>
        <v>0</v>
      </c>
      <c r="D152" s="152">
        <f>'DOE25'!H491</f>
        <v>0</v>
      </c>
      <c r="E152" s="152">
        <f>'DOE25'!I491</f>
        <v>0</v>
      </c>
      <c r="F152" s="152">
        <f>'DOE25'!J491</f>
        <v>0</v>
      </c>
      <c r="G152" s="24" t="s">
        <v>288</v>
      </c>
    </row>
    <row r="153" spans="1:9" x14ac:dyDescent="0.2">
      <c r="A153" s="136" t="s">
        <v>29</v>
      </c>
      <c r="B153" s="152" t="str">
        <f>'DOE25'!F492</f>
        <v>08/15/2028</v>
      </c>
      <c r="C153" s="152">
        <f>'DOE25'!G492</f>
        <v>0</v>
      </c>
      <c r="D153" s="152">
        <f>'DOE25'!H492</f>
        <v>0</v>
      </c>
      <c r="E153" s="152">
        <f>'DOE25'!I492</f>
        <v>0</v>
      </c>
      <c r="F153" s="152">
        <f>'DOE25'!J492</f>
        <v>0</v>
      </c>
      <c r="G153" s="24" t="s">
        <v>288</v>
      </c>
    </row>
    <row r="154" spans="1:9" x14ac:dyDescent="0.2">
      <c r="A154" s="136" t="s">
        <v>30</v>
      </c>
      <c r="B154" s="137">
        <f>'DOE25'!F493</f>
        <v>1790000</v>
      </c>
      <c r="C154" s="137">
        <f>'DOE25'!G493</f>
        <v>0</v>
      </c>
      <c r="D154" s="137">
        <f>'DOE25'!H493</f>
        <v>0</v>
      </c>
      <c r="E154" s="137">
        <f>'DOE25'!I493</f>
        <v>0</v>
      </c>
      <c r="F154" s="137">
        <f>'DOE25'!J493</f>
        <v>0</v>
      </c>
      <c r="G154" s="24" t="s">
        <v>288</v>
      </c>
    </row>
    <row r="155" spans="1:9" x14ac:dyDescent="0.2">
      <c r="A155" s="136" t="s">
        <v>31</v>
      </c>
      <c r="B155" s="137">
        <f>'DOE25'!F494</f>
        <v>2.56</v>
      </c>
      <c r="C155" s="137">
        <f>'DOE25'!G494</f>
        <v>0</v>
      </c>
      <c r="D155" s="137">
        <f>'DOE25'!H494</f>
        <v>0</v>
      </c>
      <c r="E155" s="137">
        <f>'DOE25'!I494</f>
        <v>0</v>
      </c>
      <c r="F155" s="137">
        <f>'DOE25'!J494</f>
        <v>0</v>
      </c>
      <c r="G155" s="24" t="s">
        <v>288</v>
      </c>
    </row>
    <row r="156" spans="1:9" x14ac:dyDescent="0.2">
      <c r="A156" s="22" t="s">
        <v>32</v>
      </c>
      <c r="B156" s="137">
        <f>'DOE25'!F495</f>
        <v>1584025</v>
      </c>
      <c r="C156" s="137">
        <f>'DOE25'!G495</f>
        <v>0</v>
      </c>
      <c r="D156" s="137">
        <f>'DOE25'!H495</f>
        <v>0</v>
      </c>
      <c r="E156" s="137">
        <f>'DOE25'!I495</f>
        <v>0</v>
      </c>
      <c r="F156" s="137">
        <f>'DOE25'!J495</f>
        <v>0</v>
      </c>
      <c r="G156" s="138">
        <f>SUM(B156:F156)</f>
        <v>1584025</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1584025</v>
      </c>
      <c r="C159" s="137">
        <f>'DOE25'!G498</f>
        <v>0</v>
      </c>
      <c r="D159" s="137">
        <f>'DOE25'!H498</f>
        <v>0</v>
      </c>
      <c r="E159" s="137">
        <f>'DOE25'!I498</f>
        <v>0</v>
      </c>
      <c r="F159" s="137">
        <f>'DOE25'!J498</f>
        <v>0</v>
      </c>
      <c r="G159" s="138">
        <f t="shared" si="0"/>
        <v>1584025</v>
      </c>
    </row>
    <row r="160" spans="1:9" x14ac:dyDescent="0.2">
      <c r="A160" s="22" t="s">
        <v>36</v>
      </c>
      <c r="B160" s="137">
        <f>'DOE25'!F499</f>
        <v>401472.64</v>
      </c>
      <c r="C160" s="137">
        <f>'DOE25'!G499</f>
        <v>0</v>
      </c>
      <c r="D160" s="137">
        <f>'DOE25'!H499</f>
        <v>0</v>
      </c>
      <c r="E160" s="137">
        <f>'DOE25'!I499</f>
        <v>0</v>
      </c>
      <c r="F160" s="137">
        <f>'DOE25'!J499</f>
        <v>0</v>
      </c>
      <c r="G160" s="138">
        <f t="shared" si="0"/>
        <v>401472.64</v>
      </c>
    </row>
    <row r="161" spans="1:7" x14ac:dyDescent="0.2">
      <c r="A161" s="22" t="s">
        <v>37</v>
      </c>
      <c r="B161" s="137">
        <f>'DOE25'!F500</f>
        <v>1985497.6400000001</v>
      </c>
      <c r="C161" s="137">
        <f>'DOE25'!G500</f>
        <v>0</v>
      </c>
      <c r="D161" s="137">
        <f>'DOE25'!H500</f>
        <v>0</v>
      </c>
      <c r="E161" s="137">
        <f>'DOE25'!I500</f>
        <v>0</v>
      </c>
      <c r="F161" s="137">
        <f>'DOE25'!J500</f>
        <v>0</v>
      </c>
      <c r="G161" s="138">
        <f t="shared" si="0"/>
        <v>1985497.6400000001</v>
      </c>
    </row>
    <row r="162" spans="1:7" x14ac:dyDescent="0.2">
      <c r="A162" s="22" t="s">
        <v>38</v>
      </c>
      <c r="B162" s="137">
        <f>'DOE25'!F501</f>
        <v>159025</v>
      </c>
      <c r="C162" s="137">
        <f>'DOE25'!G501</f>
        <v>0</v>
      </c>
      <c r="D162" s="137">
        <f>'DOE25'!H501</f>
        <v>0</v>
      </c>
      <c r="E162" s="137">
        <f>'DOE25'!I501</f>
        <v>0</v>
      </c>
      <c r="F162" s="137">
        <f>'DOE25'!J501</f>
        <v>0</v>
      </c>
      <c r="G162" s="138">
        <f t="shared" si="0"/>
        <v>159025</v>
      </c>
    </row>
    <row r="163" spans="1:7" x14ac:dyDescent="0.2">
      <c r="A163" s="22" t="s">
        <v>39</v>
      </c>
      <c r="B163" s="137">
        <f>'DOE25'!F502</f>
        <v>76730.14</v>
      </c>
      <c r="C163" s="137">
        <f>'DOE25'!G502</f>
        <v>0</v>
      </c>
      <c r="D163" s="137">
        <f>'DOE25'!H502</f>
        <v>0</v>
      </c>
      <c r="E163" s="137">
        <f>'DOE25'!I502</f>
        <v>0</v>
      </c>
      <c r="F163" s="137">
        <f>'DOE25'!J502</f>
        <v>0</v>
      </c>
      <c r="G163" s="138">
        <f t="shared" si="0"/>
        <v>76730.14</v>
      </c>
    </row>
    <row r="164" spans="1:7" x14ac:dyDescent="0.2">
      <c r="A164" s="22" t="s">
        <v>246</v>
      </c>
      <c r="B164" s="137">
        <f>'DOE25'!F503</f>
        <v>235755.14</v>
      </c>
      <c r="C164" s="137">
        <f>'DOE25'!G503</f>
        <v>0</v>
      </c>
      <c r="D164" s="137">
        <f>'DOE25'!H503</f>
        <v>0</v>
      </c>
      <c r="E164" s="137">
        <f>'DOE25'!I503</f>
        <v>0</v>
      </c>
      <c r="F164" s="137">
        <f>'DOE25'!J503</f>
        <v>0</v>
      </c>
      <c r="G164" s="138">
        <f t="shared" si="0"/>
        <v>235755.14</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DUNBARTON SCHOOL DISTRICT</v>
      </c>
    </row>
    <row r="3" spans="1:4" x14ac:dyDescent="0.2">
      <c r="B3" s="188" t="s">
        <v>1602</v>
      </c>
    </row>
    <row r="4" spans="1:4" x14ac:dyDescent="0.2">
      <c r="B4" t="s">
        <v>61</v>
      </c>
      <c r="C4" s="179">
        <f>IF('DOE25'!F665+'DOE25'!F670=0,0,ROUND('DOE25'!F672,0))</f>
        <v>14215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14215</v>
      </c>
    </row>
    <row r="9" spans="1:4" x14ac:dyDescent="0.2">
      <c r="A9" s="187" t="s">
        <v>94</v>
      </c>
      <c r="B9" s="188" t="s">
        <v>1603</v>
      </c>
      <c r="C9" s="181" t="s">
        <v>720</v>
      </c>
      <c r="D9" s="181" t="s">
        <v>721</v>
      </c>
    </row>
    <row r="10" spans="1:4" x14ac:dyDescent="0.2">
      <c r="A10">
        <v>1100</v>
      </c>
      <c r="B10" t="s">
        <v>702</v>
      </c>
      <c r="C10" s="179">
        <f>ROUND('DOE25'!L197+'DOE25'!L215+'DOE25'!L233+'DOE25'!L276+'DOE25'!L295+'DOE25'!L314,0)</f>
        <v>4316070</v>
      </c>
      <c r="D10" s="182">
        <f>ROUND((C10/$C$28)*100,1)</f>
        <v>61.8</v>
      </c>
    </row>
    <row r="11" spans="1:4" x14ac:dyDescent="0.2">
      <c r="A11">
        <v>1200</v>
      </c>
      <c r="B11" t="s">
        <v>703</v>
      </c>
      <c r="C11" s="179">
        <f>ROUND('DOE25'!L198+'DOE25'!L216+'DOE25'!L234+'DOE25'!L277+'DOE25'!L296+'DOE25'!L315,0)</f>
        <v>1061996</v>
      </c>
      <c r="D11" s="182">
        <f>ROUND((C11/$C$28)*100,1)</f>
        <v>15.2</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16361</v>
      </c>
      <c r="D13" s="182">
        <f>ROUND((C13/$C$28)*100,1)</f>
        <v>0.2</v>
      </c>
    </row>
    <row r="14" spans="1:4" x14ac:dyDescent="0.2">
      <c r="D14" s="182"/>
    </row>
    <row r="15" spans="1:4" x14ac:dyDescent="0.2">
      <c r="A15">
        <v>2100</v>
      </c>
      <c r="B15" t="s">
        <v>706</v>
      </c>
      <c r="C15" s="179">
        <f>ROUND('DOE25'!L202+'DOE25'!L220+'DOE25'!L238+'DOE25'!L281+'DOE25'!L300+'DOE25'!L319,0)</f>
        <v>419750</v>
      </c>
      <c r="D15" s="182">
        <f t="shared" ref="D15:D27" si="0">ROUND((C15/$C$28)*100,1)</f>
        <v>6</v>
      </c>
    </row>
    <row r="16" spans="1:4" x14ac:dyDescent="0.2">
      <c r="A16">
        <v>2200</v>
      </c>
      <c r="B16" t="s">
        <v>707</v>
      </c>
      <c r="C16" s="179">
        <f>ROUND('DOE25'!L203+'DOE25'!L221+'DOE25'!L239+'DOE25'!L282+'DOE25'!L301+'DOE25'!L320,0)</f>
        <v>140968</v>
      </c>
      <c r="D16" s="182">
        <f t="shared" si="0"/>
        <v>2</v>
      </c>
    </row>
    <row r="17" spans="1:4" x14ac:dyDescent="0.2">
      <c r="A17" s="183" t="s">
        <v>723</v>
      </c>
      <c r="B17" t="s">
        <v>738</v>
      </c>
      <c r="C17" s="179">
        <f>ROUND('DOE25'!L204+'DOE25'!L209+'DOE25'!L222+'DOE25'!L227+'DOE25'!L240+'DOE25'!L245+'DOE25'!L283+'DOE25'!L288+'DOE25'!L302+'DOE25'!L307+'DOE25'!L321+'DOE25'!L326,0)</f>
        <v>166956</v>
      </c>
      <c r="D17" s="182">
        <f t="shared" si="0"/>
        <v>2.4</v>
      </c>
    </row>
    <row r="18" spans="1:4" x14ac:dyDescent="0.2">
      <c r="A18">
        <v>2400</v>
      </c>
      <c r="B18" t="s">
        <v>711</v>
      </c>
      <c r="C18" s="179">
        <f>ROUND('DOE25'!L205+'DOE25'!L223+'DOE25'!L241+'DOE25'!L284+'DOE25'!L303+'DOE25'!L322,0)</f>
        <v>221588</v>
      </c>
      <c r="D18" s="182">
        <f t="shared" si="0"/>
        <v>3.2</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243305</v>
      </c>
      <c r="D20" s="182">
        <f t="shared" si="0"/>
        <v>3.5</v>
      </c>
    </row>
    <row r="21" spans="1:4" x14ac:dyDescent="0.2">
      <c r="A21">
        <v>2700</v>
      </c>
      <c r="B21" t="s">
        <v>710</v>
      </c>
      <c r="C21" s="179">
        <f>ROUND('DOE25'!L208+'DOE25'!L226+'DOE25'!L244+'DOE25'!L287+'DOE25'!L306+'DOE25'!L325,0)</f>
        <v>322069</v>
      </c>
      <c r="D21" s="182">
        <f t="shared" si="0"/>
        <v>4.5999999999999996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54306</v>
      </c>
      <c r="D25" s="182">
        <f t="shared" si="0"/>
        <v>0.8</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24541.059999999998</v>
      </c>
      <c r="D27" s="182">
        <f t="shared" si="0"/>
        <v>0.4</v>
      </c>
    </row>
    <row r="28" spans="1:4" x14ac:dyDescent="0.2">
      <c r="B28" s="187" t="s">
        <v>719</v>
      </c>
      <c r="C28" s="180">
        <f>SUM(C10:C27)</f>
        <v>6987910.0599999996</v>
      </c>
      <c r="D28" s="184">
        <f>ROUND(SUM(D10:D27),0)</f>
        <v>100</v>
      </c>
    </row>
    <row r="29" spans="1:4" x14ac:dyDescent="0.2">
      <c r="A29">
        <v>4000</v>
      </c>
      <c r="B29" t="s">
        <v>724</v>
      </c>
      <c r="C29" s="179">
        <f>ROUND('DOE25'!L255+'DOE25'!L336+'DOE25'!L374+'DOE25'!L375+'DOE25'!L376+'DOE25'!L377+'DOE25'!L378+'DOE25'!L379+'DOE25'!L380,0)</f>
        <v>1703604</v>
      </c>
    </row>
    <row r="30" spans="1:4" x14ac:dyDescent="0.2">
      <c r="B30" s="187" t="s">
        <v>725</v>
      </c>
      <c r="C30" s="180">
        <f>SUM(C28:C29)</f>
        <v>8691514.0599999987</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3866194</v>
      </c>
      <c r="D35" s="182">
        <f t="shared" ref="D35:D40" si="1">ROUND((C35/$C$41)*100,1)</f>
        <v>65.5</v>
      </c>
    </row>
    <row r="36" spans="1:4" x14ac:dyDescent="0.2">
      <c r="B36" s="185" t="s">
        <v>739</v>
      </c>
      <c r="C36" s="179">
        <f>SUM('DOE25'!F112:J112)-SUM('DOE25'!G97:G110)+('DOE25'!F174+'DOE25'!F175+'DOE25'!I174+'DOE25'!I175)-C35</f>
        <v>11965.939999999944</v>
      </c>
      <c r="D36" s="182">
        <f t="shared" si="1"/>
        <v>0.2</v>
      </c>
    </row>
    <row r="37" spans="1:4" x14ac:dyDescent="0.2">
      <c r="A37" s="183" t="s">
        <v>835</v>
      </c>
      <c r="B37" s="185" t="s">
        <v>728</v>
      </c>
      <c r="C37" s="179">
        <f>ROUND('DOE25'!F117+'DOE25'!F118,0)</f>
        <v>1689398</v>
      </c>
      <c r="D37" s="182">
        <f t="shared" si="1"/>
        <v>28.6</v>
      </c>
    </row>
    <row r="38" spans="1:4" x14ac:dyDescent="0.2">
      <c r="A38" s="183" t="s">
        <v>734</v>
      </c>
      <c r="B38" s="185" t="s">
        <v>729</v>
      </c>
      <c r="C38" s="179">
        <f>ROUND(SUM('DOE25'!F140:J140)-SUM('DOE25'!F117:F119),0)</f>
        <v>120978</v>
      </c>
      <c r="D38" s="182">
        <f t="shared" si="1"/>
        <v>2</v>
      </c>
    </row>
    <row r="39" spans="1:4" x14ac:dyDescent="0.2">
      <c r="A39">
        <v>4000</v>
      </c>
      <c r="B39" s="185" t="s">
        <v>730</v>
      </c>
      <c r="C39" s="179">
        <f>ROUND('DOE25'!F169+'DOE25'!G169+'DOE25'!H169+'DOE25'!I169,0)</f>
        <v>217251</v>
      </c>
      <c r="D39" s="182">
        <f t="shared" si="1"/>
        <v>3.7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5905786.9399999995</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DUNBARTON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2019-08-26T18:21:23Z</cp:lastPrinted>
  <dcterms:created xsi:type="dcterms:W3CDTF">1997-12-04T19:04:30Z</dcterms:created>
  <dcterms:modified xsi:type="dcterms:W3CDTF">2019-11-22T14:36:00Z</dcterms:modified>
</cp:coreProperties>
</file>