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591" i="1" l="1"/>
  <c r="G439"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C111" i="2" s="1"/>
  <c r="L200" i="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L243" i="1"/>
  <c r="G15" i="13"/>
  <c r="H15" i="13"/>
  <c r="L208" i="1"/>
  <c r="F662" i="1" s="1"/>
  <c r="L226" i="1"/>
  <c r="L244" i="1"/>
  <c r="G651" i="1" s="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I25" i="13" s="1"/>
  <c r="C25" i="13" s="1"/>
  <c r="L341" i="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C57" i="2" s="1"/>
  <c r="F94" i="1"/>
  <c r="F111" i="1"/>
  <c r="G111" i="1"/>
  <c r="G112" i="1" s="1"/>
  <c r="H79" i="1"/>
  <c r="H112" i="1" s="1"/>
  <c r="H94" i="1"/>
  <c r="H111" i="1"/>
  <c r="I111" i="1"/>
  <c r="I112" i="1" s="1"/>
  <c r="J111" i="1"/>
  <c r="F121" i="1"/>
  <c r="F136" i="1"/>
  <c r="G121" i="1"/>
  <c r="G136" i="1"/>
  <c r="H121" i="1"/>
  <c r="H136" i="1"/>
  <c r="I121" i="1"/>
  <c r="I136" i="1"/>
  <c r="J121" i="1"/>
  <c r="J136" i="1"/>
  <c r="F147" i="1"/>
  <c r="F162" i="1"/>
  <c r="G147" i="1"/>
  <c r="G162" i="1"/>
  <c r="H147" i="1"/>
  <c r="E85" i="2" s="1"/>
  <c r="H162" i="1"/>
  <c r="H169" i="1" s="1"/>
  <c r="I147" i="1"/>
  <c r="I162" i="1"/>
  <c r="C11" i="10"/>
  <c r="C12" i="10"/>
  <c r="L250" i="1"/>
  <c r="L332" i="1"/>
  <c r="L254" i="1"/>
  <c r="C25" i="10"/>
  <c r="L268" i="1"/>
  <c r="L269" i="1"/>
  <c r="L349" i="1"/>
  <c r="L350" i="1"/>
  <c r="E143" i="2" s="1"/>
  <c r="I665" i="1"/>
  <c r="I670" i="1"/>
  <c r="H662" i="1"/>
  <c r="I669" i="1"/>
  <c r="C42" i="10"/>
  <c r="L374" i="1"/>
  <c r="L375" i="1"/>
  <c r="L376" i="1"/>
  <c r="F130" i="2" s="1"/>
  <c r="L377" i="1"/>
  <c r="L378" i="1"/>
  <c r="L379" i="1"/>
  <c r="L380" i="1"/>
  <c r="B2" i="10"/>
  <c r="L344" i="1"/>
  <c r="L345" i="1"/>
  <c r="L346" i="1"/>
  <c r="E137" i="2" s="1"/>
  <c r="L347" i="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I552" i="1" s="1"/>
  <c r="L537" i="1"/>
  <c r="I550" i="1" s="1"/>
  <c r="L538" i="1"/>
  <c r="I551" i="1" s="1"/>
  <c r="L541" i="1"/>
  <c r="J549" i="1" s="1"/>
  <c r="L542" i="1"/>
  <c r="J550" i="1" s="1"/>
  <c r="J552" i="1" s="1"/>
  <c r="L543" i="1"/>
  <c r="J551" i="1" s="1"/>
  <c r="E132" i="2"/>
  <c r="E131" i="2"/>
  <c r="K270" i="1"/>
  <c r="J270" i="1"/>
  <c r="I270" i="1"/>
  <c r="H270" i="1"/>
  <c r="G270" i="1"/>
  <c r="L270" i="1" s="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G81" i="2" s="1"/>
  <c r="C79" i="2"/>
  <c r="D79" i="2"/>
  <c r="E79" i="2"/>
  <c r="C80" i="2"/>
  <c r="E80" i="2"/>
  <c r="D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E110" i="2"/>
  <c r="E111" i="2"/>
  <c r="C112" i="2"/>
  <c r="C113" i="2"/>
  <c r="E113" i="2"/>
  <c r="D115" i="2"/>
  <c r="F115" i="2"/>
  <c r="G115" i="2"/>
  <c r="E119" i="2"/>
  <c r="E120" i="2"/>
  <c r="E123" i="2"/>
  <c r="E124" i="2"/>
  <c r="F128" i="2"/>
  <c r="G128" i="2"/>
  <c r="E130" i="2"/>
  <c r="D134" i="2"/>
  <c r="D144" i="2" s="1"/>
  <c r="E134" i="2"/>
  <c r="F134" i="2"/>
  <c r="K419" i="1"/>
  <c r="K427" i="1"/>
  <c r="K433" i="1"/>
  <c r="L263" i="1"/>
  <c r="C135" i="2" s="1"/>
  <c r="E135" i="2"/>
  <c r="L264" i="1"/>
  <c r="C136" i="2" s="1"/>
  <c r="L265" i="1"/>
  <c r="C137" i="2" s="1"/>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I19" i="1"/>
  <c r="G620" i="1" s="1"/>
  <c r="F32" i="1"/>
  <c r="F52" i="1" s="1"/>
  <c r="H617" i="1" s="1"/>
  <c r="G32" i="1"/>
  <c r="H32" i="1"/>
  <c r="I32" i="1"/>
  <c r="G52" i="1"/>
  <c r="H618" i="1" s="1"/>
  <c r="H51" i="1"/>
  <c r="H52" i="1" s="1"/>
  <c r="H619" i="1" s="1"/>
  <c r="I51" i="1"/>
  <c r="I52" i="1" s="1"/>
  <c r="H620" i="1" s="1"/>
  <c r="F177" i="1"/>
  <c r="I177" i="1"/>
  <c r="F183" i="1"/>
  <c r="G183" i="1"/>
  <c r="H183" i="1"/>
  <c r="H192" i="1" s="1"/>
  <c r="I183" i="1"/>
  <c r="J183" i="1"/>
  <c r="J192" i="1" s="1"/>
  <c r="F188" i="1"/>
  <c r="G188" i="1"/>
  <c r="G192" i="1" s="1"/>
  <c r="H188" i="1"/>
  <c r="I188" i="1"/>
  <c r="F211" i="1"/>
  <c r="G211" i="1"/>
  <c r="H211" i="1"/>
  <c r="I211" i="1"/>
  <c r="J211" i="1"/>
  <c r="K211" i="1"/>
  <c r="K257" i="1" s="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F461" i="1" s="1"/>
  <c r="H639" i="1" s="1"/>
  <c r="G452" i="1"/>
  <c r="G461" i="1" s="1"/>
  <c r="H640" i="1" s="1"/>
  <c r="H452" i="1"/>
  <c r="F460" i="1"/>
  <c r="G460" i="1"/>
  <c r="H460" i="1"/>
  <c r="H461" i="1"/>
  <c r="H641" i="1" s="1"/>
  <c r="J641" i="1" s="1"/>
  <c r="F470" i="1"/>
  <c r="G470" i="1"/>
  <c r="H470" i="1"/>
  <c r="I470" i="1"/>
  <c r="I476" i="1" s="1"/>
  <c r="H625" i="1" s="1"/>
  <c r="J470" i="1"/>
  <c r="F474" i="1"/>
  <c r="F476" i="1" s="1"/>
  <c r="H622" i="1" s="1"/>
  <c r="G474" i="1"/>
  <c r="H474" i="1"/>
  <c r="H476" i="1" s="1"/>
  <c r="H624" i="1" s="1"/>
  <c r="J624" i="1" s="1"/>
  <c r="I474" i="1"/>
  <c r="J474" i="1"/>
  <c r="J476" i="1" s="1"/>
  <c r="H626" i="1" s="1"/>
  <c r="K495" i="1"/>
  <c r="K496" i="1"/>
  <c r="K497" i="1"/>
  <c r="K498" i="1"/>
  <c r="K499" i="1"/>
  <c r="K500" i="1"/>
  <c r="K501" i="1"/>
  <c r="K502" i="1"/>
  <c r="F517" i="1"/>
  <c r="G517" i="1"/>
  <c r="H517" i="1"/>
  <c r="I517" i="1"/>
  <c r="F524" i="1"/>
  <c r="G524" i="1"/>
  <c r="H524" i="1"/>
  <c r="I524" i="1"/>
  <c r="J524" i="1"/>
  <c r="K524" i="1"/>
  <c r="F529" i="1"/>
  <c r="G529" i="1"/>
  <c r="H529" i="1"/>
  <c r="I529" i="1"/>
  <c r="J529" i="1"/>
  <c r="K529" i="1"/>
  <c r="F534" i="1"/>
  <c r="G534" i="1"/>
  <c r="H534" i="1"/>
  <c r="I534" i="1"/>
  <c r="J534" i="1"/>
  <c r="K534" i="1"/>
  <c r="L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L614" i="1"/>
  <c r="G618" i="1"/>
  <c r="G619" i="1"/>
  <c r="G622" i="1"/>
  <c r="G623" i="1"/>
  <c r="G624" i="1"/>
  <c r="H627" i="1"/>
  <c r="H628" i="1"/>
  <c r="H629" i="1"/>
  <c r="H630" i="1"/>
  <c r="H631" i="1"/>
  <c r="H632" i="1"/>
  <c r="H633" i="1"/>
  <c r="H634" i="1"/>
  <c r="H635" i="1"/>
  <c r="H636" i="1"/>
  <c r="H637" i="1"/>
  <c r="H638" i="1"/>
  <c r="G641" i="1"/>
  <c r="G643" i="1"/>
  <c r="H643" i="1"/>
  <c r="G644" i="1"/>
  <c r="G645" i="1"/>
  <c r="G650" i="1"/>
  <c r="G652" i="1"/>
  <c r="H652" i="1"/>
  <c r="G653" i="1"/>
  <c r="H653" i="1"/>
  <c r="G654" i="1"/>
  <c r="H654" i="1"/>
  <c r="H655" i="1"/>
  <c r="F192" i="1"/>
  <c r="F78" i="2"/>
  <c r="F81" i="2" s="1"/>
  <c r="G62" i="2"/>
  <c r="E78" i="2"/>
  <c r="L433" i="1"/>
  <c r="I169" i="1"/>
  <c r="G476" i="1"/>
  <c r="H623" i="1" s="1"/>
  <c r="J623" i="1" s="1"/>
  <c r="G338" i="1"/>
  <c r="G352" i="1" s="1"/>
  <c r="J140" i="1"/>
  <c r="F571" i="1"/>
  <c r="H552" i="1"/>
  <c r="H140" i="1"/>
  <c r="F338" i="1"/>
  <c r="F352" i="1" s="1"/>
  <c r="L570" i="1"/>
  <c r="K551" i="1"/>
  <c r="J112" i="1" l="1"/>
  <c r="L351" i="1"/>
  <c r="K571" i="1"/>
  <c r="L560" i="1"/>
  <c r="J545" i="1"/>
  <c r="L427" i="1"/>
  <c r="L419" i="1"/>
  <c r="L434" i="1" s="1"/>
  <c r="G638" i="1" s="1"/>
  <c r="J638" i="1" s="1"/>
  <c r="L256" i="1"/>
  <c r="G161" i="2"/>
  <c r="G156" i="2"/>
  <c r="E57" i="2"/>
  <c r="E62" i="2" s="1"/>
  <c r="E63" i="2" s="1"/>
  <c r="D50" i="2"/>
  <c r="D51" i="2" s="1"/>
  <c r="D31" i="2"/>
  <c r="F18" i="2"/>
  <c r="D18" i="2"/>
  <c r="F169" i="1"/>
  <c r="A31" i="12"/>
  <c r="A40" i="12"/>
  <c r="C29" i="10"/>
  <c r="L328" i="1"/>
  <c r="E125" i="2"/>
  <c r="E121" i="2"/>
  <c r="C13" i="10"/>
  <c r="G661" i="1"/>
  <c r="D19" i="13"/>
  <c r="C19" i="13" s="1"/>
  <c r="C18" i="10"/>
  <c r="C125" i="2"/>
  <c r="J655" i="1"/>
  <c r="K598" i="1"/>
  <c r="G647" i="1" s="1"/>
  <c r="K545" i="1"/>
  <c r="G545" i="1"/>
  <c r="I452" i="1"/>
  <c r="D81" i="2"/>
  <c r="D62" i="2"/>
  <c r="D63" i="2" s="1"/>
  <c r="C132" i="2"/>
  <c r="F112" i="1"/>
  <c r="C36" i="10" s="1"/>
  <c r="C119" i="2"/>
  <c r="J643" i="1"/>
  <c r="I545" i="1"/>
  <c r="D91" i="2"/>
  <c r="C122" i="2"/>
  <c r="I460" i="1"/>
  <c r="I446" i="1"/>
  <c r="G642" i="1" s="1"/>
  <c r="J617" i="1"/>
  <c r="J651" i="1"/>
  <c r="H545" i="1"/>
  <c r="F552" i="1"/>
  <c r="K550" i="1"/>
  <c r="J640" i="1"/>
  <c r="J639" i="1"/>
  <c r="G408" i="1"/>
  <c r="H645" i="1" s="1"/>
  <c r="J645" i="1" s="1"/>
  <c r="L401" i="1"/>
  <c r="C139" i="2" s="1"/>
  <c r="H408" i="1"/>
  <c r="H644" i="1" s="1"/>
  <c r="J644" i="1" s="1"/>
  <c r="L393" i="1"/>
  <c r="C138" i="2" s="1"/>
  <c r="J257" i="1"/>
  <c r="J271" i="1" s="1"/>
  <c r="C15" i="10"/>
  <c r="C19" i="10"/>
  <c r="D14" i="13"/>
  <c r="C14" i="13" s="1"/>
  <c r="G649" i="1"/>
  <c r="J649" i="1" s="1"/>
  <c r="C123" i="2"/>
  <c r="C118" i="2"/>
  <c r="L211" i="1"/>
  <c r="C17" i="10"/>
  <c r="I257" i="1"/>
  <c r="I271" i="1" s="1"/>
  <c r="C21" i="10"/>
  <c r="F257" i="1"/>
  <c r="F271" i="1" s="1"/>
  <c r="C120" i="2"/>
  <c r="L247" i="1"/>
  <c r="G36" i="14" s="1"/>
  <c r="H36" i="14" s="1"/>
  <c r="I36" i="14" s="1"/>
  <c r="H257" i="1"/>
  <c r="H271" i="1" s="1"/>
  <c r="G662" i="1"/>
  <c r="I662" i="1" s="1"/>
  <c r="H647" i="1"/>
  <c r="C124" i="2"/>
  <c r="C78" i="2"/>
  <c r="C81" i="2" s="1"/>
  <c r="C70" i="2"/>
  <c r="C35" i="10"/>
  <c r="J622" i="1"/>
  <c r="C18" i="2"/>
  <c r="G625" i="1"/>
  <c r="J625" i="1" s="1"/>
  <c r="L529" i="1"/>
  <c r="C130" i="2"/>
  <c r="E128" i="2"/>
  <c r="C114" i="2"/>
  <c r="C110" i="2"/>
  <c r="C62" i="2"/>
  <c r="C63" i="2" s="1"/>
  <c r="C32" i="10"/>
  <c r="F661" i="1"/>
  <c r="L362" i="1"/>
  <c r="C27" i="10" s="1"/>
  <c r="D18" i="13"/>
  <c r="C18" i="13" s="1"/>
  <c r="D15" i="13"/>
  <c r="C15" i="13" s="1"/>
  <c r="D6" i="13"/>
  <c r="C6" i="13" s="1"/>
  <c r="E13" i="13"/>
  <c r="C13" i="13" s="1"/>
  <c r="L539" i="1"/>
  <c r="K503" i="1"/>
  <c r="L382" i="1"/>
  <c r="G636" i="1" s="1"/>
  <c r="J636" i="1" s="1"/>
  <c r="K338" i="1"/>
  <c r="K352" i="1" s="1"/>
  <c r="G257" i="1"/>
  <c r="G271" i="1" s="1"/>
  <c r="C85" i="2"/>
  <c r="C91" i="2" s="1"/>
  <c r="F56" i="2"/>
  <c r="H661" i="1"/>
  <c r="C20" i="10"/>
  <c r="A13" i="12"/>
  <c r="D29" i="13"/>
  <c r="C29" i="13" s="1"/>
  <c r="D12" i="13"/>
  <c r="C12" i="13" s="1"/>
  <c r="D5" i="13"/>
  <c r="C5" i="13" s="1"/>
  <c r="E8" i="13"/>
  <c r="H338" i="1"/>
  <c r="H352" i="1" s="1"/>
  <c r="G22" i="13"/>
  <c r="C22" i="13" s="1"/>
  <c r="K549" i="1"/>
  <c r="K552" i="1" s="1"/>
  <c r="I33" i="13"/>
  <c r="E81" i="2"/>
  <c r="L290" i="1"/>
  <c r="L338" i="1" s="1"/>
  <c r="L352" i="1" s="1"/>
  <c r="G633" i="1" s="1"/>
  <c r="J633" i="1" s="1"/>
  <c r="C26" i="10"/>
  <c r="K271" i="1"/>
  <c r="L544" i="1"/>
  <c r="L524" i="1"/>
  <c r="J338" i="1"/>
  <c r="J352" i="1" s="1"/>
  <c r="D127" i="2"/>
  <c r="D128" i="2" s="1"/>
  <c r="D145" i="2" s="1"/>
  <c r="E112" i="2"/>
  <c r="E115" i="2" s="1"/>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8" i="1"/>
  <c r="I352" i="1" s="1"/>
  <c r="J650" i="1"/>
  <c r="L407" i="1"/>
  <c r="C140" i="2" s="1"/>
  <c r="L571" i="1"/>
  <c r="I192" i="1"/>
  <c r="E91" i="2"/>
  <c r="J654" i="1"/>
  <c r="J653" i="1"/>
  <c r="F144" i="2"/>
  <c r="F145" i="2" s="1"/>
  <c r="G21" i="2"/>
  <c r="G31" i="2" s="1"/>
  <c r="J32" i="1"/>
  <c r="J434" i="1"/>
  <c r="F434" i="1"/>
  <c r="K434" i="1"/>
  <c r="G134" i="2" s="1"/>
  <c r="G144" i="2" s="1"/>
  <c r="G145" i="2" s="1"/>
  <c r="G31" i="13"/>
  <c r="J193" i="1"/>
  <c r="G646" i="1" s="1"/>
  <c r="H193" i="1"/>
  <c r="G629" i="1" s="1"/>
  <c r="J629" i="1" s="1"/>
  <c r="G169" i="1"/>
  <c r="C39" i="10" s="1"/>
  <c r="G140" i="1"/>
  <c r="F140" i="1"/>
  <c r="G63" i="2"/>
  <c r="J618" i="1"/>
  <c r="G42" i="2"/>
  <c r="J51" i="1"/>
  <c r="G16" i="2"/>
  <c r="G18" i="2" s="1"/>
  <c r="J19" i="1"/>
  <c r="G621" i="1" s="1"/>
  <c r="F545" i="1"/>
  <c r="H434" i="1"/>
  <c r="J620" i="1"/>
  <c r="J619" i="1"/>
  <c r="D103" i="2"/>
  <c r="I140" i="1"/>
  <c r="I193" i="1" s="1"/>
  <c r="G630" i="1" s="1"/>
  <c r="J630" i="1" s="1"/>
  <c r="A22" i="12"/>
  <c r="G50" i="2"/>
  <c r="J652" i="1"/>
  <c r="G571" i="1"/>
  <c r="I434" i="1"/>
  <c r="G434" i="1"/>
  <c r="E104" i="2"/>
  <c r="I663" i="1"/>
  <c r="J647" i="1" l="1"/>
  <c r="F104" i="2"/>
  <c r="H660" i="1"/>
  <c r="H664" i="1" s="1"/>
  <c r="H667" i="1" s="1"/>
  <c r="G635" i="1"/>
  <c r="J635" i="1" s="1"/>
  <c r="H648" i="1"/>
  <c r="J648" i="1" s="1"/>
  <c r="D104" i="2"/>
  <c r="F193" i="1"/>
  <c r="G627" i="1" s="1"/>
  <c r="J627" i="1" s="1"/>
  <c r="I661" i="1"/>
  <c r="G4" i="14"/>
  <c r="H4" i="14" s="1"/>
  <c r="I4" i="14" s="1"/>
  <c r="I461" i="1"/>
  <c r="H642" i="1" s="1"/>
  <c r="D31" i="13"/>
  <c r="C31" i="13" s="1"/>
  <c r="G51" i="2"/>
  <c r="G33" i="13"/>
  <c r="J642" i="1"/>
  <c r="C141" i="2"/>
  <c r="C144" i="2" s="1"/>
  <c r="L408" i="1"/>
  <c r="G637" i="1" s="1"/>
  <c r="J637" i="1" s="1"/>
  <c r="F660" i="1"/>
  <c r="F664" i="1" s="1"/>
  <c r="F672" i="1" s="1"/>
  <c r="C4" i="10" s="1"/>
  <c r="E33" i="13"/>
  <c r="D35" i="13" s="1"/>
  <c r="C8" i="13"/>
  <c r="C128" i="2"/>
  <c r="H672" i="1"/>
  <c r="C6" i="10" s="1"/>
  <c r="L257" i="1"/>
  <c r="L271" i="1" s="1"/>
  <c r="G632" i="1" s="1"/>
  <c r="J632" i="1" s="1"/>
  <c r="G104" i="2"/>
  <c r="C104" i="2"/>
  <c r="G660" i="1"/>
  <c r="G664" i="1" s="1"/>
  <c r="G672" i="1" s="1"/>
  <c r="C5" i="10" s="1"/>
  <c r="C115" i="2"/>
  <c r="L545" i="1"/>
  <c r="C28" i="10"/>
  <c r="D23" i="10" s="1"/>
  <c r="H24" i="14"/>
  <c r="I24" i="14" s="1"/>
  <c r="C51" i="2"/>
  <c r="G631" i="1"/>
  <c r="J631" i="1" s="1"/>
  <c r="G193" i="1"/>
  <c r="G628" i="1" s="1"/>
  <c r="J628" i="1" s="1"/>
  <c r="G626" i="1"/>
  <c r="J626" i="1" s="1"/>
  <c r="J52" i="1"/>
  <c r="H621" i="1" s="1"/>
  <c r="J621" i="1" s="1"/>
  <c r="C38" i="10"/>
  <c r="H646" i="1" l="1"/>
  <c r="J646" i="1" s="1"/>
  <c r="F667" i="1"/>
  <c r="C145" i="2"/>
  <c r="I660" i="1"/>
  <c r="I664" i="1" s="1"/>
  <c r="I672" i="1" s="1"/>
  <c r="C7" i="10" s="1"/>
  <c r="G667" i="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<sst xmlns="http://schemas.openxmlformats.org/spreadsheetml/2006/main" count="5507" uniqueCount="1612">
  <si>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</si>
  <si>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</si>
  <si>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</si>
  <si>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</si>
  <si>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</si>
  <si>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</si>
  <si>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</si>
  <si>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</si>
  <si>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</si>
  <si>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</si>
  <si>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</si>
  <si>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</si>
  <si>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</si>
  <si>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</si>
  <si>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</si>
  <si>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</si>
  <si>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</si>
  <si>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</si>
  <si>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</si>
  <si>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</si>
  <si>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</si>
  <si>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</si>
  <si>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</si>
  <si>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</si>
  <si>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</si>
  <si>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</si>
  <si>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</si>
  <si>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</si>
  <si>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</si>
  <si>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</si>
  <si>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</si>
  <si>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</si>
  <si>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</si>
  <si>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</si>
  <si>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</si>
  <si>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</si>
  <si>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</si>
  <si>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</si>
  <si>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</si>
  <si>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</si>
  <si>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</si>
  <si>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</si>
  <si>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</si>
  <si>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</si>
  <si>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</si>
  <si>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</si>
  <si>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</si>
  <si>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</si>
  <si>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</si>
  <si>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</si>
  <si>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</si>
  <si>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</si>
  <si>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</si>
  <si>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</si>
  <si>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</si>
  <si>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</si>
  <si>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</si>
  <si>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</si>
  <si>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</si>
  <si>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</si>
  <si>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</si>
  <si>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</si>
  <si>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</si>
  <si>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</si>
  <si>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</si>
  <si>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</si>
  <si>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</si>
  <si>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</si>
  <si>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</si>
  <si>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</si>
  <si>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</si>
  <si>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</si>
  <si>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</si>
  <si>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</si>
  <si>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</si>
  <si>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</si>
  <si>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</si>
  <si>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</si>
  <si>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</si>
  <si>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</si>
  <si>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</si>
  <si>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</si>
  <si>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</si>
  <si>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</si>
  <si>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</si>
  <si>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</si>
  <si>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</si>
  <si>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</si>
  <si>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</si>
  <si>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</si>
  <si>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</si>
  <si>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</si>
  <si>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</si>
  <si>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</si>
  <si>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</si>
  <si>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</si>
  <si>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</si>
  <si>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</si>
  <si>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</si>
  <si>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</si>
  <si>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</si>
  <si>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</si>
  <si>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</si>
  <si>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</si>
  <si>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</si>
  <si>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</si>
  <si>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</si>
  <si>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</si>
  <si>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</si>
  <si>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</si>
  <si>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</si>
  <si>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</si>
  <si>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</si>
  <si>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</si>
  <si>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</si>
  <si>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</si>
  <si>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</si>
  <si>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</si>
  <si>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</si>
  <si>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</si>
  <si>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</si>
  <si>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</si>
  <si>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</si>
  <si>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</si>
  <si>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</si>
  <si>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</si>
  <si>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</si>
  <si>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</si>
  <si>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</si>
  <si>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</si>
  <si>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</si>
  <si>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</si>
  <si>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</si>
  <si>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</si>
  <si>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</si>
  <si>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</si>
  <si>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</si>
  <si>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</si>
  <si>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</si>
  <si>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</si>
  <si>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</si>
  <si>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</si>
  <si>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</si>
  <si>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</si>
  <si>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</si>
  <si>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</si>
  <si>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</si>
  <si>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</si>
  <si>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</si>
  <si>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</si>
  <si>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</si>
  <si>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</si>
  <si>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</si>
  <si>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</si>
  <si>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</si>
  <si>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</si>
  <si>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</si>
  <si>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</si>
  <si>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</si>
  <si>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</si>
  <si>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</si>
  <si>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</si>
  <si>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</si>
  <si>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</si>
  <si>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</si>
  <si>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</si>
  <si>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</si>
  <si>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</si>
  <si>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</si>
  <si>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</si>
  <si>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</si>
  <si>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</si>
  <si>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</si>
  <si>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</si>
  <si>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</si>
  <si>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</si>
  <si>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</si>
  <si>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</si>
  <si>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</si>
  <si>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</si>
  <si>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</si>
  <si>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</si>
  <si>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</si>
  <si>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</si>
  <si>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</si>
  <si>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</si>
  <si>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</si>
  <si>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</si>
  <si>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</si>
  <si>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</si>
  <si>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</si>
  <si>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</si>
  <si>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</si>
  <si>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</si>
  <si>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</si>
  <si>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</si>
  <si>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</si>
  <si>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</si>
  <si>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</si>
  <si>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</si>
  <si>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</si>
  <si>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</si>
  <si>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</si>
  <si>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</si>
  <si>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</si>
  <si>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</si>
  <si>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</si>
  <si>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</si>
  <si>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</si>
  <si>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</si>
  <si>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</si>
  <si>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</si>
  <si>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</si>
  <si>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</si>
  <si>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</si>
  <si>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</si>
  <si>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</si>
  <si>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</si>
  <si>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</si>
  <si>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</si>
  <si>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</si>
  <si>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</si>
  <si>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</si>
  <si>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</si>
  <si>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</si>
  <si>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</si>
  <si>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</si>
  <si>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</si>
  <si>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</si>
  <si>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</si>
  <si>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</si>
  <si>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</si>
  <si>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</si>
  <si>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</si>
  <si>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</si>
  <si>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</si>
  <si>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</si>
  <si>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</si>
  <si>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</si>
  <si>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</si>
  <si>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</si>
  <si>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</si>
  <si>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</si>
  <si>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</si>
  <si>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</si>
  <si>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</si>
  <si>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</si>
  <si>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</si>
  <si>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</si>
  <si>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</si>
  <si>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</si>
  <si>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</si>
  <si>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</si>
  <si>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</si>
  <si>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</si>
  <si>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</si>
  <si>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</si>
  <si>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</si>
  <si>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</si>
  <si>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</si>
  <si>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</si>
  <si>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</si>
  <si>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</si>
  <si>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</si>
  <si>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</si>
  <si>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</si>
  <si>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</si>
  <si>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</si>
  <si>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</si>
  <si>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</si>
  <si>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</si>
  <si>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</si>
  <si>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</si>
  <si>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</si>
  <si>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</si>
  <si>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</si>
  <si>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</si>
  <si>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</si>
  <si>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</si>
  <si>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</si>
  <si>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</si>
  <si>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</si>
  <si>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</si>
  <si>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</si>
  <si>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</si>
  <si>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</si>
  <si>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</si>
  <si>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</si>
  <si>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</si>
  <si>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</si>
  <si>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</si>
  <si>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</si>
  <si>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</si>
  <si>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</si>
  <si>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</si>
  <si>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</si>
  <si>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</si>
  <si>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</si>
  <si>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</si>
  <si>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</si>
  <si>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</si>
  <si>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</si>
  <si>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</si>
  <si>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</si>
  <si>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</si>
  <si>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</si>
  <si>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</si>
  <si>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</si>
  <si>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</si>
  <si>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</si>
  <si>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</si>
  <si>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</si>
  <si>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</si>
  <si>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</si>
  <si>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</si>
  <si>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</si>
  <si>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</si>
  <si>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</si>
  <si>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</si>
  <si>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</si>
  <si>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</si>
  <si>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</si>
  <si>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</si>
  <si>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</si>
  <si>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</si>
  <si>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</si>
  <si>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</si>
  <si>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</si>
  <si>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</si>
  <si>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</si>
  <si>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</si>
  <si>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</si>
  <si>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</si>
  <si>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</si>
  <si>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</si>
  <si>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</si>
  <si>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</si>
  <si>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</si>
  <si>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</si>
  <si>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</si>
  <si>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</si>
  <si>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</si>
  <si>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</si>
  <si>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</si>
  <si>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</si>
  <si>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</si>
  <si>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</si>
  <si>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</si>
  <si>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</si>
  <si>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</si>
  <si>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</si>
  <si>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</si>
  <si>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</si>
  <si>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</si>
  <si>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</si>
  <si>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</si>
  <si>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</si>
  <si>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</si>
  <si>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</si>
  <si>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</si>
  <si>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</si>
  <si>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</si>
  <si>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</si>
  <si>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</si>
  <si>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</si>
  <si>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</si>
  <si>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</si>
  <si>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</si>
  <si>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</si>
  <si>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</si>
  <si>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</si>
  <si>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</si>
  <si>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</si>
  <si>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</si>
  <si>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</si>
  <si>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</si>
  <si>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</si>
  <si>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</si>
  <si>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</si>
  <si>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</si>
  <si>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</si>
  <si>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</si>
  <si>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</si>
  <si>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</si>
  <si>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</si>
  <si>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</si>
  <si>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</si>
  <si>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</si>
  <si>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</si>
  <si>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</si>
  <si>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</si>
  <si>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</si>
  <si>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</si>
  <si>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</si>
  <si>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</si>
  <si>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</si>
  <si>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</si>
  <si>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</si>
  <si>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</si>
  <si>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</si>
  <si>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</si>
  <si>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</si>
  <si>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</si>
  <si>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</si>
  <si>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</si>
  <si>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</si>
  <si>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</si>
  <si>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</si>
  <si>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</si>
  <si>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</si>
  <si>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</si>
  <si>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</si>
  <si>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</si>
  <si>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</si>
  <si>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</si>
  <si>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</si>
  <si>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</si>
  <si>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</si>
  <si>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</si>
  <si>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</si>
  <si>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</si>
  <si>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</si>
  <si>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</si>
  <si>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</si>
  <si>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</si>
  <si>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</si>
  <si>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</si>
  <si>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</si>
  <si>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</si>
  <si>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</si>
  <si>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</si>
  <si>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</si>
  <si>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</si>
  <si>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</si>
  <si>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</si>
  <si>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</si>
  <si>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</si>
  <si>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</si>
  <si>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</si>
  <si>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</si>
  <si>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</si>
  <si>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</si>
  <si>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</si>
  <si>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</si>
  <si>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</si>
  <si>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</si>
  <si>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</si>
  <si>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</si>
  <si>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</si>
  <si>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</si>
  <si>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</si>
  <si>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</si>
  <si>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</si>
  <si>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</si>
  <si>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</si>
  <si>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</si>
  <si>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</si>
  <si>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</si>
  <si>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</si>
  <si>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</si>
  <si>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</si>
  <si>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</si>
  <si>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</si>
  <si>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</si>
  <si>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</si>
  <si>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</si>
  <si>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</si>
  <si>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</si>
  <si>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</si>
  <si>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</si>
  <si>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</si>
  <si>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</si>
  <si>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</si>
  <si>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</si>
  <si>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</si>
  <si>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</si>
  <si>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</si>
  <si>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</si>
  <si>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</si>
  <si>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</si>
  <si>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</si>
  <si>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</si>
  <si>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</si>
  <si>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</si>
  <si>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</si>
  <si>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</si>
  <si>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</si>
  <si>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</si>
  <si>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</si>
  <si>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</si>
  <si>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</si>
  <si>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</si>
  <si>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</si>
  <si>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</si>
  <si>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</si>
  <si>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</si>
  <si>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</si>
  <si>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</si>
  <si>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</si>
  <si>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</si>
  <si>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</si>
  <si>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</si>
  <si>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</si>
  <si>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</si>
  <si>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</si>
  <si>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</si>
  <si>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</si>
  <si>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</si>
  <si>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</si>
  <si>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</si>
  <si>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</si>
  <si>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</si>
  <si>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</si>
  <si>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</si>
  <si>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</si>
  <si>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</si>
  <si>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</si>
  <si>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</si>
  <si>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</si>
  <si>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</si>
  <si>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</si>
  <si>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</si>
  <si>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</si>
  <si>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</si>
  <si>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</si>
  <si>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</si>
  <si>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</si>
  <si>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</si>
  <si>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</si>
  <si>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</si>
  <si>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</si>
  <si>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</si>
  <si>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</si>
  <si>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</si>
  <si>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</si>
  <si>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</si>
  <si>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</si>
  <si>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</si>
  <si>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</si>
  <si>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</si>
  <si>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</si>
  <si>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</si>
  <si>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</si>
  <si>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</si>
  <si>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</si>
  <si>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</si>
  <si>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</si>
  <si>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</si>
  <si>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</si>
  <si>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</si>
  <si>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</si>
  <si>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</si>
  <si>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</si>
  <si>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</si>
  <si>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</si>
  <si>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</si>
  <si>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</si>
  <si>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</si>
  <si>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</si>
  <si>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</si>
  <si>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</si>
  <si>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</si>
  <si>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</si>
  <si>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</si>
  <si>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</si>
  <si>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</si>
  <si>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</si>
  <si>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</si>
  <si>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</si>
  <si>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</si>
  <si>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</si>
  <si>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</si>
  <si>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</si>
  <si>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</si>
  <si>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</si>
  <si>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</si>
  <si>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</si>
  <si>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</si>
  <si>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</si>
  <si>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</si>
  <si>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</si>
  <si>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</si>
  <si>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</si>
  <si>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</si>
  <si>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</si>
  <si>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</si>
  <si>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</si>
  <si>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</si>
  <si>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</si>
  <si>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</si>
  <si>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</si>
  <si>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</si>
  <si>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</si>
  <si>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</si>
  <si>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</si>
  <si>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</si>
  <si>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</si>
  <si>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</si>
  <si>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</si>
  <si>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</si>
  <si>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</si>
  <si>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</si>
  <si>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</si>
  <si>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</si>
  <si>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</si>
  <si>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</si>
  <si>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</si>
  <si>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</si>
  <si>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</si>
  <si>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</si>
  <si>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</si>
  <si>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</si>
  <si>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</si>
  <si>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</si>
  <si>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</si>
  <si>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</si>
  <si>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</si>
  <si>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</si>
  <si>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</si>
  <si>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</si>
  <si>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</si>
  <si>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</si>
  <si>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</si>
  <si>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</si>
  <si>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</si>
  <si>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</si>
  <si>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</si>
  <si>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</si>
  <si>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</si>
  <si>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</si>
  <si>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</si>
  <si>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</si>
  <si>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</si>
  <si>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</si>
  <si>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</si>
  <si>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</si>
  <si>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</si>
  <si>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</si>
  <si>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</si>
  <si>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</si>
  <si>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</si>
  <si>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</si>
  <si>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</si>
  <si>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</si>
  <si>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</si>
  <si>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</si>
  <si>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</si>
  <si>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</si>
  <si>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</si>
  <si>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</si>
  <si>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</si>
  <si>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</si>
  <si>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</si>
  <si>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</si>
  <si>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</si>
  <si>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</si>
  <si>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</si>
  <si>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</si>
  <si>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</si>
  <si>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</si>
  <si>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</si>
  <si>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</si>
  <si>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</si>
  <si>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</si>
  <si>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</si>
  <si>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</si>
  <si>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</si>
  <si>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</si>
  <si>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</si>
  <si>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</si>
  <si>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</si>
  <si>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</si>
  <si>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</si>
  <si>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</si>
  <si>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</si>
  <si>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</si>
  <si>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</si>
  <si>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</si>
  <si>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</si>
  <si>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</si>
  <si>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</si>
  <si>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</si>
  <si>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</si>
  <si>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</si>
  <si>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</si>
  <si>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</si>
  <si>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</si>
  <si>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</si>
  <si>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</si>
  <si>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</si>
  <si>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</si>
  <si>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</si>
  <si>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</si>
  <si>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</si>
  <si>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</si>
  <si>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</si>
  <si>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</si>
  <si>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</si>
  <si>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</si>
  <si>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</si>
  <si>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</si>
  <si>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</si>
  <si>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</si>
  <si>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</si>
  <si>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</si>
  <si>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</si>
  <si>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</si>
  <si>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</si>
  <si>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</si>
  <si>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</si>
  <si>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</si>
  <si>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</si>
  <si>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</si>
  <si>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</si>
  <si>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</si>
  <si>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</si>
  <si>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</si>
  <si>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</si>
  <si>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</si>
  <si>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</si>
  <si>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</si>
  <si>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</si>
  <si>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</si>
  <si>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</si>
  <si>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</si>
  <si>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</si>
  <si>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</si>
  <si>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</si>
  <si>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</si>
  <si>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</si>
  <si>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</si>
  <si>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</si>
  <si>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</si>
  <si>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</si>
  <si>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</si>
  <si>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</si>
  <si>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</si>
  <si>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</si>
  <si>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</si>
  <si>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</si>
  <si>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</si>
  <si>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</si>
  <si>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</si>
  <si>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</si>
  <si>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</si>
  <si>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</si>
  <si>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</si>
  <si>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</si>
  <si>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</si>
  <si>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</si>
  <si>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</si>
  <si>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</si>
  <si>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</si>
  <si>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</si>
  <si>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</si>
  <si>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</si>
  <si>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</si>
  <si>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</si>
  <si>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</si>
  <si>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</si>
  <si>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</si>
  <si>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</si>
  <si>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</si>
  <si>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</si>
  <si>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</si>
  <si>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</si>
  <si>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</si>
  <si>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</si>
  <si>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</si>
  <si>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</si>
  <si>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</si>
  <si>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</si>
  <si>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</si>
  <si>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</si>
  <si>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</si>
  <si>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</si>
  <si>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</si>
  <si>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</si>
  <si>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</si>
  <si>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</si>
  <si>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</si>
  <si>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</si>
  <si>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</si>
  <si>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</si>
  <si>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</si>
  <si>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</si>
  <si>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</si>
  <si>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</si>
  <si>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</si>
  <si>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</si>
  <si>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</si>
  <si>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</si>
  <si>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</si>
  <si>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</si>
  <si>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</si>
  <si>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</si>
  <si>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</si>
  <si>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</si>
  <si>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</si>
  <si>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</si>
  <si>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</si>
  <si>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</si>
  <si>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</si>
  <si>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</si>
  <si>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</si>
  <si>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</si>
  <si>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</si>
  <si>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</si>
  <si>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</si>
  <si>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</si>
  <si>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</si>
  <si>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</si>
  <si>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</si>
  <si>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</si>
  <si>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</si>
  <si>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</si>
  <si>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</si>
  <si>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</si>
  <si>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</si>
  <si>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</si>
  <si>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</si>
  <si>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</si>
  <si>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</si>
  <si>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</si>
  <si>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</si>
  <si>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</si>
  <si>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</si>
  <si>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</si>
  <si>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</si>
  <si>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</si>
  <si>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</si>
  <si>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</si>
  <si>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</si>
  <si>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</si>
  <si>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</si>
  <si>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</si>
  <si>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</si>
  <si>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</si>
  <si>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</si>
  <si>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</si>
  <si>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</si>
  <si>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</si>
  <si>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</si>
  <si>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</si>
  <si>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</si>
  <si>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</si>
  <si>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</si>
  <si>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</si>
  <si>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</si>
  <si>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</si>
  <si>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</si>
  <si>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</si>
  <si>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</si>
  <si>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</si>
  <si>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</si>
  <si>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</si>
  <si>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</si>
  <si>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</si>
  <si>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</si>
  <si>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</si>
  <si>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</si>
  <si>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</si>
  <si>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</si>
  <si>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</si>
  <si>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</si>
  <si>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</si>
  <si>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</si>
  <si>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</si>
  <si>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</si>
  <si>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</si>
  <si>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</si>
  <si>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</si>
  <si>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</si>
  <si>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</si>
  <si>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</si>
  <si>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</si>
  <si>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</si>
  <si>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</si>
  <si>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</si>
  <si>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</si>
  <si>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</si>
  <si>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</si>
  <si>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</si>
  <si>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</si>
  <si>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</si>
  <si>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</si>
  <si>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</si>
  <si>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</si>
  <si>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</si>
  <si>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</si>
  <si>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</si>
  <si>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</si>
  <si>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</si>
  <si>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</si>
  <si>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</si>
  <si>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</si>
  <si>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</si>
  <si>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</si>
  <si>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</si>
  <si>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</si>
  <si>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</si>
  <si>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</si>
  <si>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</si>
  <si>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</si>
  <si>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</si>
  <si>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</si>
  <si>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</si>
  <si>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</si>
  <si>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</si>
  <si>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</si>
  <si>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</si>
  <si>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</si>
  <si>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</si>
  <si>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</si>
  <si>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</si>
  <si>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</si>
  <si>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</si>
  <si>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</si>
  <si>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</si>
  <si>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</si>
  <si>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</si>
  <si>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</si>
  <si>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</si>
  <si>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</si>
  <si>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</si>
  <si>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</si>
  <si>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</si>
  <si>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</si>
  <si>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</si>
  <si>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</si>
  <si>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</si>
  <si>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</si>
  <si>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</si>
  <si>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</si>
  <si>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</si>
  <si>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</si>
  <si>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</si>
  <si>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</si>
  <si>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</si>
  <si>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</si>
  <si>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</si>
  <si>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</si>
  <si>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</si>
  <si>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</si>
  <si>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</si>
  <si>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</si>
  <si>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</si>
  <si>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</si>
  <si>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</si>
  <si>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</si>
  <si>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</si>
  <si>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</si>
  <si>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</si>
  <si>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</si>
  <si>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</si>
  <si>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</si>
  <si>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</si>
  <si>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</si>
  <si>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</si>
  <si>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</si>
  <si>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</si>
  <si>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</si>
  <si>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</si>
  <si>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</si>
  <si>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</si>
  <si>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</si>
  <si>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</si>
  <si>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</si>
  <si>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</si>
  <si>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</si>
  <si>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</si>
  <si>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</si>
  <si>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</si>
  <si>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</si>
  <si>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</si>
  <si>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</si>
  <si>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</si>
  <si>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</si>
  <si>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</si>
  <si>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</si>
  <si>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</si>
  <si>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</si>
  <si>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</si>
  <si>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</si>
  <si>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</si>
  <si>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</si>
  <si>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</si>
  <si>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</si>
  <si>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</si>
  <si>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</si>
  <si>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</si>
  <si>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</si>
  <si>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</si>
  <si>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</si>
  <si>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</si>
  <si>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</si>
  <si>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</si>
  <si>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</si>
  <si>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</si>
  <si>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</si>
  <si>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</si>
  <si>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</si>
  <si>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</si>
  <si>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</si>
  <si>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</si>
  <si>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</si>
  <si>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</si>
  <si>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</si>
  <si>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</si>
  <si>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</si>
  <si>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</si>
  <si>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</si>
  <si>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</si>
  <si>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</si>
  <si>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</si>
  <si>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</si>
  <si>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</si>
  <si>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</si>
  <si>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</si>
  <si>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</si>
  <si>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</si>
  <si>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</si>
  <si>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</si>
  <si>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</si>
  <si>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</si>
  <si>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</si>
  <si>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</si>
  <si>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</si>
  <si>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</si>
  <si>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</si>
  <si>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</si>
  <si>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</si>
  <si>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</si>
  <si>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</si>
  <si>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</si>
  <si>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</si>
  <si>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</si>
  <si>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</si>
  <si>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</si>
  <si>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</si>
  <si>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</si>
  <si>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</si>
  <si>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</si>
  <si>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</si>
  <si>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</si>
  <si>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</si>
  <si>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</si>
  <si>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</si>
  <si>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</si>
  <si>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</si>
  <si>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</si>
  <si>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</si>
  <si>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</si>
  <si>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</si>
  <si>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</si>
  <si>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</si>
  <si>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</si>
  <si>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</si>
  <si>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</si>
  <si>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</si>
  <si>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</si>
  <si>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</si>
  <si>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</si>
  <si>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</si>
  <si>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</si>
  <si>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</si>
  <si>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</si>
  <si>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</si>
  <si>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</si>
  <si>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</si>
  <si>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</si>
  <si>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</si>
  <si>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</si>
  <si>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</si>
  <si>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</si>
  <si>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</si>
  <si>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</si>
  <si>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</si>
  <si>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</si>
  <si>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</si>
  <si>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</si>
  <si>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</si>
  <si>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</si>
  <si>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</si>
  <si>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</si>
  <si>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</si>
  <si>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</si>
  <si>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</si>
  <si>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</si>
  <si>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</si>
  <si>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</si>
  <si>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</si>
  <si>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</si>
  <si>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</si>
  <si>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</si>
  <si>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</si>
  <si>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</si>
  <si>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</si>
  <si>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</si>
  <si>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</si>
  <si>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</si>
  <si>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</si>
  <si>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</si>
  <si>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</si>
  <si>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</si>
  <si>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</si>
  <si>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</si>
  <si>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</si>
  <si>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</si>
  <si>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</si>
  <si>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</si>
  <si>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</si>
  <si>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</si>
  <si>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</si>
  <si>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</si>
  <si>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</si>
  <si>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</si>
  <si>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</si>
  <si>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</si>
  <si>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</si>
  <si>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</si>
  <si>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</si>
  <si>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</si>
  <si>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</si>
  <si>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</si>
  <si>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</si>
  <si>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</si>
  <si>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</si>
  <si>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</si>
  <si>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</si>
  <si>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</si>
  <si>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</si>
  <si>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</si>
  <si>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</si>
  <si>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</si>
  <si>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</si>
  <si>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</si>
  <si>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</si>
  <si>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</si>
  <si>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</si>
  <si>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</si>
  <si>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</si>
  <si>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</si>
  <si>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</si>
  <si>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</si>
  <si>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</si>
  <si>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</si>
  <si>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</si>
  <si>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</si>
  <si>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</si>
  <si>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</si>
  <si>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</si>
  <si>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</si>
  <si>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</si>
  <si>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</si>
  <si>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</si>
  <si>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</si>
  <si>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</si>
  <si>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</si>
  <si>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</si>
  <si>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</si>
  <si>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</si>
  <si>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</si>
  <si>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</si>
  <si>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</si>
  <si>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</si>
  <si>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</si>
  <si>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</si>
  <si>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</si>
  <si>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</si>
  <si>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</si>
  <si>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</si>
  <si>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</si>
  <si>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</si>
  <si>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</si>
  <si>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</si>
  <si>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</si>
  <si>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</si>
  <si>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</si>
  <si>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</si>
  <si>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</si>
  <si>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</si>
  <si>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</si>
  <si>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</si>
  <si>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</si>
  <si>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</si>
  <si>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</si>
  <si>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</si>
  <si>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</si>
  <si>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</si>
  <si>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</si>
  <si>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</si>
  <si>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</si>
  <si>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</si>
  <si>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</si>
  <si>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</si>
  <si>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</si>
  <si>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</si>
  <si>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</si>
  <si>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</si>
  <si>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</si>
  <si>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</si>
  <si>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</si>
  <si>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</si>
  <si>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</si>
  <si>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</si>
  <si>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</si>
  <si>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</si>
  <si>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</si>
  <si>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</si>
  <si>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</si>
  <si>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</si>
  <si>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</si>
  <si>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</si>
  <si>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</si>
  <si>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</si>
  <si>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</si>
  <si>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</si>
  <si>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</si>
  <si>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</si>
  <si>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</si>
  <si>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</si>
  <si>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</si>
  <si>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</si>
  <si>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</si>
  <si>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</si>
  <si>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</si>
  <si>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</si>
  <si>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</si>
  <si>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</si>
  <si>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</si>
  <si>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</si>
  <si>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</si>
  <si>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</si>
  <si>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</si>
  <si>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</si>
  <si>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</si>
  <si>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</si>
  <si>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</si>
  <si>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</si>
  <si>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</si>
  <si>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</si>
  <si>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</si>
  <si>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</si>
  <si>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</si>
  <si>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</si>
  <si>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</si>
  <si>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</si>
  <si>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</si>
  <si>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</si>
  <si>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</si>
  <si>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</si>
  <si>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</si>
  <si>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</si>
  <si>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</si>
  <si>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</si>
  <si>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</si>
  <si>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</si>
  <si>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</si>
  <si>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</si>
  <si>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</si>
  <si>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</si>
  <si>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</si>
  <si>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</si>
  <si>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</si>
  <si>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</si>
  <si>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</si>
  <si>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</si>
  <si>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</si>
  <si>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</si>
  <si>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</si>
  <si>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</si>
  <si>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</si>
  <si>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</si>
  <si>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</si>
  <si>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</si>
  <si>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</si>
  <si>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</si>
  <si>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</si>
  <si>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</si>
  <si>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</si>
  <si>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</si>
  <si>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</si>
  <si>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</si>
  <si>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</si>
  <si>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</si>
  <si>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</si>
  <si>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</si>
  <si>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</si>
  <si>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</si>
  <si>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</si>
  <si>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</si>
  <si>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</si>
  <si>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</si>
  <si>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</si>
  <si>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</si>
  <si>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</si>
  <si>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</si>
  <si>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</si>
  <si>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</si>
  <si>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</si>
  <si>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</si>
  <si>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</si>
  <si>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</si>
  <si>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</si>
  <si>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</si>
  <si>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</si>
  <si>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</si>
  <si>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</si>
  <si>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</si>
  <si>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</si>
  <si>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</si>
  <si>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</si>
  <si>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</si>
  <si>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</si>
  <si>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</si>
  <si>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</si>
  <si>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</si>
  <si>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</si>
  <si>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</si>
  <si>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</si>
  <si>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</si>
  <si>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</si>
  <si>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</si>
  <si>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</si>
  <si>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</si>
  <si>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</si>
  <si>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</si>
  <si>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</si>
  <si>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</si>
  <si>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</si>
  <si>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</si>
  <si>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</si>
  <si>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</si>
  <si>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</si>
  <si>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</si>
  <si>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</si>
  <si>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</si>
  <si>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</si>
  <si>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</si>
  <si>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</si>
  <si>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</si>
  <si>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</si>
  <si>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</si>
  <si>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</si>
  <si>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</si>
  <si>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</si>
  <si>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</si>
  <si>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</si>
  <si>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</si>
  <si>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</si>
  <si>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</si>
  <si>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</si>
  <si>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</si>
  <si>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</si>
  <si>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</si>
  <si>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</si>
  <si>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</si>
  <si>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</si>
  <si>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</si>
  <si>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</si>
  <si>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</si>
  <si>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</si>
  <si>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</si>
  <si>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</si>
  <si>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</si>
  <si>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</si>
  <si>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</si>
  <si>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</si>
  <si>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</si>
  <si>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</si>
  <si>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</si>
  <si>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</si>
  <si>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</si>
  <si>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</si>
  <si>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</si>
  <si>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</si>
  <si>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</si>
  <si>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</si>
  <si>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</si>
  <si>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</si>
  <si>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</si>
  <si>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</si>
  <si>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</si>
  <si>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</si>
  <si>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</si>
  <si>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</si>
  <si>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</si>
  <si>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</si>
  <si>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</si>
  <si>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</si>
  <si>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</si>
  <si>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</si>
  <si>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</si>
  <si>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</si>
  <si>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</si>
  <si>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</si>
  <si>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</si>
  <si>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</si>
  <si>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</si>
  <si>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</si>
  <si>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</si>
  <si>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</si>
  <si>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</si>
  <si>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</si>
  <si>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</si>
  <si>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</si>
  <si>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</si>
  <si>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</si>
  <si>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</si>
  <si>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</si>
  <si>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</si>
  <si>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</si>
  <si>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</si>
  <si>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</si>
  <si>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</si>
  <si>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</si>
  <si>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</si>
  <si>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</si>
  <si>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</si>
  <si>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</si>
  <si>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</si>
  <si>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</si>
  <si>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</si>
  <si>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</si>
  <si>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</si>
  <si>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</si>
  <si>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</si>
  <si>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</si>
  <si>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</si>
  <si>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</si>
  <si>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</si>
  <si>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</si>
  <si>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</si>
  <si>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</si>
  <si>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</si>
  <si>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</si>
  <si>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</si>
  <si>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</si>
  <si>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</si>
  <si>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</si>
  <si>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</si>
  <si>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</si>
  <si>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</si>
  <si>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</si>
  <si>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</si>
  <si>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</si>
  <si>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</si>
  <si>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</si>
  <si>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</si>
  <si>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</si>
  <si>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</si>
  <si>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</si>
  <si>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</si>
  <si>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</si>
  <si>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</si>
  <si>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</si>
  <si>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</si>
  <si>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</si>
  <si>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</si>
  <si>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</si>
  <si>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</si>
  <si>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</si>
  <si>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</si>
  <si>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</si>
  <si>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</si>
  <si>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</si>
  <si>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</si>
  <si>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</si>
  <si>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</si>
  <si>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</si>
  <si>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</si>
  <si>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</si>
  <si>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</si>
  <si>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</si>
  <si>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</si>
  <si>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</si>
  <si>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</si>
  <si>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</si>
  <si>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</si>
  <si>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</si>
  <si>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</si>
  <si>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</si>
  <si>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</si>
  <si>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</si>
  <si>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</si>
  <si>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</si>
  <si>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</si>
  <si>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</si>
  <si>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</si>
  <si>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</si>
  <si>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</si>
  <si>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</si>
  <si>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</si>
  <si>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</si>
  <si>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</si>
  <si>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</si>
  <si>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</si>
  <si>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</si>
  <si>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</si>
  <si>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</si>
  <si>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</si>
  <si>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</si>
  <si>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</si>
  <si>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</si>
  <si>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</si>
  <si>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</si>
  <si>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</si>
  <si>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</si>
  <si>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</si>
  <si>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</si>
  <si>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</si>
  <si>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</si>
  <si>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</si>
  <si>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</si>
  <si>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</si>
  <si>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</si>
  <si>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</si>
  <si>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</si>
  <si>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</si>
  <si>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</si>
  <si>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</si>
  <si>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</si>
  <si>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</si>
  <si>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</si>
  <si>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</si>
  <si>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</si>
  <si>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</si>
  <si>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</si>
  <si>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</si>
  <si>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</si>
  <si>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</si>
  <si>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</si>
  <si>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</si>
  <si>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</si>
  <si>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</si>
  <si>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</si>
  <si>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</si>
  <si>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</si>
  <si>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</si>
  <si>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</si>
  <si>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</si>
  <si>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</si>
  <si>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</si>
  <si>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</si>
  <si>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</si>
  <si>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</si>
  <si>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</si>
  <si>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</si>
  <si>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</si>
  <si>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</si>
  <si>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</si>
  <si>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</si>
  <si>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</si>
  <si>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</si>
  <si>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</si>
  <si>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</si>
  <si>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</si>
  <si>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</si>
  <si>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</si>
  <si>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</si>
  <si>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</si>
  <si>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</si>
  <si>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</si>
  <si>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</si>
  <si>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</si>
  <si>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</si>
  <si>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</si>
  <si>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</si>
  <si>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</si>
  <si>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</si>
  <si>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</si>
  <si>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</si>
  <si>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</si>
  <si>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</si>
  <si>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</si>
  <si>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</si>
  <si>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</si>
  <si>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</si>
  <si>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</si>
  <si>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</si>
  <si>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</si>
  <si>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</si>
  <si>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</si>
  <si>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</si>
  <si>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</si>
  <si>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</si>
  <si>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</si>
  <si>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</si>
  <si>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</si>
  <si>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</si>
  <si>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</si>
  <si>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</si>
  <si>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</si>
  <si>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</si>
  <si>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</si>
  <si>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</si>
  <si>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</si>
  <si>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</si>
  <si>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</si>
  <si>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</si>
  <si>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</si>
  <si>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</si>
  <si>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</si>
  <si>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</si>
  <si>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</si>
  <si>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</si>
  <si>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</si>
  <si>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</si>
  <si>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 xml:space="preserve">                  EATON SCHOOL DISTRICT</t>
  </si>
  <si>
    <t>Eaton School District tuitions 100% of it students to Conway School District.</t>
  </si>
  <si>
    <t>Eaton School Districit owns it's buses and hires a bus driver with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</si>
</sst>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9" activePane="bottomRight" state="frozen"/>
      <selection pane="topRight" activeCell="F1" sqref="F1"/>
      <selection pane="bottomLeft" activeCell="A4" sqref="A4"/>
      <selection pane="bottomRight" activeCell="J591" sqref="J591:J59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159</v>
      </c>
      <c r="C2" s="21">
        <v>159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105534.34</v>
      </c>
      <c r="G9" s="18"/>
      <c r="H9" s="18"/>
      <c r="I9" s="18"/>
      <c r="J9" s="67">
        <f>SUM(I439)</f>
        <v>209224.72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105534.34</v>
      </c>
      <c r="G19" s="41">
        <f>SUM(G9:G18)</f>
        <v>0</v>
      </c>
      <c r="H19" s="41">
        <f>SUM(H9:H18)</f>
        <v>0</v>
      </c>
      <c r="I19" s="41">
        <f>SUM(I9:I18)</f>
        <v>0</v>
      </c>
      <c r="J19" s="41">
        <f>SUM(J9:J18)</f>
        <v>209224.72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97.5</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97.5</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19149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209224.72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86287.84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105436.84</v>
      </c>
      <c r="G51" s="41">
        <f>SUM(G35:G50)</f>
        <v>0</v>
      </c>
      <c r="H51" s="41">
        <f>SUM(H35:H50)</f>
        <v>0</v>
      </c>
      <c r="I51" s="41">
        <f>SUM(I35:I50)</f>
        <v>0</v>
      </c>
      <c r="J51" s="41">
        <f>SUM(J35:J50)</f>
        <v>209224.72</v>
      </c>
      <c r="K51" s="45" t="s">
        <v>288</v>
      </c>
      <c r="L51" s="45" t="s">
        <v>288</v>
      </c>
      <c r="N51" s="264"/>
    </row>
    <row r="52" spans="1:14" s="3" customFormat="1" ht="12.2" customHeight="1" thickTop="1" x14ac:dyDescent="0.15">
      <c r="A52" s="38" t="s">
        <v>455</v>
      </c>
      <c r="B52" s="39" t="s">
        <v>289</v>
      </c>
      <c r="C52" s="6">
        <v>37</v>
      </c>
      <c r="D52" s="39" t="s">
        <v>653</v>
      </c>
      <c r="E52" s="39"/>
      <c r="F52" s="41">
        <f>F51+F32</f>
        <v>105534.34</v>
      </c>
      <c r="G52" s="41">
        <f>G51+G32</f>
        <v>0</v>
      </c>
      <c r="H52" s="41">
        <f>H51+H32</f>
        <v>0</v>
      </c>
      <c r="I52" s="41">
        <f>I51+I32</f>
        <v>0</v>
      </c>
      <c r="J52" s="41">
        <f>J51+J32</f>
        <v>209224.72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540096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540096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87.47</v>
      </c>
      <c r="G96" s="18"/>
      <c r="H96" s="18"/>
      <c r="I96" s="18"/>
      <c r="J96" s="18">
        <v>3322.44</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71284.149999999994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71371.62</v>
      </c>
      <c r="G111" s="41">
        <f>SUM(G96:G110)</f>
        <v>0</v>
      </c>
      <c r="H111" s="41">
        <f>SUM(H96:H110)</f>
        <v>0</v>
      </c>
      <c r="I111" s="41">
        <f>SUM(I96:I110)</f>
        <v>0</v>
      </c>
      <c r="J111" s="41">
        <f>SUM(J96:J110)</f>
        <v>3322.44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611467.62</v>
      </c>
      <c r="G112" s="41">
        <f>G60+G111</f>
        <v>0</v>
      </c>
      <c r="H112" s="41">
        <f>H60+H79+H94+H111</f>
        <v>0</v>
      </c>
      <c r="I112" s="41">
        <f>I60+I111</f>
        <v>0</v>
      </c>
      <c r="J112" s="41">
        <f>J60+J111</f>
        <v>3322.44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0</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225864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225864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2200</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2200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228064</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7000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7000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7000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839531.62</v>
      </c>
      <c r="G193" s="47">
        <f>G112+G140+G169+G192</f>
        <v>0</v>
      </c>
      <c r="H193" s="47">
        <f>H112+H140+H169+H192</f>
        <v>0</v>
      </c>
      <c r="I193" s="47">
        <f>I112+I140+I169+I192</f>
        <v>0</v>
      </c>
      <c r="J193" s="47">
        <f>J112+J140+J192</f>
        <v>10322.44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372320.5</v>
      </c>
      <c r="I197" s="18"/>
      <c r="J197" s="18"/>
      <c r="K197" s="18"/>
      <c r="L197" s="19">
        <f>SUM(F197:K197)</f>
        <v>372320.5</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v>939</v>
      </c>
      <c r="G204" s="18"/>
      <c r="H204" s="18">
        <v>16744.810000000001</v>
      </c>
      <c r="I204" s="18"/>
      <c r="J204" s="18"/>
      <c r="K204" s="18"/>
      <c r="L204" s="19">
        <f t="shared" si="0"/>
        <v>17683.810000000001</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v>12088.13</v>
      </c>
      <c r="G208" s="18">
        <v>5731.67</v>
      </c>
      <c r="H208" s="18">
        <v>1950</v>
      </c>
      <c r="I208" s="18">
        <v>3918.32</v>
      </c>
      <c r="J208" s="18"/>
      <c r="K208" s="18"/>
      <c r="L208" s="19">
        <f t="shared" si="0"/>
        <v>23688.12</v>
      </c>
      <c r="M208" s="8"/>
      <c r="N208" s="266"/>
    </row>
    <row r="209" spans="1:14" s="3" customFormat="1" ht="12.2" customHeight="1" x14ac:dyDescent="0.15">
      <c r="A209" s="1" t="s">
        <v>449</v>
      </c>
      <c r="B209" s="2" t="s">
        <v>341</v>
      </c>
      <c r="C209" s="2" t="s">
        <v>343</v>
      </c>
      <c r="D209" s="2" t="s">
        <v>431</v>
      </c>
      <c r="E209" s="6">
        <v>2800</v>
      </c>
      <c r="F209" s="18"/>
      <c r="G209" s="18"/>
      <c r="H209" s="18">
        <v>96.85</v>
      </c>
      <c r="I209" s="18"/>
      <c r="J209" s="18"/>
      <c r="K209" s="18"/>
      <c r="L209" s="19">
        <f>SUM(F209:K209)</f>
        <v>96.85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13027.13</v>
      </c>
      <c r="G211" s="41">
        <f t="shared" si="1"/>
        <v>5731.67</v>
      </c>
      <c r="H211" s="41">
        <f t="shared" si="1"/>
        <v>391112.16</v>
      </c>
      <c r="I211" s="41">
        <f t="shared" si="1"/>
        <v>3918.32</v>
      </c>
      <c r="J211" s="41">
        <f t="shared" si="1"/>
        <v>0</v>
      </c>
      <c r="K211" s="41">
        <f t="shared" si="1"/>
        <v>0</v>
      </c>
      <c r="L211" s="41">
        <f t="shared" si="1"/>
        <v>413789.27999999997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130173.5</v>
      </c>
      <c r="I215" s="18"/>
      <c r="J215" s="18"/>
      <c r="K215" s="18"/>
      <c r="L215" s="19">
        <f>SUM(F215:K215)</f>
        <v>130173.5</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320</v>
      </c>
      <c r="G222" s="18"/>
      <c r="H222" s="18">
        <v>5705.21</v>
      </c>
      <c r="I222" s="18"/>
      <c r="J222" s="18"/>
      <c r="K222" s="18"/>
      <c r="L222" s="19">
        <f t="shared" si="2"/>
        <v>6025.21</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v>6044.05</v>
      </c>
      <c r="G226" s="18">
        <v>2865.83</v>
      </c>
      <c r="H226" s="18">
        <v>975</v>
      </c>
      <c r="I226" s="18">
        <v>1959.15</v>
      </c>
      <c r="J226" s="18"/>
      <c r="K226" s="18"/>
      <c r="L226" s="19">
        <f t="shared" si="2"/>
        <v>11844.03</v>
      </c>
      <c r="M226" s="8"/>
      <c r="N226" s="266"/>
    </row>
    <row r="227" spans="1:14" s="3" customFormat="1" ht="12.2" customHeight="1" x14ac:dyDescent="0.15">
      <c r="A227" s="1" t="s">
        <v>449</v>
      </c>
      <c r="B227" s="2" t="s">
        <v>346</v>
      </c>
      <c r="C227" s="2" t="s">
        <v>343</v>
      </c>
      <c r="D227" s="2" t="s">
        <v>431</v>
      </c>
      <c r="E227" s="6">
        <v>2800</v>
      </c>
      <c r="F227" s="18"/>
      <c r="G227" s="18"/>
      <c r="H227" s="18">
        <v>48.45</v>
      </c>
      <c r="I227" s="18"/>
      <c r="J227" s="18"/>
      <c r="K227" s="18"/>
      <c r="L227" s="19">
        <f>SUM(F227:K227)</f>
        <v>48.45</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6364.05</v>
      </c>
      <c r="G229" s="41">
        <f>SUM(G215:G228)</f>
        <v>2865.83</v>
      </c>
      <c r="H229" s="41">
        <f>SUM(H215:H228)</f>
        <v>136902.16</v>
      </c>
      <c r="I229" s="41">
        <f>SUM(I215:I228)</f>
        <v>1959.15</v>
      </c>
      <c r="J229" s="41">
        <f>SUM(J215:J228)</f>
        <v>0</v>
      </c>
      <c r="K229" s="41">
        <f t="shared" si="3"/>
        <v>0</v>
      </c>
      <c r="L229" s="41">
        <f t="shared" si="3"/>
        <v>148091.19</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183140</v>
      </c>
      <c r="I233" s="18"/>
      <c r="J233" s="18"/>
      <c r="K233" s="18"/>
      <c r="L233" s="19">
        <f>SUM(F233:K233)</f>
        <v>183140</v>
      </c>
      <c r="M233" s="8"/>
      <c r="N233" s="266"/>
    </row>
    <row r="234" spans="1:14" s="3" customFormat="1" ht="12.2" customHeight="1" x14ac:dyDescent="0.15">
      <c r="A234" s="1" t="s">
        <v>439</v>
      </c>
      <c r="B234" s="2" t="s">
        <v>350</v>
      </c>
      <c r="C234" s="2" t="s">
        <v>291</v>
      </c>
      <c r="D234" s="2" t="s">
        <v>431</v>
      </c>
      <c r="E234" s="6">
        <v>1200</v>
      </c>
      <c r="F234" s="18"/>
      <c r="G234" s="18"/>
      <c r="H234" s="18">
        <v>519.04</v>
      </c>
      <c r="I234" s="18"/>
      <c r="J234" s="18"/>
      <c r="K234" s="18"/>
      <c r="L234" s="19">
        <f>SUM(F234:K234)</f>
        <v>519.04</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341</v>
      </c>
      <c r="G240" s="18"/>
      <c r="H240" s="18">
        <v>6076.05</v>
      </c>
      <c r="I240" s="18"/>
      <c r="J240" s="18"/>
      <c r="K240" s="18"/>
      <c r="L240" s="19">
        <f t="shared" si="4"/>
        <v>6417.05</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v>6044.05</v>
      </c>
      <c r="G244" s="18">
        <v>2865.83</v>
      </c>
      <c r="H244" s="18">
        <v>1138.28</v>
      </c>
      <c r="I244" s="18">
        <v>1959.15</v>
      </c>
      <c r="J244" s="18"/>
      <c r="K244" s="18"/>
      <c r="L244" s="19">
        <f t="shared" si="4"/>
        <v>12007.310000000001</v>
      </c>
      <c r="M244" s="8"/>
      <c r="N244" s="266"/>
    </row>
    <row r="245" spans="1:14" s="3" customFormat="1" ht="12.2" customHeight="1" x14ac:dyDescent="0.15">
      <c r="A245" s="1" t="s">
        <v>449</v>
      </c>
      <c r="B245" s="2" t="s">
        <v>350</v>
      </c>
      <c r="C245" s="2" t="s">
        <v>343</v>
      </c>
      <c r="D245" s="2" t="s">
        <v>431</v>
      </c>
      <c r="E245" s="6">
        <v>2800</v>
      </c>
      <c r="F245" s="18"/>
      <c r="G245" s="18"/>
      <c r="H245" s="18">
        <v>48.45</v>
      </c>
      <c r="I245" s="18"/>
      <c r="J245" s="18"/>
      <c r="K245" s="18"/>
      <c r="L245" s="19">
        <f>SUM(F245:K245)</f>
        <v>48.45</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6385.05</v>
      </c>
      <c r="G247" s="41">
        <f t="shared" si="5"/>
        <v>2865.83</v>
      </c>
      <c r="H247" s="41">
        <f t="shared" si="5"/>
        <v>190921.82</v>
      </c>
      <c r="I247" s="41">
        <f t="shared" si="5"/>
        <v>1959.15</v>
      </c>
      <c r="J247" s="41">
        <f t="shared" si="5"/>
        <v>0</v>
      </c>
      <c r="K247" s="41">
        <f t="shared" si="5"/>
        <v>0</v>
      </c>
      <c r="L247" s="41">
        <f t="shared" si="5"/>
        <v>202131.85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25776.23</v>
      </c>
      <c r="G257" s="41">
        <f t="shared" si="8"/>
        <v>11463.33</v>
      </c>
      <c r="H257" s="41">
        <f t="shared" si="8"/>
        <v>718936.1399999999</v>
      </c>
      <c r="I257" s="41">
        <f t="shared" si="8"/>
        <v>7836.6200000000008</v>
      </c>
      <c r="J257" s="41">
        <f t="shared" si="8"/>
        <v>0</v>
      </c>
      <c r="K257" s="41">
        <f t="shared" si="8"/>
        <v>0</v>
      </c>
      <c r="L257" s="41">
        <f t="shared" si="8"/>
        <v>764012.32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7000</v>
      </c>
      <c r="L266" s="19">
        <f t="shared" si="9"/>
        <v>7000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7000</v>
      </c>
      <c r="L270" s="41">
        <f t="shared" si="9"/>
        <v>7000</v>
      </c>
      <c r="N270" s="264"/>
    </row>
    <row r="271" spans="1:14" s="3" customFormat="1" ht="12.2" customHeight="1" thickTop="1" x14ac:dyDescent="0.2">
      <c r="A271" s="43" t="s">
        <v>464</v>
      </c>
      <c r="B271" s="40">
        <v>10</v>
      </c>
      <c r="C271" s="40">
        <v>18</v>
      </c>
      <c r="D271" s="39" t="s">
        <v>431</v>
      </c>
      <c r="E271" s="40"/>
      <c r="F271" s="42">
        <f t="shared" ref="F271:L271" si="11">F257+F270</f>
        <v>25776.23</v>
      </c>
      <c r="G271" s="42">
        <f t="shared" si="11"/>
        <v>11463.33</v>
      </c>
      <c r="H271" s="42">
        <f t="shared" si="11"/>
        <v>718936.1399999999</v>
      </c>
      <c r="I271" s="42">
        <f t="shared" si="11"/>
        <v>7836.6200000000008</v>
      </c>
      <c r="J271" s="42">
        <f t="shared" si="11"/>
        <v>0</v>
      </c>
      <c r="K271" s="42">
        <f t="shared" si="11"/>
        <v>7000</v>
      </c>
      <c r="L271" s="42">
        <f t="shared" si="11"/>
        <v>771012.32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v>7000</v>
      </c>
      <c r="H390" s="18">
        <v>773.73</v>
      </c>
      <c r="I390" s="18"/>
      <c r="J390" s="24" t="s">
        <v>288</v>
      </c>
      <c r="K390" s="24" t="s">
        <v>288</v>
      </c>
      <c r="L390" s="56">
        <f t="shared" si="25"/>
        <v>7773.73</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7000</v>
      </c>
      <c r="H393" s="139">
        <f>SUM(H387:H392)</f>
        <v>773.73</v>
      </c>
      <c r="I393" s="65">
        <f>SUM(I387:I392)</f>
        <v>0</v>
      </c>
      <c r="J393" s="45" t="s">
        <v>288</v>
      </c>
      <c r="K393" s="45" t="s">
        <v>288</v>
      </c>
      <c r="L393" s="47">
        <f>SUM(L387:L392)</f>
        <v>7773.73</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0</v>
      </c>
      <c r="H397" s="18">
        <v>1369.36</v>
      </c>
      <c r="I397" s="18"/>
      <c r="J397" s="24" t="s">
        <v>288</v>
      </c>
      <c r="K397" s="24" t="s">
        <v>288</v>
      </c>
      <c r="L397" s="56">
        <f t="shared" si="26"/>
        <v>1369.36</v>
      </c>
      <c r="M397" s="8"/>
      <c r="N397" s="266"/>
    </row>
    <row r="398" spans="1:14" s="3" customFormat="1" ht="12.2" customHeight="1" x14ac:dyDescent="0.15">
      <c r="A398" s="79" t="s">
        <v>558</v>
      </c>
      <c r="B398" s="2" t="s">
        <v>381</v>
      </c>
      <c r="C398" s="6">
        <v>11</v>
      </c>
      <c r="D398" s="2" t="s">
        <v>432</v>
      </c>
      <c r="E398" s="6"/>
      <c r="F398" s="18"/>
      <c r="G398" s="18">
        <v>0</v>
      </c>
      <c r="H398" s="18">
        <v>1179.3499999999999</v>
      </c>
      <c r="I398" s="18"/>
      <c r="J398" s="24" t="s">
        <v>288</v>
      </c>
      <c r="K398" s="24" t="s">
        <v>288</v>
      </c>
      <c r="L398" s="56">
        <f t="shared" si="26"/>
        <v>1179.3499999999999</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2548.71</v>
      </c>
      <c r="I401" s="47">
        <f>SUM(I395:I400)</f>
        <v>0</v>
      </c>
      <c r="J401" s="45" t="s">
        <v>288</v>
      </c>
      <c r="K401" s="45" t="s">
        <v>288</v>
      </c>
      <c r="L401" s="47">
        <f>SUM(L395:L400)</f>
        <v>2548.71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7000</v>
      </c>
      <c r="H408" s="47">
        <f>H393+H401+H407</f>
        <v>3322.44</v>
      </c>
      <c r="I408" s="47">
        <f>I393+I401+I407</f>
        <v>0</v>
      </c>
      <c r="J408" s="24" t="s">
        <v>288</v>
      </c>
      <c r="K408" s="24" t="s">
        <v>288</v>
      </c>
      <c r="L408" s="47">
        <f>L393+L401+L407</f>
        <v>10322.439999999999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52650.66</v>
      </c>
      <c r="G439" s="18">
        <f>72450.73+84123.33</f>
        <v>156574.06</v>
      </c>
      <c r="H439" s="18"/>
      <c r="I439" s="56">
        <f t="shared" ref="I439:I445" si="33">SUM(F439:H439)</f>
        <v>209224.72</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52650.66</v>
      </c>
      <c r="G446" s="13">
        <f>SUM(G439:G445)</f>
        <v>156574.06</v>
      </c>
      <c r="H446" s="13">
        <f>SUM(H439:H445)</f>
        <v>0</v>
      </c>
      <c r="I446" s="13">
        <f>SUM(I439:I445)</f>
        <v>209224.72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52650.66</v>
      </c>
      <c r="G459" s="18">
        <v>156574.06</v>
      </c>
      <c r="H459" s="18"/>
      <c r="I459" s="56">
        <f t="shared" si="34"/>
        <v>209224.72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52650.66</v>
      </c>
      <c r="G460" s="83">
        <f>SUM(G454:G459)</f>
        <v>156574.06</v>
      </c>
      <c r="H460" s="83">
        <f>SUM(H454:H459)</f>
        <v>0</v>
      </c>
      <c r="I460" s="83">
        <f>SUM(I454:I459)</f>
        <v>209224.72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52650.66</v>
      </c>
      <c r="G461" s="42">
        <f>G452+G460</f>
        <v>156574.06</v>
      </c>
      <c r="H461" s="42">
        <f>H452+H460</f>
        <v>0</v>
      </c>
      <c r="I461" s="42">
        <f>I452+I460</f>
        <v>209224.72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36917.54</v>
      </c>
      <c r="G465" s="18"/>
      <c r="H465" s="18"/>
      <c r="I465" s="18"/>
      <c r="J465" s="18">
        <v>198902.28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839531.62</v>
      </c>
      <c r="G468" s="18"/>
      <c r="H468" s="18"/>
      <c r="I468" s="18"/>
      <c r="J468" s="18">
        <v>10322.44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839531.62</v>
      </c>
      <c r="G470" s="53">
        <f>SUM(G468:G469)</f>
        <v>0</v>
      </c>
      <c r="H470" s="53">
        <f>SUM(H468:H469)</f>
        <v>0</v>
      </c>
      <c r="I470" s="53">
        <f>SUM(I468:I469)</f>
        <v>0</v>
      </c>
      <c r="J470" s="53">
        <f>SUM(J468:J469)</f>
        <v>10322.44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771012.32</v>
      </c>
      <c r="G472" s="18"/>
      <c r="H472" s="18"/>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771012.32</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105436.84000000008</v>
      </c>
      <c r="G476" s="53">
        <f>(G465+G470)- G474</f>
        <v>0</v>
      </c>
      <c r="H476" s="53">
        <f>(H465+H470)- H474</f>
        <v>0</v>
      </c>
      <c r="I476" s="53">
        <f>(I465+I470)- I474</f>
        <v>0</v>
      </c>
      <c r="J476" s="53">
        <f>(J465+J470)- J474</f>
        <v>209224.72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v>0</v>
      </c>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v>0</v>
      </c>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519.04</v>
      </c>
      <c r="I523" s="18"/>
      <c r="J523" s="18"/>
      <c r="K523" s="18"/>
      <c r="L523" s="88">
        <f>SUM(F523:K523)</f>
        <v>519.04</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519.04</v>
      </c>
      <c r="I524" s="108">
        <f t="shared" si="36"/>
        <v>0</v>
      </c>
      <c r="J524" s="108">
        <f t="shared" si="36"/>
        <v>0</v>
      </c>
      <c r="K524" s="108">
        <f t="shared" si="36"/>
        <v>0</v>
      </c>
      <c r="L524" s="89">
        <f t="shared" si="36"/>
        <v>519.04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2466.2800000000002</v>
      </c>
      <c r="I531" s="18"/>
      <c r="J531" s="18"/>
      <c r="K531" s="18"/>
      <c r="L531" s="88">
        <f>SUM(F531:K531)</f>
        <v>2466.2800000000002</v>
      </c>
      <c r="M531" s="8"/>
      <c r="N531" s="266"/>
    </row>
    <row r="532" spans="1:14" s="3" customFormat="1" ht="12.2" customHeight="1" x14ac:dyDescent="0.15">
      <c r="A532" s="22" t="s">
        <v>634</v>
      </c>
      <c r="B532" s="105">
        <v>21</v>
      </c>
      <c r="C532" s="105">
        <v>10</v>
      </c>
      <c r="D532" s="2" t="s">
        <v>432</v>
      </c>
      <c r="E532" s="105"/>
      <c r="F532" s="18"/>
      <c r="G532" s="18"/>
      <c r="H532" s="18">
        <v>840.3</v>
      </c>
      <c r="I532" s="18"/>
      <c r="J532" s="18"/>
      <c r="K532" s="18"/>
      <c r="L532" s="88">
        <f>SUM(F532:K532)</f>
        <v>840.3</v>
      </c>
      <c r="M532" s="8"/>
      <c r="N532" s="266"/>
    </row>
    <row r="533" spans="1:14" s="3" customFormat="1" ht="12.2" customHeight="1" thickBot="1" x14ac:dyDescent="0.2">
      <c r="A533" s="22" t="s">
        <v>635</v>
      </c>
      <c r="B533" s="105">
        <v>21</v>
      </c>
      <c r="C533" s="105">
        <v>11</v>
      </c>
      <c r="D533" s="2" t="s">
        <v>432</v>
      </c>
      <c r="E533" s="105"/>
      <c r="F533" s="18"/>
      <c r="G533" s="18"/>
      <c r="H533" s="18">
        <v>894.92</v>
      </c>
      <c r="I533" s="18"/>
      <c r="J533" s="18"/>
      <c r="K533" s="18"/>
      <c r="L533" s="88">
        <f>SUM(F533:K533)</f>
        <v>894.92</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4201.5</v>
      </c>
      <c r="I534" s="89">
        <f t="shared" si="38"/>
        <v>0</v>
      </c>
      <c r="J534" s="89">
        <f t="shared" si="38"/>
        <v>0</v>
      </c>
      <c r="K534" s="89">
        <f t="shared" si="38"/>
        <v>0</v>
      </c>
      <c r="L534" s="89">
        <f t="shared" si="38"/>
        <v>4201.5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0</v>
      </c>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v>0</v>
      </c>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193.75</v>
      </c>
      <c r="I543" s="18"/>
      <c r="J543" s="18"/>
      <c r="K543" s="18"/>
      <c r="L543" s="88">
        <f>SUM(F543:K543)</f>
        <v>193.75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193.75</v>
      </c>
      <c r="I544" s="193">
        <f t="shared" si="40"/>
        <v>0</v>
      </c>
      <c r="J544" s="193">
        <f t="shared" si="40"/>
        <v>0</v>
      </c>
      <c r="K544" s="193">
        <f t="shared" si="40"/>
        <v>0</v>
      </c>
      <c r="L544" s="193">
        <f t="shared" si="40"/>
        <v>193.75</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4914.29</v>
      </c>
      <c r="I545" s="89">
        <f t="shared" si="41"/>
        <v>0</v>
      </c>
      <c r="J545" s="89">
        <f t="shared" si="41"/>
        <v>0</v>
      </c>
      <c r="K545" s="89">
        <f t="shared" si="41"/>
        <v>0</v>
      </c>
      <c r="L545" s="89">
        <f t="shared" si="41"/>
        <v>4914.29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2466.2800000000002</v>
      </c>
      <c r="I549" s="87">
        <f>L536</f>
        <v>0</v>
      </c>
      <c r="J549" s="87">
        <f>L541</f>
        <v>0</v>
      </c>
      <c r="K549" s="87">
        <f>SUM(F549:J549)</f>
        <v>2466.2800000000002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840.3</v>
      </c>
      <c r="I550" s="87">
        <f>L537</f>
        <v>0</v>
      </c>
      <c r="J550" s="87">
        <f>L542</f>
        <v>0</v>
      </c>
      <c r="K550" s="87">
        <f>SUM(F550:J550)</f>
        <v>840.3</v>
      </c>
      <c r="L550" s="24" t="s">
        <v>288</v>
      </c>
      <c r="M550" s="8"/>
      <c r="N550" s="266"/>
    </row>
    <row r="551" spans="1:14" s="3" customFormat="1" ht="12.2" customHeight="1" thickBot="1" x14ac:dyDescent="0.2">
      <c r="A551" s="22" t="s">
        <v>635</v>
      </c>
      <c r="B551" s="75">
        <v>21</v>
      </c>
      <c r="C551" s="75">
        <v>24</v>
      </c>
      <c r="D551" s="2" t="s">
        <v>432</v>
      </c>
      <c r="E551" s="75"/>
      <c r="F551" s="87">
        <f>L523</f>
        <v>519.04</v>
      </c>
      <c r="G551" s="87">
        <f>L528</f>
        <v>0</v>
      </c>
      <c r="H551" s="87">
        <f>L533</f>
        <v>894.92</v>
      </c>
      <c r="I551" s="87">
        <f>L538</f>
        <v>0</v>
      </c>
      <c r="J551" s="87">
        <f>L543</f>
        <v>193.75</v>
      </c>
      <c r="K551" s="87">
        <f>SUM(F551:J551)</f>
        <v>1607.71</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519.04</v>
      </c>
      <c r="G552" s="89">
        <f t="shared" si="42"/>
        <v>0</v>
      </c>
      <c r="H552" s="89">
        <f t="shared" si="42"/>
        <v>4201.5</v>
      </c>
      <c r="I552" s="89">
        <f t="shared" si="42"/>
        <v>0</v>
      </c>
      <c r="J552" s="89">
        <f t="shared" si="42"/>
        <v>193.75</v>
      </c>
      <c r="K552" s="89">
        <f t="shared" si="42"/>
        <v>4914.29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372320.5</v>
      </c>
      <c r="G575" s="18">
        <v>130173.5</v>
      </c>
      <c r="H575" s="18">
        <v>183140</v>
      </c>
      <c r="I575" s="87">
        <f>SUM(F575:H575)</f>
        <v>685634</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23688.12</v>
      </c>
      <c r="I591" s="18">
        <v>11844.03</v>
      </c>
      <c r="J591" s="18">
        <f>12007.31-193.75</f>
        <v>11813.56</v>
      </c>
      <c r="K591" s="104">
        <f t="shared" ref="K591:K597" si="48">SUM(H591:J591)</f>
        <v>47345.71</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193.75</v>
      </c>
      <c r="K592" s="104">
        <f t="shared" si="48"/>
        <v>193.75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23688.12</v>
      </c>
      <c r="I598" s="108">
        <f>SUM(I591:I597)</f>
        <v>11844.03</v>
      </c>
      <c r="J598" s="108">
        <f>SUM(J591:J597)</f>
        <v>12007.31</v>
      </c>
      <c r="K598" s="108">
        <f>SUM(K591:K597)</f>
        <v>47539.46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105534.34</v>
      </c>
      <c r="H617" s="109">
        <f>SUM(F52)</f>
        <v>105534.34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209224.72</v>
      </c>
      <c r="H621" s="109">
        <f>SUM(J52)</f>
        <v>209224.72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105436.84</v>
      </c>
      <c r="H622" s="109">
        <f>F476</f>
        <v>105436.84000000008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209224.72</v>
      </c>
      <c r="H626" s="109">
        <f>J476</f>
        <v>209224.72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839531.62</v>
      </c>
      <c r="H627" s="104">
        <f>SUM(F468)</f>
        <v>839531.62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10322.44</v>
      </c>
      <c r="H631" s="104">
        <f>SUM(J468)</f>
        <v>10322.44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771012.32</v>
      </c>
      <c r="H632" s="104">
        <f>SUM(F472)</f>
        <v>771012.32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10322.439999999999</v>
      </c>
      <c r="H637" s="164">
        <f>SUM(J468)</f>
        <v>10322.44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52650.66</v>
      </c>
      <c r="H639" s="104">
        <f>SUM(F461)</f>
        <v>52650.66</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156574.06</v>
      </c>
      <c r="H640" s="104">
        <f>SUM(G461)</f>
        <v>156574.06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209224.72</v>
      </c>
      <c r="H642" s="104">
        <f>SUM(I461)</f>
        <v>209224.72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3322.44</v>
      </c>
      <c r="H644" s="104">
        <f>H408</f>
        <v>3322.44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7000</v>
      </c>
      <c r="H645" s="104">
        <f>G408</f>
        <v>7000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10322.44</v>
      </c>
      <c r="H646" s="104">
        <f>L408</f>
        <v>10322.439999999999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47539.46</v>
      </c>
      <c r="H647" s="104">
        <f>L208+L226+L244</f>
        <v>47539.460000000006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23688.12</v>
      </c>
      <c r="H649" s="104">
        <f>H598</f>
        <v>23688.12</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11844.03</v>
      </c>
      <c r="H650" s="104">
        <f>I598</f>
        <v>11844.03</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12007.310000000001</v>
      </c>
      <c r="H651" s="104">
        <f>J598</f>
        <v>12007.31</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7000</v>
      </c>
      <c r="H655" s="104">
        <f>K266+K347</f>
        <v>7000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413789.27999999997</v>
      </c>
      <c r="G660" s="19">
        <f>(L229+L309+L359)</f>
        <v>148091.19</v>
      </c>
      <c r="H660" s="19">
        <f>(L247+L328+L360)</f>
        <v>202131.85</v>
      </c>
      <c r="I660" s="19">
        <f>SUM(F660:H660)</f>
        <v>764012.32</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23688.12</v>
      </c>
      <c r="G662" s="19">
        <f>(L226+L306)-(J226+J306)</f>
        <v>11844.03</v>
      </c>
      <c r="H662" s="19">
        <f>(L244+L325)-(J244+J325)</f>
        <v>12007.310000000001</v>
      </c>
      <c r="I662" s="19">
        <f>SUM(F662:H662)</f>
        <v>47539.460000000006</v>
      </c>
      <c r="J662"/>
      <c r="K662" s="13"/>
      <c r="L662" s="13"/>
      <c r="M662" s="8"/>
    </row>
    <row r="663" spans="1:13" s="3" customFormat="1" ht="12.2" customHeight="1" x14ac:dyDescent="0.15">
      <c r="A663" s="198" t="s">
        <v>129</v>
      </c>
      <c r="B663" s="169"/>
      <c r="C663" s="169"/>
      <c r="D663" s="169"/>
      <c r="E663" s="169"/>
      <c r="F663" s="199">
        <f>SUM(F575:F587)+SUM(H602:H604)+SUM(L611)</f>
        <v>372320.5</v>
      </c>
      <c r="G663" s="199">
        <f>SUM(G575:G587)+SUM(I602:I604)+L612</f>
        <v>130173.5</v>
      </c>
      <c r="H663" s="199">
        <f>SUM(H575:H587)+SUM(J602:J604)+L613</f>
        <v>183140</v>
      </c>
      <c r="I663" s="19">
        <f>SUM(F663:H663)</f>
        <v>685634</v>
      </c>
      <c r="J663" s="13"/>
      <c r="K663" s="13"/>
      <c r="L663" s="13"/>
      <c r="M663" s="9"/>
    </row>
    <row r="664" spans="1:13" s="3" customFormat="1" ht="12.2" customHeight="1" x14ac:dyDescent="0.15">
      <c r="A664" s="1" t="s">
        <v>130</v>
      </c>
      <c r="F664" s="19">
        <f>F660-SUM(F661:F663)</f>
        <v>17780.659999999974</v>
      </c>
      <c r="G664" s="19">
        <f>G660-SUM(G661:G663)</f>
        <v>6073.6600000000035</v>
      </c>
      <c r="H664" s="19">
        <f>H660-SUM(H661:H663)</f>
        <v>6984.5400000000081</v>
      </c>
      <c r="I664" s="19">
        <f>I660-SUM(I661:I663)</f>
        <v>30838.859999999986</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-17780.66</v>
      </c>
      <c r="G669" s="18">
        <v>-6073.66</v>
      </c>
      <c r="H669" s="18">
        <v>-6984.54</v>
      </c>
      <c r="I669" s="19">
        <f>SUM(F669:H669)</f>
        <v>-30838.86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EATON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 xml:space="preserve">                  EATON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686153.04</v>
      </c>
      <c r="D5" s="20">
        <f>SUM('DOE25'!L197:L200)+SUM('DOE25'!L215:L218)+SUM('DOE25'!L233:L236)-F5-G5-H5</f>
        <v>686153.04</v>
      </c>
      <c r="E5" s="243"/>
      <c r="F5" s="244">
        <v>0</v>
      </c>
      <c r="G5" s="53">
        <f>SUM('DOE25'!J197:J200)+SUM('DOE25'!J215:J218)+SUM('DOE25'!J233:J236)</f>
        <v>0</v>
      </c>
      <c r="H5" s="53">
        <f>SUM('DOE25'!K197:K200)+SUM('DOE25'!K215:K218)+SUM('DOE25'!K233:K236)</f>
        <v>0</v>
      </c>
      <c r="I5" s="256"/>
    </row>
    <row r="6" spans="1:9" x14ac:dyDescent="0.2">
      <c r="A6" s="32">
        <v>2100</v>
      </c>
      <c r="B6" t="s">
        <v>796</v>
      </c>
      <c r="C6" s="276">
        <f t="shared" si="0"/>
        <v>0</v>
      </c>
      <c r="D6" s="20">
        <f>'DOE25'!L202+'DOE25'!L220+'DOE25'!L238-F6-G6-H6</f>
        <v>0</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17602.510000000002</v>
      </c>
      <c r="D8" s="243"/>
      <c r="E8" s="20">
        <f>'DOE25'!L204+'DOE25'!L222+'DOE25'!L240-F8-G8-H8-D9-D11</f>
        <v>17602.510000000002</v>
      </c>
      <c r="F8" s="244">
        <v>0</v>
      </c>
      <c r="G8" s="53">
        <f>'DOE25'!J204+'DOE25'!J222+'DOE25'!J240</f>
        <v>0</v>
      </c>
      <c r="H8" s="53">
        <f>'DOE25'!K204+'DOE25'!K222+'DOE25'!K240</f>
        <v>0</v>
      </c>
      <c r="I8" s="256"/>
    </row>
    <row r="9" spans="1:9" ht="14.25" x14ac:dyDescent="0.2">
      <c r="A9" s="32">
        <v>2310</v>
      </c>
      <c r="B9" s="185" t="s">
        <v>890</v>
      </c>
      <c r="C9" s="276">
        <f t="shared" si="0"/>
        <v>6232.07</v>
      </c>
      <c r="D9" s="244">
        <v>6232.07</v>
      </c>
      <c r="E9" s="243"/>
      <c r="F9" s="253"/>
      <c r="G9" s="253"/>
      <c r="H9" s="253"/>
      <c r="I9" s="256"/>
    </row>
    <row r="10" spans="1:9" ht="14.25" x14ac:dyDescent="0.2">
      <c r="A10" s="32">
        <v>2317</v>
      </c>
      <c r="B10" s="185" t="s">
        <v>891</v>
      </c>
      <c r="C10" s="276">
        <f t="shared" si="0"/>
        <v>3000</v>
      </c>
      <c r="D10" s="243"/>
      <c r="E10" s="244">
        <v>3000</v>
      </c>
      <c r="F10" s="253"/>
      <c r="G10" s="253"/>
      <c r="H10" s="253"/>
      <c r="I10" s="256"/>
    </row>
    <row r="11" spans="1:9" ht="14.25" x14ac:dyDescent="0.2">
      <c r="A11" s="32">
        <v>2321</v>
      </c>
      <c r="B11" s="185" t="s">
        <v>892</v>
      </c>
      <c r="C11" s="276">
        <f t="shared" si="0"/>
        <v>6291.49</v>
      </c>
      <c r="D11" s="244">
        <v>6291.49</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47539.460000000006</v>
      </c>
      <c r="D15" s="20">
        <f>'DOE25'!L208+'DOE25'!L226+'DOE25'!L244-F15-G15-H15</f>
        <v>47539.460000000006</v>
      </c>
      <c r="E15" s="243"/>
      <c r="F15" s="244">
        <v>0</v>
      </c>
      <c r="G15" s="53">
        <f>'DOE25'!J208+'DOE25'!J226+'DOE25'!J244</f>
        <v>0</v>
      </c>
      <c r="H15" s="53">
        <f>'DOE25'!K208+'DOE25'!K226+'DOE25'!K244</f>
        <v>0</v>
      </c>
      <c r="I15" s="256"/>
    </row>
    <row r="16" spans="1:9" x14ac:dyDescent="0.2">
      <c r="A16" s="32">
        <v>2800</v>
      </c>
      <c r="B16" t="s">
        <v>800</v>
      </c>
      <c r="C16" s="276">
        <f t="shared" si="0"/>
        <v>193.75</v>
      </c>
      <c r="D16" s="243"/>
      <c r="E16" s="20">
        <f>'DOE25'!L209+'DOE25'!L227+'DOE25'!L245-F16-G16-H16</f>
        <v>193.75</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v>0</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v>0</v>
      </c>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746216.05999999994</v>
      </c>
      <c r="E33" s="245">
        <f t="shared" si="1"/>
        <v>20796.260000000002</v>
      </c>
      <c r="F33" s="245">
        <f t="shared" si="1"/>
        <v>0</v>
      </c>
      <c r="G33" s="245">
        <f t="shared" si="1"/>
        <v>0</v>
      </c>
      <c r="H33" s="245">
        <f t="shared" si="1"/>
        <v>0</v>
      </c>
      <c r="I33" s="245">
        <f t="shared" si="1"/>
        <v>0</v>
      </c>
    </row>
    <row r="35" spans="1:9" ht="12" thickBot="1" x14ac:dyDescent="0.25">
      <c r="B35" s="251" t="s">
        <v>831</v>
      </c>
      <c r="D35" s="252">
        <f>E33</f>
        <v>20796.260000000002</v>
      </c>
      <c r="E35" s="248"/>
    </row>
    <row r="36" spans="1:9" ht="12" thickTop="1" x14ac:dyDescent="0.2">
      <c r="B36" t="s">
        <v>810</v>
      </c>
      <c r="D36" s="20">
        <f>D33</f>
        <v>746216.05999999994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29" sqref="I29"/>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 xml:space="preserve">                  EATON SCHOOL DISTRICT</v>
      </c>
      <c r="B2" s="126">
        <f>'DOE25'!B2</f>
        <v>159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413789.28</v>
      </c>
      <c r="G4" s="303">
        <f>'DOE25'!L211+'DOE25'!L290</f>
        <v>413789.27999999997</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413789.28</v>
      </c>
      <c r="E6" s="294"/>
      <c r="F6" s="308">
        <f t="shared" ref="F6:F20" si="0">D6+E6</f>
        <v>413789.28</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148091.19</v>
      </c>
      <c r="G24" s="303">
        <f>'DOE25'!L229+'DOE25'!L309</f>
        <v>148091.19</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148091.19</v>
      </c>
      <c r="E26" s="294"/>
      <c r="F26" s="308">
        <f t="shared" ref="F26:F32" si="1">D26+E26</f>
        <v>148091.19</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202131.85</v>
      </c>
      <c r="G36" s="303">
        <f>'DOE25'!L247+'DOE25'!L328</f>
        <v>202131.85</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202131.85</v>
      </c>
      <c r="E38" s="294"/>
      <c r="F38" s="308">
        <f t="shared" ref="F38:F41" si="2">D38+E38</f>
        <v>202131.85</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EATON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105534.34</v>
      </c>
      <c r="D8" s="95">
        <f>'DOE25'!G9</f>
        <v>0</v>
      </c>
      <c r="E8" s="95">
        <f>'DOE25'!H9</f>
        <v>0</v>
      </c>
      <c r="F8" s="95">
        <f>'DOE25'!I9</f>
        <v>0</v>
      </c>
      <c r="G8" s="95">
        <f>'DOE25'!J9</f>
        <v>209224.72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105534.34</v>
      </c>
      <c r="D18" s="41">
        <f>SUM(D8:D17)</f>
        <v>0</v>
      </c>
      <c r="E18" s="41">
        <f>SUM(E8:E17)</f>
        <v>0</v>
      </c>
      <c r="F18" s="41">
        <f>SUM(F8:F17)</f>
        <v>0</v>
      </c>
      <c r="G18" s="41">
        <f>SUM(G8:G17)</f>
        <v>209224.72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97.5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97.5</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19149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209224.72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86287.84</v>
      </c>
      <c r="D49" s="24" t="s">
        <v>288</v>
      </c>
      <c r="E49" s="24" t="s">
        <v>288</v>
      </c>
      <c r="F49" s="24" t="s">
        <v>288</v>
      </c>
      <c r="G49" s="24" t="s">
        <v>288</v>
      </c>
      <c r="H49" s="124"/>
      <c r="I49" s="124"/>
    </row>
    <row r="50" spans="1:9" ht="12.75" thickTop="1" thickBot="1" x14ac:dyDescent="0.25">
      <c r="A50" s="38" t="s">
        <v>884</v>
      </c>
      <c r="B50" s="48"/>
      <c r="C50" s="41">
        <f>SUM(C34:C49)</f>
        <v>105436.84</v>
      </c>
      <c r="D50" s="41">
        <f>SUM(D34:D49)</f>
        <v>0</v>
      </c>
      <c r="E50" s="41">
        <f>SUM(E34:E49)</f>
        <v>0</v>
      </c>
      <c r="F50" s="41">
        <f>SUM(F34:F49)</f>
        <v>0</v>
      </c>
      <c r="G50" s="41">
        <f>SUM(G34:G49)</f>
        <v>209224.72</v>
      </c>
      <c r="H50" s="124"/>
      <c r="I50" s="124"/>
    </row>
    <row r="51" spans="1:9" ht="12" thickTop="1" x14ac:dyDescent="0.2">
      <c r="A51" s="38" t="s">
        <v>885</v>
      </c>
      <c r="B51" s="2"/>
      <c r="C51" s="41">
        <f>C50+C31</f>
        <v>105534.34</v>
      </c>
      <c r="D51" s="41">
        <f>D50+D31</f>
        <v>0</v>
      </c>
      <c r="E51" s="41">
        <f>E50+E31</f>
        <v>0</v>
      </c>
      <c r="F51" s="41">
        <f>F50+F31</f>
        <v>0</v>
      </c>
      <c r="G51" s="41">
        <f>G50+G31</f>
        <v>209224.72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540096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87.47</v>
      </c>
      <c r="D59" s="95">
        <f>'DOE25'!G96</f>
        <v>0</v>
      </c>
      <c r="E59" s="95">
        <f>'DOE25'!H96</f>
        <v>0</v>
      </c>
      <c r="F59" s="95">
        <f>'DOE25'!I96</f>
        <v>0</v>
      </c>
      <c r="G59" s="95">
        <f>'DOE25'!J96</f>
        <v>3322.44</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71284.149999999994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71371.62</v>
      </c>
      <c r="D62" s="130">
        <f>SUM(D57:D61)</f>
        <v>0</v>
      </c>
      <c r="E62" s="130">
        <f>SUM(E57:E61)</f>
        <v>0</v>
      </c>
      <c r="F62" s="130">
        <f>SUM(F57:F61)</f>
        <v>0</v>
      </c>
      <c r="G62" s="130">
        <f>SUM(G57:G61)</f>
        <v>3322.44</v>
      </c>
      <c r="H62"/>
      <c r="I62"/>
    </row>
    <row r="63" spans="1:9" ht="12" thickTop="1" x14ac:dyDescent="0.2">
      <c r="A63" s="29" t="s">
        <v>175</v>
      </c>
      <c r="B63" s="6"/>
      <c r="C63" s="22">
        <f>C56+C62</f>
        <v>611467.62</v>
      </c>
      <c r="D63" s="22">
        <f>D56+D62</f>
        <v>0</v>
      </c>
      <c r="E63" s="22">
        <f>E56+E62</f>
        <v>0</v>
      </c>
      <c r="F63" s="22">
        <f>F56+F62</f>
        <v>0</v>
      </c>
      <c r="G63" s="22">
        <f>G56+G62</f>
        <v>3322.44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225864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225864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2200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2200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228064</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7000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7000</v>
      </c>
    </row>
    <row r="104" spans="1:7" ht="12.75" thickTop="1" thickBot="1" x14ac:dyDescent="0.25">
      <c r="A104" s="33" t="s">
        <v>761</v>
      </c>
      <c r="C104" s="86">
        <f>C63+C81+C91+C103</f>
        <v>839531.62</v>
      </c>
      <c r="D104" s="86">
        <f>D63+D81+D91+D103</f>
        <v>0</v>
      </c>
      <c r="E104" s="86">
        <f>E63+E81+E91+E103</f>
        <v>0</v>
      </c>
      <c r="F104" s="86">
        <f>F63+F81+F91+F103</f>
        <v>0</v>
      </c>
      <c r="G104" s="86">
        <f>G63+G81+G103</f>
        <v>10322.44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685634</v>
      </c>
      <c r="D109" s="24" t="s">
        <v>288</v>
      </c>
      <c r="E109" s="95">
        <f>('DOE25'!L276)+('DOE25'!L295)+('DOE25'!L314)</f>
        <v>0</v>
      </c>
      <c r="F109" s="24" t="s">
        <v>288</v>
      </c>
      <c r="G109" s="24" t="s">
        <v>288</v>
      </c>
    </row>
    <row r="110" spans="1:7" x14ac:dyDescent="0.2">
      <c r="A110" t="s">
        <v>198</v>
      </c>
      <c r="B110" s="32" t="s">
        <v>199</v>
      </c>
      <c r="C110" s="95">
        <f>('DOE25'!L198)+('DOE25'!L216)+('DOE25'!L234)</f>
        <v>519.04</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686153.04</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0</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30126.07</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47539.460000000006</v>
      </c>
      <c r="D124" s="24" t="s">
        <v>288</v>
      </c>
      <c r="E124" s="95">
        <f>+('DOE25'!L287)+('DOE25'!L306)+('DOE25'!L325)</f>
        <v>0</v>
      </c>
      <c r="F124" s="24" t="s">
        <v>288</v>
      </c>
      <c r="G124" s="24" t="s">
        <v>288</v>
      </c>
    </row>
    <row r="125" spans="1:7" x14ac:dyDescent="0.2">
      <c r="A125" t="s">
        <v>220</v>
      </c>
      <c r="B125" s="32" t="s">
        <v>221</v>
      </c>
      <c r="C125" s="95">
        <f>('DOE25'!L209)+('DOE25'!L227)+('DOE25'!L245)</f>
        <v>193.75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77859.28</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7773.73</v>
      </c>
      <c r="D138" s="24" t="s">
        <v>288</v>
      </c>
      <c r="E138" s="24" t="s">
        <v>288</v>
      </c>
      <c r="F138" s="24" t="s">
        <v>288</v>
      </c>
      <c r="G138" s="24" t="s">
        <v>288</v>
      </c>
    </row>
    <row r="139" spans="1:7" x14ac:dyDescent="0.2">
      <c r="A139" t="s">
        <v>239</v>
      </c>
      <c r="B139" s="32">
        <v>5252</v>
      </c>
      <c r="C139" s="95">
        <f>'DOE25'!L401</f>
        <v>2548.71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-3322.4399999999987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7000</v>
      </c>
      <c r="D144" s="141">
        <f>SUM(D130:D143)</f>
        <v>0</v>
      </c>
      <c r="E144" s="141">
        <f>SUM(E130:E143)</f>
        <v>0</v>
      </c>
      <c r="F144" s="141">
        <f>SUM(F130:F143)</f>
        <v>0</v>
      </c>
      <c r="G144" s="141">
        <f>SUM(G130:G143)</f>
        <v>0</v>
      </c>
    </row>
    <row r="145" spans="1:9" ht="12.75" thickTop="1" thickBot="1" x14ac:dyDescent="0.25">
      <c r="A145" s="33" t="s">
        <v>244</v>
      </c>
      <c r="C145" s="86">
        <f>(C115+C128+C144)</f>
        <v>771012.32000000007</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 xml:space="preserve">                  EATON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685634</v>
      </c>
      <c r="D10" s="182">
        <f>ROUND((C10/$C$28)*100,1)</f>
        <v>89.7</v>
      </c>
    </row>
    <row r="11" spans="1:4" x14ac:dyDescent="0.2">
      <c r="A11">
        <v>1200</v>
      </c>
      <c r="B11" t="s">
        <v>703</v>
      </c>
      <c r="C11" s="179">
        <f>ROUND('DOE25'!L198+'DOE25'!L216+'DOE25'!L234+'DOE25'!L277+'DOE25'!L296+'DOE25'!L315,0)</f>
        <v>519</v>
      </c>
      <c r="D11" s="182">
        <f>ROUND((C11/$C$28)*100,1)</f>
        <v>0.1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0</v>
      </c>
      <c r="D15" s="182">
        <f t="shared" ref="D15:D27" si="0">ROUND((C15/$C$28)*100,1)</f>
        <v>0</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30320</v>
      </c>
      <c r="D17" s="182">
        <f t="shared" si="0"/>
        <v>4</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47539</v>
      </c>
      <c r="D21" s="182">
        <f t="shared" si="0"/>
        <v>6.2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764012</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764012</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540096</v>
      </c>
      <c r="D35" s="182">
        <f t="shared" ref="D35:D40" si="1">ROUND((C35/$C$41)*100,1)</f>
        <v>64.099999999999994</v>
      </c>
    </row>
    <row r="36" spans="1:4" x14ac:dyDescent="0.2">
      <c r="B36" s="185" t="s">
        <v>739</v>
      </c>
      <c r="C36" s="179">
        <f>SUM('DOE25'!F112:J112)-SUM('DOE25'!G97:G110)+('DOE25'!F174+'DOE25'!F175+'DOE25'!I174+'DOE25'!I175)-C35</f>
        <v>74694.059999999939</v>
      </c>
      <c r="D36" s="182">
        <f t="shared" si="1"/>
        <v>8.9</v>
      </c>
    </row>
    <row r="37" spans="1:4" x14ac:dyDescent="0.2">
      <c r="A37" s="183" t="s">
        <v>835</v>
      </c>
      <c r="B37" s="185" t="s">
        <v>728</v>
      </c>
      <c r="C37" s="179">
        <f>ROUND('DOE25'!F117+'DOE25'!F118,0)</f>
        <v>225864</v>
      </c>
      <c r="D37" s="182">
        <f t="shared" si="1"/>
        <v>26.8</v>
      </c>
    </row>
    <row r="38" spans="1:4" x14ac:dyDescent="0.2">
      <c r="A38" s="183" t="s">
        <v>734</v>
      </c>
      <c r="B38" s="185" t="s">
        <v>729</v>
      </c>
      <c r="C38" s="179">
        <f>ROUND(SUM('DOE25'!F140:J140)-SUM('DOE25'!F117:F119),0)</f>
        <v>2200</v>
      </c>
      <c r="D38" s="182">
        <f t="shared" si="1"/>
        <v>0.3</v>
      </c>
    </row>
    <row r="39" spans="1:4" x14ac:dyDescent="0.2">
      <c r="A39">
        <v>4000</v>
      </c>
      <c r="B39" s="185" t="s">
        <v>730</v>
      </c>
      <c r="C39" s="179">
        <f>ROUND('DOE25'!F169+'DOE25'!G169+'DOE25'!H169+'DOE25'!I169,0)</f>
        <v>0</v>
      </c>
      <c r="D39" s="182">
        <f t="shared" si="1"/>
        <v>0</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842854.05999999994</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4" sqref="C14:M1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 xml:space="preserve">                  EATON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t="s">
        <v>1610</v>
      </c>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t="s">
        <v>1611</v>
      </c>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2019-11-04T14:50:37Z</cp:lastPrinted>
  <dcterms:created xsi:type="dcterms:W3CDTF">1997-12-04T19:04:30Z</dcterms:created>
  <dcterms:modified xsi:type="dcterms:W3CDTF">2019-11-27T14:44:28Z</dcterms:modified>
</cp:coreProperties>
</file>