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13" l="1"/>
  <c r="B10" i="12"/>
  <c r="C10" i="12"/>
  <c r="H472" i="1"/>
  <c r="I314" i="1"/>
  <c r="I295" i="1"/>
  <c r="G314" i="1"/>
  <c r="G295" i="1"/>
  <c r="F314" i="1"/>
  <c r="F295" i="1"/>
  <c r="I324" i="1"/>
  <c r="I305" i="1"/>
  <c r="I320" i="1"/>
  <c r="I301" i="1"/>
  <c r="F320" i="1"/>
  <c r="F301" i="1"/>
  <c r="G319" i="1"/>
  <c r="F319" i="1"/>
  <c r="I319" i="1"/>
  <c r="I300" i="1"/>
  <c r="I276" i="1"/>
  <c r="G276" i="1"/>
  <c r="F276" i="1"/>
  <c r="H276" i="1"/>
  <c r="I286" i="1"/>
  <c r="I282" i="1"/>
  <c r="F282" i="1"/>
  <c r="F465" i="1"/>
  <c r="F472" i="1"/>
  <c r="J604" i="1"/>
  <c r="I604" i="1"/>
  <c r="H604" i="1"/>
  <c r="H368" i="1"/>
  <c r="H367" i="1"/>
  <c r="G368" i="1"/>
  <c r="G367" i="1"/>
  <c r="F368" i="1"/>
  <c r="F367" i="1"/>
  <c r="J468" i="1"/>
  <c r="C37" i="12" l="1"/>
  <c r="C19" i="12"/>
  <c r="C38" i="12"/>
  <c r="B37" i="12"/>
  <c r="C20" i="12"/>
  <c r="B21" i="12"/>
  <c r="B19" i="12"/>
  <c r="B20" i="12"/>
  <c r="C11" i="12"/>
  <c r="B12" i="12"/>
  <c r="B11" i="12"/>
  <c r="H537" i="1"/>
  <c r="J96" i="1" l="1"/>
  <c r="G611" i="1"/>
  <c r="G613" i="1"/>
  <c r="F611" i="1"/>
  <c r="G499" i="1"/>
  <c r="F440" i="1"/>
  <c r="I523" i="1" l="1"/>
  <c r="I522" i="1"/>
  <c r="I521" i="1"/>
  <c r="G523" i="1"/>
  <c r="G522" i="1"/>
  <c r="G521" i="1"/>
  <c r="F523" i="1"/>
  <c r="F522" i="1"/>
  <c r="F521" i="1"/>
  <c r="G527" i="1"/>
  <c r="J528" i="1"/>
  <c r="J527" i="1"/>
  <c r="J526" i="1"/>
  <c r="I528" i="1"/>
  <c r="I527" i="1"/>
  <c r="I526" i="1"/>
  <c r="H528" i="1"/>
  <c r="H527" i="1"/>
  <c r="H526" i="1"/>
  <c r="G528" i="1"/>
  <c r="G526" i="1"/>
  <c r="F528" i="1"/>
  <c r="F527" i="1"/>
  <c r="F526" i="1"/>
  <c r="J523" i="1"/>
  <c r="J522" i="1"/>
  <c r="J521" i="1"/>
  <c r="H523" i="1"/>
  <c r="H522" i="1"/>
  <c r="H521" i="1"/>
  <c r="F358" i="1" l="1"/>
  <c r="K360" i="1"/>
  <c r="I360" i="1"/>
  <c r="H360" i="1"/>
  <c r="G360" i="1"/>
  <c r="F360" i="1"/>
  <c r="K359" i="1"/>
  <c r="I359" i="1"/>
  <c r="H359" i="1"/>
  <c r="G359" i="1"/>
  <c r="F359" i="1"/>
  <c r="K358" i="1"/>
  <c r="I358" i="1"/>
  <c r="H358" i="1"/>
  <c r="G358" i="1"/>
  <c r="H378" i="1"/>
  <c r="F296" i="1"/>
  <c r="K344" i="1"/>
  <c r="I321" i="1"/>
  <c r="G321" i="1"/>
  <c r="F321" i="1"/>
  <c r="H320" i="1"/>
  <c r="G320" i="1"/>
  <c r="J315" i="1"/>
  <c r="H314" i="1"/>
  <c r="J314" i="1"/>
  <c r="I302" i="1"/>
  <c r="G302" i="1"/>
  <c r="F302" i="1"/>
  <c r="H301" i="1"/>
  <c r="G301" i="1"/>
  <c r="G300" i="1"/>
  <c r="F300" i="1"/>
  <c r="J296" i="1"/>
  <c r="G296" i="1"/>
  <c r="H295" i="1"/>
  <c r="J295" i="1"/>
  <c r="F283" i="1"/>
  <c r="I283" i="1"/>
  <c r="G283" i="1"/>
  <c r="H282" i="1"/>
  <c r="G282" i="1"/>
  <c r="G281" i="1"/>
  <c r="F281" i="1"/>
  <c r="J277" i="1"/>
  <c r="G277" i="1"/>
  <c r="F277" i="1"/>
  <c r="J276" i="1" l="1"/>
  <c r="G233" i="1" l="1"/>
  <c r="G215" i="1"/>
  <c r="G197" i="1"/>
  <c r="F215" i="1"/>
  <c r="F236" i="1"/>
  <c r="F218" i="1"/>
  <c r="F234" i="1"/>
  <c r="F216" i="1"/>
  <c r="F233" i="1"/>
  <c r="F239" i="1"/>
  <c r="F221" i="1"/>
  <c r="F238" i="1"/>
  <c r="F220" i="1"/>
  <c r="H244" i="1"/>
  <c r="J243" i="1"/>
  <c r="I243" i="1"/>
  <c r="H243" i="1"/>
  <c r="G243" i="1"/>
  <c r="F243" i="1"/>
  <c r="K240" i="1"/>
  <c r="I240" i="1"/>
  <c r="H240" i="1"/>
  <c r="G240" i="1"/>
  <c r="F240" i="1"/>
  <c r="K239" i="1"/>
  <c r="J239" i="1"/>
  <c r="I239" i="1"/>
  <c r="H239" i="1"/>
  <c r="G239" i="1"/>
  <c r="J238" i="1"/>
  <c r="I238" i="1"/>
  <c r="H238" i="1"/>
  <c r="G238" i="1"/>
  <c r="I234" i="1"/>
  <c r="G234" i="1"/>
  <c r="H234" i="1"/>
  <c r="I233" i="1"/>
  <c r="H233" i="1"/>
  <c r="H226" i="1"/>
  <c r="J225" i="1"/>
  <c r="I225" i="1"/>
  <c r="H225" i="1"/>
  <c r="G225" i="1"/>
  <c r="F225" i="1"/>
  <c r="K222" i="1"/>
  <c r="I222" i="1"/>
  <c r="H222" i="1"/>
  <c r="G222" i="1"/>
  <c r="F222" i="1"/>
  <c r="H221" i="1"/>
  <c r="K221" i="1"/>
  <c r="J221" i="1"/>
  <c r="I221" i="1"/>
  <c r="G221" i="1"/>
  <c r="J220" i="1"/>
  <c r="I220" i="1"/>
  <c r="H220" i="1"/>
  <c r="G220" i="1"/>
  <c r="I216" i="1"/>
  <c r="G216" i="1"/>
  <c r="H216" i="1"/>
  <c r="I215" i="1"/>
  <c r="H215" i="1"/>
  <c r="G236" i="1"/>
  <c r="G218" i="1"/>
  <c r="K241" i="1"/>
  <c r="I241" i="1"/>
  <c r="H241" i="1"/>
  <c r="G241" i="1"/>
  <c r="F241" i="1"/>
  <c r="K236" i="1"/>
  <c r="J236" i="1"/>
  <c r="I236" i="1"/>
  <c r="H236" i="1"/>
  <c r="H235" i="1"/>
  <c r="J234" i="1"/>
  <c r="K233" i="1"/>
  <c r="J233" i="1"/>
  <c r="K223" i="1"/>
  <c r="J223" i="1"/>
  <c r="I223" i="1"/>
  <c r="H223" i="1"/>
  <c r="G223" i="1"/>
  <c r="F223" i="1"/>
  <c r="K218" i="1"/>
  <c r="J218" i="1"/>
  <c r="I218" i="1"/>
  <c r="H218" i="1"/>
  <c r="J215" i="1"/>
  <c r="F202" i="1"/>
  <c r="F203" i="1"/>
  <c r="F204" i="1"/>
  <c r="H207" i="1"/>
  <c r="H208" i="1"/>
  <c r="J207" i="1"/>
  <c r="I207" i="1"/>
  <c r="G207" i="1"/>
  <c r="F207" i="1"/>
  <c r="K204" i="1"/>
  <c r="I204" i="1"/>
  <c r="H204" i="1"/>
  <c r="G204" i="1"/>
  <c r="K203" i="1"/>
  <c r="J203" i="1"/>
  <c r="I203" i="1"/>
  <c r="H203" i="1"/>
  <c r="G203" i="1"/>
  <c r="J202" i="1"/>
  <c r="I202" i="1"/>
  <c r="H202" i="1"/>
  <c r="G202" i="1"/>
  <c r="I198" i="1"/>
  <c r="G198" i="1"/>
  <c r="F198" i="1"/>
  <c r="H198" i="1"/>
  <c r="I197" i="1" l="1"/>
  <c r="H197" i="1"/>
  <c r="F197" i="1"/>
  <c r="K205" i="1"/>
  <c r="J205" i="1"/>
  <c r="I205" i="1"/>
  <c r="H205" i="1"/>
  <c r="G205" i="1"/>
  <c r="F205" i="1"/>
  <c r="K202" i="1"/>
  <c r="G200" i="1"/>
  <c r="F200" i="1"/>
  <c r="J198" i="1"/>
  <c r="J197" i="1"/>
  <c r="H159" i="1" l="1"/>
  <c r="G158" i="1"/>
  <c r="G132" i="1"/>
  <c r="G97" i="1"/>
  <c r="F110" i="1"/>
  <c r="H12" i="1" l="1"/>
  <c r="G40" i="1"/>
  <c r="G9" i="1"/>
  <c r="F29" i="1"/>
  <c r="F50" i="1"/>
  <c r="F12" i="1"/>
  <c r="F22" i="1"/>
  <c r="F24" i="1"/>
  <c r="F13"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L226" i="1"/>
  <c r="G662" i="1" s="1"/>
  <c r="L244" i="1"/>
  <c r="H662" i="1" s="1"/>
  <c r="G17" i="13"/>
  <c r="H17" i="13"/>
  <c r="L251" i="1"/>
  <c r="G18" i="13"/>
  <c r="H18" i="13"/>
  <c r="L252" i="1"/>
  <c r="D18" i="13" s="1"/>
  <c r="C18" i="13" s="1"/>
  <c r="G19" i="13"/>
  <c r="H19" i="13"/>
  <c r="L253" i="1"/>
  <c r="D19" i="13" s="1"/>
  <c r="C19" i="13" s="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L341" i="1"/>
  <c r="L342" i="1"/>
  <c r="E132" i="2" s="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L250" i="1"/>
  <c r="C113" i="2" s="1"/>
  <c r="L332" i="1"/>
  <c r="L254" i="1"/>
  <c r="L268" i="1"/>
  <c r="L269" i="1"/>
  <c r="L349" i="1"/>
  <c r="L350" i="1"/>
  <c r="E143" i="2" s="1"/>
  <c r="I665" i="1"/>
  <c r="I670" i="1"/>
  <c r="I669" i="1"/>
  <c r="C42" i="10"/>
  <c r="C32" i="10"/>
  <c r="L374" i="1"/>
  <c r="L375" i="1"/>
  <c r="L376" i="1"/>
  <c r="L377" i="1"/>
  <c r="L378" i="1"/>
  <c r="L379" i="1"/>
  <c r="L380" i="1"/>
  <c r="B2" i="10"/>
  <c r="L344" i="1"/>
  <c r="E134" i="2"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1" i="2"/>
  <c r="K270" i="1"/>
  <c r="L270" i="1" s="1"/>
  <c r="J270" i="1"/>
  <c r="I270" i="1"/>
  <c r="H270" i="1"/>
  <c r="G270" i="1"/>
  <c r="F270" i="1"/>
  <c r="A1" i="2"/>
  <c r="A2" i="2"/>
  <c r="C8" i="2"/>
  <c r="D8" i="2"/>
  <c r="E8" i="2"/>
  <c r="F8" i="2"/>
  <c r="F18" i="2" s="1"/>
  <c r="I439" i="1"/>
  <c r="J9" i="1" s="1"/>
  <c r="G8" i="2" s="1"/>
  <c r="C9" i="2"/>
  <c r="D9" i="2"/>
  <c r="E9" i="2"/>
  <c r="F9" i="2"/>
  <c r="I440" i="1"/>
  <c r="J10" i="1" s="1"/>
  <c r="G9" i="2" s="1"/>
  <c r="C10" i="2"/>
  <c r="C11" i="2"/>
  <c r="C18" i="2" s="1"/>
  <c r="D11" i="2"/>
  <c r="E11" i="2"/>
  <c r="F11" i="2"/>
  <c r="I441" i="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C24" i="2"/>
  <c r="D24" i="2"/>
  <c r="E24" i="2"/>
  <c r="F24" i="2"/>
  <c r="C25" i="2"/>
  <c r="F25" i="2"/>
  <c r="C26" i="2"/>
  <c r="F26" i="2"/>
  <c r="C27" i="2"/>
  <c r="D27" i="2"/>
  <c r="D31" i="2" s="1"/>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7" i="2"/>
  <c r="E62" i="2" s="1"/>
  <c r="E63" i="2" s="1"/>
  <c r="C58" i="2"/>
  <c r="E58" i="2"/>
  <c r="C59" i="2"/>
  <c r="D59" i="2"/>
  <c r="D62" i="2" s="1"/>
  <c r="D63" i="2" s="1"/>
  <c r="E59" i="2"/>
  <c r="F59" i="2"/>
  <c r="D60" i="2"/>
  <c r="C61" i="2"/>
  <c r="D61" i="2"/>
  <c r="E61" i="2"/>
  <c r="F61" i="2"/>
  <c r="C66" i="2"/>
  <c r="C67" i="2"/>
  <c r="C69" i="2"/>
  <c r="D69" i="2"/>
  <c r="D70" i="2" s="1"/>
  <c r="D81" i="2" s="1"/>
  <c r="E69" i="2"/>
  <c r="E70" i="2" s="1"/>
  <c r="F69" i="2"/>
  <c r="F70" i="2" s="1"/>
  <c r="G69" i="2"/>
  <c r="G70" i="2" s="1"/>
  <c r="C72" i="2"/>
  <c r="F72" i="2"/>
  <c r="F78" i="2" s="1"/>
  <c r="F81" i="2" s="1"/>
  <c r="C73" i="2"/>
  <c r="F73" i="2"/>
  <c r="C74" i="2"/>
  <c r="C75" i="2"/>
  <c r="C76" i="2"/>
  <c r="E76" i="2"/>
  <c r="E78" i="2" s="1"/>
  <c r="F76" i="2"/>
  <c r="C77" i="2"/>
  <c r="D77" i="2"/>
  <c r="D78" i="2" s="1"/>
  <c r="E77" i="2"/>
  <c r="F77" i="2"/>
  <c r="G77" i="2"/>
  <c r="G78" i="2" s="1"/>
  <c r="G81" i="2" s="1"/>
  <c r="C79" i="2"/>
  <c r="D79" i="2"/>
  <c r="E79" i="2"/>
  <c r="C80" i="2"/>
  <c r="E80" i="2"/>
  <c r="D85" i="2"/>
  <c r="D91" i="2" s="1"/>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D115" i="2"/>
  <c r="F115" i="2"/>
  <c r="G115" i="2"/>
  <c r="E121" i="2"/>
  <c r="E123" i="2"/>
  <c r="E124" i="2"/>
  <c r="C125" i="2"/>
  <c r="E125" i="2"/>
  <c r="F128" i="2"/>
  <c r="G128" i="2"/>
  <c r="C130" i="2"/>
  <c r="D134" i="2"/>
  <c r="D144" i="2" s="1"/>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J617" i="1" s="1"/>
  <c r="G32" i="1"/>
  <c r="G52" i="1" s="1"/>
  <c r="H618" i="1" s="1"/>
  <c r="H32" i="1"/>
  <c r="I32" i="1"/>
  <c r="H51" i="1"/>
  <c r="I51" i="1"/>
  <c r="I52" i="1" s="1"/>
  <c r="H620" i="1" s="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H408" i="1"/>
  <c r="H644" i="1" s="1"/>
  <c r="I408" i="1"/>
  <c r="L413" i="1"/>
  <c r="L414" i="1"/>
  <c r="L415" i="1"/>
  <c r="L416" i="1"/>
  <c r="L419" i="1" s="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H452" i="1"/>
  <c r="F460" i="1"/>
  <c r="G460" i="1"/>
  <c r="H460" i="1"/>
  <c r="G461" i="1"/>
  <c r="H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H571" i="1" s="1"/>
  <c r="I560" i="1"/>
  <c r="J560" i="1"/>
  <c r="K560" i="1"/>
  <c r="L562" i="1"/>
  <c r="L563" i="1"/>
  <c r="L564" i="1"/>
  <c r="F565" i="1"/>
  <c r="F571" i="1" s="1"/>
  <c r="G565" i="1"/>
  <c r="H565" i="1"/>
  <c r="I565" i="1"/>
  <c r="I571" i="1" s="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0" i="1"/>
  <c r="G622" i="1"/>
  <c r="G623" i="1"/>
  <c r="G624" i="1"/>
  <c r="G625" i="1"/>
  <c r="H627" i="1"/>
  <c r="H628" i="1"/>
  <c r="H629" i="1"/>
  <c r="H630" i="1"/>
  <c r="H631" i="1"/>
  <c r="H632" i="1"/>
  <c r="H633" i="1"/>
  <c r="H635" i="1"/>
  <c r="H636" i="1"/>
  <c r="H637" i="1"/>
  <c r="H638" i="1"/>
  <c r="G640" i="1"/>
  <c r="J640" i="1" s="1"/>
  <c r="H640" i="1"/>
  <c r="G641" i="1"/>
  <c r="H641" i="1"/>
  <c r="J641" i="1" s="1"/>
  <c r="G643" i="1"/>
  <c r="H643" i="1"/>
  <c r="J643" i="1" s="1"/>
  <c r="G644" i="1"/>
  <c r="G645" i="1"/>
  <c r="G652" i="1"/>
  <c r="H652" i="1"/>
  <c r="G653" i="1"/>
  <c r="H653" i="1"/>
  <c r="G654" i="1"/>
  <c r="H654" i="1"/>
  <c r="H655" i="1"/>
  <c r="J655" i="1" s="1"/>
  <c r="E103" i="2"/>
  <c r="G62" i="2"/>
  <c r="I169" i="1"/>
  <c r="H476" i="1"/>
  <c r="H624" i="1" s="1"/>
  <c r="J140" i="1"/>
  <c r="G22" i="2"/>
  <c r="H140" i="1"/>
  <c r="G192" i="1"/>
  <c r="J624" i="1" l="1"/>
  <c r="F476" i="1"/>
  <c r="H622" i="1" s="1"/>
  <c r="J622" i="1" s="1"/>
  <c r="L427" i="1"/>
  <c r="L434" i="1" s="1"/>
  <c r="G638" i="1" s="1"/>
  <c r="J638" i="1" s="1"/>
  <c r="G476" i="1"/>
  <c r="H623" i="1" s="1"/>
  <c r="A40" i="12"/>
  <c r="J476" i="1"/>
  <c r="H626" i="1" s="1"/>
  <c r="G157" i="2"/>
  <c r="G164" i="2"/>
  <c r="J639" i="1"/>
  <c r="L401" i="1"/>
  <c r="C139" i="2" s="1"/>
  <c r="J644" i="1"/>
  <c r="L565" i="1"/>
  <c r="L571" i="1" s="1"/>
  <c r="J552" i="1"/>
  <c r="H552" i="1"/>
  <c r="L534" i="1"/>
  <c r="K551" i="1"/>
  <c r="G552" i="1"/>
  <c r="L529" i="1"/>
  <c r="I545" i="1"/>
  <c r="G545" i="1"/>
  <c r="K550" i="1"/>
  <c r="K549" i="1"/>
  <c r="I369" i="1"/>
  <c r="H634" i="1" s="1"/>
  <c r="J634" i="1" s="1"/>
  <c r="H661" i="1"/>
  <c r="L362" i="1"/>
  <c r="G635" i="1" s="1"/>
  <c r="J635" i="1" s="1"/>
  <c r="E110" i="2"/>
  <c r="G338" i="1"/>
  <c r="G352" i="1" s="1"/>
  <c r="E119" i="2"/>
  <c r="E120" i="2"/>
  <c r="F338" i="1"/>
  <c r="F352" i="1" s="1"/>
  <c r="L309" i="1"/>
  <c r="L351" i="1"/>
  <c r="G651" i="1"/>
  <c r="J651" i="1" s="1"/>
  <c r="G650" i="1"/>
  <c r="J650" i="1" s="1"/>
  <c r="C123" i="2"/>
  <c r="J257" i="1"/>
  <c r="J271" i="1" s="1"/>
  <c r="C121" i="2"/>
  <c r="C119" i="2"/>
  <c r="H257" i="1"/>
  <c r="H271" i="1" s="1"/>
  <c r="C112" i="2"/>
  <c r="C11" i="10"/>
  <c r="F257" i="1"/>
  <c r="F271" i="1" s="1"/>
  <c r="C17" i="10"/>
  <c r="C110" i="2"/>
  <c r="C13" i="10"/>
  <c r="H112" i="1"/>
  <c r="F192" i="1"/>
  <c r="C70" i="2"/>
  <c r="C62" i="2"/>
  <c r="E31" i="2"/>
  <c r="H52" i="1"/>
  <c r="H619" i="1" s="1"/>
  <c r="J619" i="1" s="1"/>
  <c r="J623" i="1"/>
  <c r="D50" i="2"/>
  <c r="D18" i="2"/>
  <c r="K257" i="1"/>
  <c r="K271" i="1" s="1"/>
  <c r="B161" i="2"/>
  <c r="G161" i="2" s="1"/>
  <c r="K500" i="1"/>
  <c r="I257" i="1"/>
  <c r="I271" i="1" s="1"/>
  <c r="C132" i="2"/>
  <c r="C25" i="10"/>
  <c r="L328" i="1"/>
  <c r="E122" i="2"/>
  <c r="E118" i="2"/>
  <c r="L290" i="1"/>
  <c r="E109" i="2"/>
  <c r="L247" i="1"/>
  <c r="J45" i="1"/>
  <c r="G44" i="2" s="1"/>
  <c r="I460" i="1"/>
  <c r="I25" i="13"/>
  <c r="I476" i="1"/>
  <c r="H625" i="1" s="1"/>
  <c r="J625" i="1" s="1"/>
  <c r="C114" i="2"/>
  <c r="C78" i="2"/>
  <c r="C81" i="2" s="1"/>
  <c r="F661" i="1"/>
  <c r="F169" i="1"/>
  <c r="L393" i="1"/>
  <c r="C138" i="2" s="1"/>
  <c r="C29" i="10"/>
  <c r="E81" i="2"/>
  <c r="I552" i="1"/>
  <c r="F130" i="2"/>
  <c r="F144" i="2" s="1"/>
  <c r="F145" i="2" s="1"/>
  <c r="J24" i="1"/>
  <c r="G23" i="2" s="1"/>
  <c r="I452" i="1"/>
  <c r="I461" i="1" s="1"/>
  <c r="H642" i="1" s="1"/>
  <c r="J12" i="1"/>
  <c r="G11" i="2" s="1"/>
  <c r="I446" i="1"/>
  <c r="G642" i="1" s="1"/>
  <c r="J642" i="1" s="1"/>
  <c r="F112" i="1"/>
  <c r="C56" i="2"/>
  <c r="C35" i="10"/>
  <c r="D15" i="13"/>
  <c r="C15" i="13" s="1"/>
  <c r="C124" i="2"/>
  <c r="G649" i="1"/>
  <c r="J649" i="1" s="1"/>
  <c r="F662" i="1"/>
  <c r="I662" i="1" s="1"/>
  <c r="C21" i="10"/>
  <c r="D6" i="13"/>
  <c r="C6" i="13" s="1"/>
  <c r="C118" i="2"/>
  <c r="C15" i="10"/>
  <c r="C111" i="2"/>
  <c r="E13" i="13"/>
  <c r="C13" i="13" s="1"/>
  <c r="C19" i="10"/>
  <c r="C122" i="2"/>
  <c r="H647" i="1"/>
  <c r="L614" i="1"/>
  <c r="G156" i="2"/>
  <c r="G661" i="1"/>
  <c r="L211" i="1"/>
  <c r="K571" i="1"/>
  <c r="K545" i="1"/>
  <c r="J645" i="1"/>
  <c r="K598" i="1"/>
  <c r="G647" i="1" s="1"/>
  <c r="J571" i="1"/>
  <c r="H545" i="1"/>
  <c r="J545" i="1"/>
  <c r="F552" i="1"/>
  <c r="C26" i="10"/>
  <c r="C142" i="2"/>
  <c r="C18" i="10"/>
  <c r="D14" i="13"/>
  <c r="C14" i="13" s="1"/>
  <c r="G22" i="13"/>
  <c r="C22" i="13" s="1"/>
  <c r="L539" i="1"/>
  <c r="K503" i="1"/>
  <c r="L382" i="1"/>
  <c r="G636" i="1" s="1"/>
  <c r="J636" i="1" s="1"/>
  <c r="K338" i="1"/>
  <c r="K352" i="1" s="1"/>
  <c r="G257" i="1"/>
  <c r="G271" i="1" s="1"/>
  <c r="A13" i="12"/>
  <c r="D29" i="13"/>
  <c r="C29" i="13" s="1"/>
  <c r="D12" i="13"/>
  <c r="C12" i="13" s="1"/>
  <c r="D5" i="13"/>
  <c r="C5" i="13" s="1"/>
  <c r="E8" i="13"/>
  <c r="C8" i="13" s="1"/>
  <c r="H338" i="1"/>
  <c r="H352" i="1" s="1"/>
  <c r="C85" i="2"/>
  <c r="C91" i="2" s="1"/>
  <c r="C20" i="10"/>
  <c r="L544" i="1"/>
  <c r="L524" i="1"/>
  <c r="J338" i="1"/>
  <c r="J352" i="1" s="1"/>
  <c r="D127" i="2"/>
  <c r="D128" i="2" s="1"/>
  <c r="D145" i="2" s="1"/>
  <c r="C120" i="2"/>
  <c r="E112" i="2"/>
  <c r="C16" i="10"/>
  <c r="D17" i="13"/>
  <c r="C17" i="13" s="1"/>
  <c r="D7" i="13"/>
  <c r="C7" i="13" s="1"/>
  <c r="E16" i="13"/>
  <c r="C10" i="10"/>
  <c r="C109" i="2"/>
  <c r="L229" i="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L407" i="1"/>
  <c r="C140" i="2" s="1"/>
  <c r="I192" i="1"/>
  <c r="E91" i="2"/>
  <c r="D51" i="2"/>
  <c r="J654" i="1"/>
  <c r="J653" i="1"/>
  <c r="G21" i="2"/>
  <c r="G31" i="2" s="1"/>
  <c r="J32" i="1"/>
  <c r="J434" i="1"/>
  <c r="F434" i="1"/>
  <c r="K434" i="1"/>
  <c r="G134" i="2" s="1"/>
  <c r="G144" i="2" s="1"/>
  <c r="G145" i="2" s="1"/>
  <c r="G31" i="13"/>
  <c r="G33" i="13" s="1"/>
  <c r="J193" i="1"/>
  <c r="G646" i="1" s="1"/>
  <c r="F104" i="2"/>
  <c r="H193" i="1"/>
  <c r="G629" i="1" s="1"/>
  <c r="J629" i="1" s="1"/>
  <c r="G169" i="1"/>
  <c r="C39" i="10" s="1"/>
  <c r="G140" i="1"/>
  <c r="F140" i="1"/>
  <c r="G63" i="2"/>
  <c r="J618" i="1"/>
  <c r="G42" i="2"/>
  <c r="G50" i="2" s="1"/>
  <c r="G51" i="2" s="1"/>
  <c r="J51" i="1"/>
  <c r="G16" i="2"/>
  <c r="G18" i="2"/>
  <c r="F545" i="1"/>
  <c r="H434" i="1"/>
  <c r="J620" i="1"/>
  <c r="D103" i="2"/>
  <c r="D104" i="2" s="1"/>
  <c r="I140" i="1"/>
  <c r="A22" i="12"/>
  <c r="J652" i="1"/>
  <c r="G571" i="1"/>
  <c r="I434" i="1"/>
  <c r="G434" i="1"/>
  <c r="E104" i="2"/>
  <c r="I663" i="1"/>
  <c r="L545" i="1" l="1"/>
  <c r="K552" i="1"/>
  <c r="C27" i="10"/>
  <c r="C28" i="10" s="1"/>
  <c r="D23" i="10" s="1"/>
  <c r="G36" i="14"/>
  <c r="H36" i="14" s="1"/>
  <c r="I36" i="14" s="1"/>
  <c r="E128" i="2"/>
  <c r="G24" i="14"/>
  <c r="H24" i="14" s="1"/>
  <c r="I24" i="14" s="1"/>
  <c r="L338" i="1"/>
  <c r="L352" i="1" s="1"/>
  <c r="G633" i="1" s="1"/>
  <c r="J633" i="1" s="1"/>
  <c r="H660" i="1"/>
  <c r="H664" i="1" s="1"/>
  <c r="H667" i="1" s="1"/>
  <c r="L257" i="1"/>
  <c r="L271" i="1" s="1"/>
  <c r="G632" i="1" s="1"/>
  <c r="J632" i="1" s="1"/>
  <c r="J647" i="1"/>
  <c r="C115" i="2"/>
  <c r="E33" i="13"/>
  <c r="D35" i="13" s="1"/>
  <c r="C128" i="2"/>
  <c r="F660" i="1"/>
  <c r="F664" i="1" s="1"/>
  <c r="F672" i="1" s="1"/>
  <c r="C4" i="10" s="1"/>
  <c r="G4" i="14"/>
  <c r="H4" i="14" s="1"/>
  <c r="I4" i="14" s="1"/>
  <c r="C36" i="10"/>
  <c r="F193" i="1"/>
  <c r="G627" i="1" s="1"/>
  <c r="J627" i="1" s="1"/>
  <c r="C63" i="2"/>
  <c r="C104" i="2" s="1"/>
  <c r="J19" i="1"/>
  <c r="G621" i="1" s="1"/>
  <c r="D31" i="13"/>
  <c r="C31" i="13" s="1"/>
  <c r="H648" i="1"/>
  <c r="J648" i="1" s="1"/>
  <c r="I193" i="1"/>
  <c r="G630" i="1" s="1"/>
  <c r="J630" i="1" s="1"/>
  <c r="G104" i="2"/>
  <c r="L408" i="1"/>
  <c r="C141" i="2"/>
  <c r="C144" i="2" s="1"/>
  <c r="G660" i="1"/>
  <c r="G664" i="1" s="1"/>
  <c r="G672" i="1" s="1"/>
  <c r="C5" i="10" s="1"/>
  <c r="I661" i="1"/>
  <c r="C25" i="13"/>
  <c r="I33" i="13"/>
  <c r="E115" i="2"/>
  <c r="C51" i="2"/>
  <c r="G631" i="1"/>
  <c r="J631" i="1" s="1"/>
  <c r="G193" i="1"/>
  <c r="G628" i="1" s="1"/>
  <c r="J628" i="1" s="1"/>
  <c r="G626" i="1"/>
  <c r="J626" i="1" s="1"/>
  <c r="J52" i="1"/>
  <c r="H621" i="1" s="1"/>
  <c r="J621" i="1" s="1"/>
  <c r="C38" i="10"/>
  <c r="E145" i="2" l="1"/>
  <c r="H672" i="1"/>
  <c r="C6" i="10" s="1"/>
  <c r="C145" i="2"/>
  <c r="F667" i="1"/>
  <c r="D25" i="10"/>
  <c r="G667" i="1"/>
  <c r="I660" i="1"/>
  <c r="I664" i="1" s="1"/>
  <c r="I672" i="1" s="1"/>
  <c r="C7" i="10" s="1"/>
  <c r="G637" i="1"/>
  <c r="J637" i="1" s="1"/>
  <c r="H646" i="1"/>
  <c r="J646" i="1" s="1"/>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<sst xmlns="http://schemas.openxmlformats.org/spreadsheetml/2006/main" count="5518" uniqueCount="1623">
  <si>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</si>
  <si>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</si>
  <si>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</si>
  <si>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</si>
  <si>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</si>
  <si>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</si>
  <si>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</si>
  <si>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</si>
  <si>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</si>
  <si>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</si>
  <si>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</si>
  <si>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</si>
  <si>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</si>
  <si>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</si>
  <si>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</si>
  <si>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</si>
  <si>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</si>
  <si>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</si>
  <si>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</si>
  <si>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</si>
  <si>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</si>
  <si>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</si>
  <si>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</si>
  <si>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</si>
  <si>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</si>
  <si>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</si>
  <si>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</si>
  <si>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</si>
  <si>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</si>
  <si>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</si>
  <si>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</si>
  <si>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</si>
  <si>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</si>
  <si>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</si>
  <si>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</si>
  <si>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</si>
  <si>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</si>
  <si>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</si>
  <si>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</si>
  <si>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</si>
  <si>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</si>
  <si>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</si>
  <si>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</si>
  <si>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</si>
  <si>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</si>
  <si>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</si>
  <si>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</si>
  <si>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</si>
  <si>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</si>
  <si>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</si>
  <si>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</si>
  <si>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</si>
  <si>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</si>
  <si>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</si>
  <si>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</si>
  <si>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</si>
  <si>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</si>
  <si>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</si>
  <si>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</si>
  <si>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</si>
  <si>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</si>
  <si>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</si>
  <si>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</si>
  <si>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</si>
  <si>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</si>
  <si>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</si>
  <si>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</si>
  <si>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</si>
  <si>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</si>
  <si>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</si>
  <si>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</si>
  <si>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</si>
  <si>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</si>
  <si>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</si>
  <si>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</si>
  <si>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</si>
  <si>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</si>
  <si>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</si>
  <si>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</si>
  <si>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</si>
  <si>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</si>
  <si>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</si>
  <si>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</si>
  <si>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</si>
  <si>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</si>
  <si>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</si>
  <si>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</si>
  <si>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</si>
  <si>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</si>
  <si>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</si>
  <si>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</si>
  <si>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</si>
  <si>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</si>
  <si>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</si>
  <si>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</si>
  <si>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</si>
  <si>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</si>
  <si>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</si>
  <si>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</si>
  <si>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</si>
  <si>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</si>
  <si>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</si>
  <si>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</si>
  <si>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</si>
  <si>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</si>
  <si>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</si>
  <si>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</si>
  <si>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</si>
  <si>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</si>
  <si>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</si>
  <si>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</si>
  <si>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</si>
  <si>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</si>
  <si>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</si>
  <si>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</si>
  <si>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</si>
  <si>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</si>
  <si>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</si>
  <si>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</si>
  <si>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</si>
  <si>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</si>
  <si>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</si>
  <si>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</si>
  <si>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</si>
  <si>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</si>
  <si>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</si>
  <si>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</si>
  <si>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</si>
  <si>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</si>
  <si>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</si>
  <si>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</si>
  <si>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</si>
  <si>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</si>
  <si>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</si>
  <si>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</si>
  <si>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</si>
  <si>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</si>
  <si>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</si>
  <si>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</si>
  <si>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</si>
  <si>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</si>
  <si>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</si>
  <si>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</si>
  <si>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</si>
  <si>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</si>
  <si>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</si>
  <si>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</si>
  <si>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</si>
  <si>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</si>
  <si>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</si>
  <si>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</si>
  <si>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</si>
  <si>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</si>
  <si>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</si>
  <si>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</si>
  <si>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</si>
  <si>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</si>
  <si>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</si>
  <si>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</si>
  <si>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</si>
  <si>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</si>
  <si>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</si>
  <si>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</si>
  <si>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</si>
  <si>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</si>
  <si>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</si>
  <si>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</si>
  <si>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</si>
  <si>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</si>
  <si>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</si>
  <si>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</si>
  <si>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</si>
  <si>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</si>
  <si>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</si>
  <si>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</si>
  <si>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</si>
  <si>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</si>
  <si>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</si>
  <si>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</si>
  <si>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</si>
  <si>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</si>
  <si>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</si>
  <si>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</si>
  <si>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</si>
  <si>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</si>
  <si>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</si>
  <si>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</si>
  <si>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</si>
  <si>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</si>
  <si>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</si>
  <si>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</si>
  <si>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</si>
  <si>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</si>
  <si>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</si>
  <si>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</si>
  <si>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</si>
  <si>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</si>
  <si>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</si>
  <si>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</si>
  <si>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</si>
  <si>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</si>
  <si>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</si>
  <si>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</si>
  <si>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</si>
  <si>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</si>
  <si>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</si>
  <si>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</si>
  <si>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</si>
  <si>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</si>
  <si>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</si>
  <si>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</si>
  <si>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</si>
  <si>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</si>
  <si>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</si>
  <si>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</si>
  <si>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</si>
  <si>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</si>
  <si>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</si>
  <si>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</si>
  <si>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</si>
  <si>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</si>
  <si>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</si>
  <si>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</si>
  <si>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</si>
  <si>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</si>
  <si>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</si>
  <si>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</si>
  <si>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</si>
  <si>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</si>
  <si>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</si>
  <si>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</si>
  <si>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</si>
  <si>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</si>
  <si>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</si>
  <si>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</si>
  <si>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</si>
  <si>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</si>
  <si>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</si>
  <si>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</si>
  <si>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</si>
  <si>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</si>
  <si>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</si>
  <si>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</si>
  <si>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</si>
  <si>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</si>
  <si>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</si>
  <si>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</si>
  <si>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</si>
  <si>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</si>
  <si>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</si>
  <si>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</si>
  <si>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</si>
  <si>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</si>
  <si>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</si>
  <si>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</si>
  <si>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</si>
  <si>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</si>
  <si>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</si>
  <si>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</si>
  <si>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</si>
  <si>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</si>
  <si>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</si>
  <si>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</si>
  <si>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</si>
  <si>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</si>
  <si>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</si>
  <si>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</si>
  <si>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</si>
  <si>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</si>
  <si>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</si>
  <si>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</si>
  <si>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</si>
  <si>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</si>
  <si>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</si>
  <si>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</si>
  <si>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</si>
  <si>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</si>
  <si>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</si>
  <si>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</si>
  <si>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</si>
  <si>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</si>
  <si>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</si>
  <si>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</si>
  <si>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</si>
  <si>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</si>
  <si>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</si>
  <si>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</si>
  <si>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</si>
  <si>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</si>
  <si>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</si>
  <si>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</si>
  <si>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</si>
  <si>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</si>
  <si>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</si>
  <si>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</si>
  <si>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</si>
  <si>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</si>
  <si>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</si>
  <si>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</si>
  <si>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</si>
  <si>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</si>
  <si>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</si>
  <si>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</si>
  <si>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</si>
  <si>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</si>
  <si>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</si>
  <si>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</si>
  <si>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</si>
  <si>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</si>
  <si>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</si>
  <si>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</si>
  <si>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</si>
  <si>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</si>
  <si>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</si>
  <si>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</si>
  <si>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</si>
  <si>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</si>
  <si>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</si>
  <si>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</si>
  <si>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</si>
  <si>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</si>
  <si>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</si>
  <si>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</si>
  <si>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</si>
  <si>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</si>
  <si>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</si>
  <si>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</si>
  <si>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</si>
  <si>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</si>
  <si>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</si>
  <si>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</si>
  <si>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</si>
  <si>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</si>
  <si>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</si>
  <si>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</si>
  <si>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</si>
  <si>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</si>
  <si>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</si>
  <si>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</si>
  <si>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</si>
  <si>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</si>
  <si>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</si>
  <si>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</si>
  <si>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</si>
  <si>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</si>
  <si>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</si>
  <si>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</si>
  <si>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</si>
  <si>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</si>
  <si>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</si>
  <si>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</si>
  <si>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</si>
  <si>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</si>
  <si>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</si>
  <si>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</si>
  <si>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</si>
  <si>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</si>
  <si>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</si>
  <si>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</si>
  <si>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</si>
  <si>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</si>
  <si>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</si>
  <si>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</si>
  <si>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</si>
  <si>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</si>
  <si>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</si>
  <si>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</si>
  <si>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</si>
  <si>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</si>
  <si>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</si>
  <si>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</si>
  <si>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</si>
  <si>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</si>
  <si>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</si>
  <si>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</si>
  <si>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</si>
  <si>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</si>
  <si>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</si>
  <si>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</si>
  <si>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</si>
  <si>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</si>
  <si>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</si>
  <si>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</si>
  <si>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</si>
  <si>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</si>
  <si>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</si>
  <si>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</si>
  <si>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</si>
  <si>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</si>
  <si>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</si>
  <si>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</si>
  <si>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</si>
  <si>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</si>
  <si>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</si>
  <si>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</si>
  <si>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</si>
  <si>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</si>
  <si>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</si>
  <si>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</si>
  <si>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</si>
  <si>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</si>
  <si>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</si>
  <si>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</si>
  <si>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</si>
  <si>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</si>
  <si>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</si>
  <si>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</si>
  <si>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</si>
  <si>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</si>
  <si>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</si>
  <si>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</si>
  <si>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</si>
  <si>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</si>
  <si>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</si>
  <si>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</si>
  <si>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</si>
  <si>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</si>
  <si>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</si>
  <si>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</si>
  <si>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</si>
  <si>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</si>
  <si>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</si>
  <si>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</si>
  <si>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</si>
  <si>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</si>
  <si>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</si>
  <si>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</si>
  <si>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</si>
  <si>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</si>
  <si>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</si>
  <si>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</si>
  <si>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</si>
  <si>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</si>
  <si>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</si>
  <si>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</si>
  <si>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</si>
  <si>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</si>
  <si>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</si>
  <si>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</si>
  <si>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</si>
  <si>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</si>
  <si>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</si>
  <si>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</si>
  <si>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</si>
  <si>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</si>
  <si>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</si>
  <si>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</si>
  <si>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</si>
  <si>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</si>
  <si>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</si>
  <si>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</si>
  <si>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</si>
  <si>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</si>
  <si>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</si>
  <si>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</si>
  <si>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</si>
  <si>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</si>
  <si>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</si>
  <si>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</si>
  <si>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</si>
  <si>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</si>
  <si>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</si>
  <si>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</si>
  <si>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</si>
  <si>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</si>
  <si>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</si>
  <si>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</si>
  <si>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</si>
  <si>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</si>
  <si>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</si>
  <si>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</si>
  <si>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</si>
  <si>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</si>
  <si>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</si>
  <si>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</si>
  <si>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</si>
  <si>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</si>
  <si>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</si>
  <si>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</si>
  <si>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</si>
  <si>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</si>
  <si>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</si>
  <si>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</si>
  <si>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</si>
  <si>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</si>
  <si>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</si>
  <si>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</si>
  <si>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</si>
  <si>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</si>
  <si>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</si>
  <si>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</si>
  <si>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</si>
  <si>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</si>
  <si>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</si>
  <si>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</si>
  <si>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</si>
  <si>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</si>
  <si>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</si>
  <si>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</si>
  <si>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</si>
  <si>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</si>
  <si>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</si>
  <si>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</si>
  <si>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</si>
  <si>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</si>
  <si>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</si>
  <si>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</si>
  <si>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</si>
  <si>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</si>
  <si>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</si>
  <si>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</si>
  <si>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</si>
  <si>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</si>
  <si>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</si>
  <si>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</si>
  <si>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</si>
  <si>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</si>
  <si>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</si>
  <si>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</si>
  <si>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</si>
  <si>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</si>
  <si>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</si>
  <si>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</si>
  <si>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</si>
  <si>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</si>
  <si>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</si>
  <si>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</si>
  <si>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</si>
  <si>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</si>
  <si>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</si>
  <si>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</si>
  <si>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</si>
  <si>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</si>
  <si>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</si>
  <si>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</si>
  <si>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</si>
  <si>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</si>
  <si>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</si>
  <si>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</si>
  <si>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</si>
  <si>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</si>
  <si>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</si>
  <si>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</si>
  <si>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</si>
  <si>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</si>
  <si>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</si>
  <si>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</si>
  <si>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</si>
  <si>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</si>
  <si>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</si>
  <si>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</si>
  <si>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</si>
  <si>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</si>
  <si>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</si>
  <si>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</si>
  <si>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</si>
  <si>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</si>
  <si>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</si>
  <si>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</si>
  <si>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</si>
  <si>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</si>
  <si>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</si>
  <si>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</si>
  <si>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</si>
  <si>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</si>
  <si>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</si>
  <si>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</si>
  <si>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</si>
  <si>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</si>
  <si>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</si>
  <si>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</si>
  <si>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</si>
  <si>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</si>
  <si>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</si>
  <si>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</si>
  <si>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</si>
  <si>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</si>
  <si>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</si>
  <si>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</si>
  <si>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</si>
  <si>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</si>
  <si>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</si>
  <si>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</si>
  <si>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</si>
  <si>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</si>
  <si>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</si>
  <si>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</si>
  <si>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</si>
  <si>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</si>
  <si>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</si>
  <si>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</si>
  <si>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</si>
  <si>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</si>
  <si>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</si>
  <si>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</si>
  <si>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</si>
  <si>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</si>
  <si>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</si>
  <si>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</si>
  <si>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</si>
  <si>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</si>
  <si>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</si>
  <si>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</si>
  <si>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</si>
  <si>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</si>
  <si>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</si>
  <si>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</si>
  <si>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</si>
  <si>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</si>
  <si>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</si>
  <si>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</si>
  <si>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</si>
  <si>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</si>
  <si>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</si>
  <si>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</si>
  <si>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</si>
  <si>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</si>
  <si>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</si>
  <si>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</si>
  <si>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</si>
  <si>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</si>
  <si>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</si>
  <si>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</si>
  <si>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</si>
  <si>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</si>
  <si>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</si>
  <si>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</si>
  <si>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</si>
  <si>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</si>
  <si>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</si>
  <si>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</si>
  <si>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</si>
  <si>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</si>
  <si>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</si>
  <si>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</si>
  <si>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</si>
  <si>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</si>
  <si>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</si>
  <si>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</si>
  <si>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</si>
  <si>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</si>
  <si>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</si>
  <si>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</si>
  <si>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</si>
  <si>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</si>
  <si>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</si>
  <si>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</si>
  <si>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</si>
  <si>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</si>
  <si>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</si>
  <si>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</si>
  <si>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</si>
  <si>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</si>
  <si>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</si>
  <si>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</si>
  <si>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</si>
  <si>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</si>
  <si>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</si>
  <si>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</si>
  <si>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</si>
  <si>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</si>
  <si>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</si>
  <si>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</si>
  <si>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</si>
  <si>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</si>
  <si>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</si>
  <si>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</si>
  <si>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</si>
  <si>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</si>
  <si>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</si>
  <si>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</si>
  <si>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</si>
  <si>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</si>
  <si>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</si>
  <si>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</si>
  <si>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</si>
  <si>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</si>
  <si>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</si>
  <si>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</si>
  <si>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</si>
  <si>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</si>
  <si>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</si>
  <si>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</si>
  <si>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</si>
  <si>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</si>
  <si>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</si>
  <si>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</si>
  <si>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</si>
  <si>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</si>
  <si>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</si>
  <si>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</si>
  <si>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</si>
  <si>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</si>
  <si>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</si>
  <si>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</si>
  <si>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</si>
  <si>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</si>
  <si>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</si>
  <si>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</si>
  <si>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</si>
  <si>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</si>
  <si>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</si>
  <si>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</si>
  <si>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</si>
  <si>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</si>
  <si>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</si>
  <si>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</si>
  <si>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</si>
  <si>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</si>
  <si>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</si>
  <si>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</si>
  <si>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</si>
  <si>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</si>
  <si>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</si>
  <si>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</si>
  <si>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</si>
  <si>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</si>
  <si>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</si>
  <si>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</si>
  <si>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</si>
  <si>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</si>
  <si>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</si>
  <si>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</si>
  <si>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</si>
  <si>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</si>
  <si>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</si>
  <si>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</si>
  <si>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</si>
  <si>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</si>
  <si>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</si>
  <si>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</si>
  <si>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</si>
  <si>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</si>
  <si>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</si>
  <si>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</si>
  <si>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</si>
  <si>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</si>
  <si>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</si>
  <si>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</si>
  <si>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</si>
  <si>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</si>
  <si>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</si>
  <si>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</si>
  <si>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</si>
  <si>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</si>
  <si>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</si>
  <si>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</si>
  <si>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</si>
  <si>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</si>
  <si>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</si>
  <si>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</si>
  <si>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</si>
  <si>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</si>
  <si>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</si>
  <si>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</si>
  <si>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</si>
  <si>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</si>
  <si>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</si>
  <si>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</si>
  <si>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</si>
  <si>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</si>
  <si>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</si>
  <si>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</si>
  <si>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</si>
  <si>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</si>
  <si>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</si>
  <si>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</si>
  <si>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</si>
  <si>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</si>
  <si>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</si>
  <si>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</si>
  <si>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</si>
  <si>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</si>
  <si>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</si>
  <si>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</si>
  <si>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</si>
  <si>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</si>
  <si>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</si>
  <si>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</si>
  <si>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</si>
  <si>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</si>
  <si>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</si>
  <si>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</si>
  <si>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</si>
  <si>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</si>
  <si>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</si>
  <si>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</si>
  <si>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</si>
  <si>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</si>
  <si>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</si>
  <si>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</si>
  <si>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</si>
  <si>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</si>
  <si>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</si>
  <si>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</si>
  <si>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</si>
  <si>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</si>
  <si>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</si>
  <si>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</si>
  <si>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</si>
  <si>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</si>
  <si>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</si>
  <si>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</si>
  <si>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</si>
  <si>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</si>
  <si>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</si>
  <si>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</si>
  <si>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</si>
  <si>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</si>
  <si>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</si>
  <si>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</si>
  <si>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</si>
  <si>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</si>
  <si>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</si>
  <si>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</si>
  <si>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</si>
  <si>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</si>
  <si>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</si>
  <si>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</si>
  <si>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</si>
  <si>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</si>
  <si>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</si>
  <si>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</si>
  <si>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</si>
  <si>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</si>
  <si>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</si>
  <si>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</si>
  <si>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</si>
  <si>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</si>
  <si>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</si>
  <si>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</si>
  <si>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</si>
  <si>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</si>
  <si>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</si>
  <si>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</si>
  <si>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</si>
  <si>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</si>
  <si>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</si>
  <si>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</si>
  <si>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</si>
  <si>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</si>
  <si>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</si>
  <si>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</si>
  <si>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</si>
  <si>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</si>
  <si>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</si>
  <si>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</si>
  <si>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</si>
  <si>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</si>
  <si>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</si>
  <si>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</si>
  <si>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</si>
  <si>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</si>
  <si>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</si>
  <si>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</si>
  <si>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</si>
  <si>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</si>
  <si>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</si>
  <si>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</si>
  <si>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</si>
  <si>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</si>
  <si>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</si>
  <si>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</si>
  <si>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</si>
  <si>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</si>
  <si>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</si>
  <si>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</si>
  <si>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</si>
  <si>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</si>
  <si>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</si>
  <si>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</si>
  <si>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</si>
  <si>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</si>
  <si>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</si>
  <si>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</si>
  <si>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</si>
  <si>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</si>
  <si>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</si>
  <si>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</si>
  <si>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</si>
  <si>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</si>
  <si>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</si>
  <si>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</si>
  <si>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</si>
  <si>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</si>
  <si>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</si>
  <si>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</si>
  <si>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</si>
  <si>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</si>
  <si>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</si>
  <si>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</si>
  <si>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</si>
  <si>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</si>
  <si>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</si>
  <si>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</si>
  <si>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</si>
  <si>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</si>
  <si>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</si>
  <si>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</si>
  <si>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</si>
  <si>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</si>
  <si>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</si>
  <si>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</si>
  <si>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</si>
  <si>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</si>
  <si>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</si>
  <si>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</si>
  <si>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</si>
  <si>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</si>
  <si>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</si>
  <si>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</si>
  <si>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</si>
  <si>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</si>
  <si>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</si>
  <si>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</si>
  <si>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</si>
  <si>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</si>
  <si>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</si>
  <si>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</si>
  <si>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</si>
  <si>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</si>
  <si>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</si>
  <si>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</si>
  <si>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</si>
  <si>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</si>
  <si>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</si>
  <si>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</si>
  <si>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</si>
  <si>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</si>
  <si>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</si>
  <si>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</si>
  <si>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</si>
  <si>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</si>
  <si>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</si>
  <si>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</si>
  <si>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</si>
  <si>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</si>
  <si>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</si>
  <si>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</si>
  <si>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</si>
  <si>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</si>
  <si>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</si>
  <si>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</si>
  <si>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</si>
  <si>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</si>
  <si>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</si>
  <si>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</si>
  <si>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</si>
  <si>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</si>
  <si>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</si>
  <si>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</si>
  <si>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</si>
  <si>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</si>
  <si>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</si>
  <si>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</si>
  <si>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</si>
  <si>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</si>
  <si>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</si>
  <si>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</si>
  <si>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</si>
  <si>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</si>
  <si>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</si>
  <si>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</si>
  <si>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</si>
  <si>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</si>
  <si>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</si>
  <si>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</si>
  <si>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</si>
  <si>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</si>
  <si>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</si>
  <si>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</si>
  <si>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</si>
  <si>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</si>
  <si>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</si>
  <si>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</si>
  <si>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</si>
  <si>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</si>
  <si>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</si>
  <si>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</si>
  <si>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</si>
  <si>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</si>
  <si>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</si>
  <si>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</si>
  <si>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</si>
  <si>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</si>
  <si>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</si>
  <si>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</si>
  <si>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</si>
  <si>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</si>
  <si>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</si>
  <si>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</si>
  <si>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</si>
  <si>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</si>
  <si>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</si>
  <si>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</si>
  <si>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</si>
  <si>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</si>
  <si>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</si>
  <si>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</si>
  <si>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</si>
  <si>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</si>
  <si>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</si>
  <si>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</si>
  <si>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</si>
  <si>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</si>
  <si>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</si>
  <si>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</si>
  <si>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</si>
  <si>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</si>
  <si>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</si>
  <si>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</si>
  <si>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</si>
  <si>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</si>
  <si>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</si>
  <si>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</si>
  <si>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</si>
  <si>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</si>
  <si>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</si>
  <si>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</si>
  <si>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</si>
  <si>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</si>
  <si>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</si>
  <si>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</si>
  <si>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</si>
  <si>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</si>
  <si>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</si>
  <si>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</si>
  <si>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</si>
  <si>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</si>
  <si>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</si>
  <si>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</si>
  <si>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</si>
  <si>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</si>
  <si>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</si>
  <si>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</si>
  <si>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</si>
  <si>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</si>
  <si>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</si>
  <si>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</si>
  <si>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</si>
  <si>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</si>
  <si>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</si>
  <si>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</si>
  <si>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</si>
  <si>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</si>
  <si>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</si>
  <si>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</si>
  <si>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</si>
  <si>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</si>
  <si>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</si>
  <si>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</si>
  <si>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</si>
  <si>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</si>
  <si>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</si>
  <si>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</si>
  <si>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</si>
  <si>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</si>
  <si>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</si>
  <si>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</si>
  <si>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</si>
  <si>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</si>
  <si>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</si>
  <si>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</si>
  <si>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</si>
  <si>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</si>
  <si>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</si>
  <si>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</si>
  <si>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</si>
  <si>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</si>
  <si>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</si>
  <si>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</si>
  <si>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</si>
  <si>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</si>
  <si>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</si>
  <si>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</si>
  <si>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</si>
  <si>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</si>
  <si>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</si>
  <si>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</si>
  <si>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</si>
  <si>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</si>
  <si>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</si>
  <si>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</si>
  <si>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</si>
  <si>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</si>
  <si>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</si>
  <si>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</si>
  <si>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</si>
  <si>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</si>
  <si>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</si>
  <si>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</si>
  <si>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</si>
  <si>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</si>
  <si>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</si>
  <si>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</si>
  <si>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</si>
  <si>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</si>
  <si>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</si>
  <si>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</si>
  <si>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</si>
  <si>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</si>
  <si>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</si>
  <si>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</si>
  <si>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</si>
  <si>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</si>
  <si>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</si>
  <si>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</si>
  <si>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</si>
  <si>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</si>
  <si>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</si>
  <si>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</si>
  <si>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</si>
  <si>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</si>
  <si>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</si>
  <si>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</si>
  <si>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</si>
  <si>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</si>
  <si>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</si>
  <si>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</si>
  <si>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</si>
  <si>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</si>
  <si>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</si>
  <si>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</si>
  <si>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</si>
  <si>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</si>
  <si>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</si>
  <si>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</si>
  <si>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</si>
  <si>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</si>
  <si>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</si>
  <si>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</si>
  <si>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</si>
  <si>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</si>
  <si>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</si>
  <si>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</si>
  <si>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</si>
  <si>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</si>
  <si>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</si>
  <si>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</si>
  <si>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</si>
  <si>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</si>
  <si>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</si>
  <si>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</si>
  <si>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</si>
  <si>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</si>
  <si>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</si>
  <si>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</si>
  <si>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</si>
  <si>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</si>
  <si>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</si>
  <si>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</si>
  <si>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</si>
  <si>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</si>
  <si>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</si>
  <si>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</si>
  <si>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</si>
  <si>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</si>
  <si>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</si>
  <si>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</si>
  <si>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</si>
  <si>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</si>
  <si>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</si>
  <si>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</si>
  <si>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</si>
  <si>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</si>
  <si>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</si>
  <si>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</si>
  <si>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</si>
  <si>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</si>
  <si>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</si>
  <si>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</si>
  <si>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</si>
  <si>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</si>
  <si>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</si>
  <si>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</si>
  <si>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</si>
  <si>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</si>
  <si>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</si>
  <si>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</si>
  <si>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</si>
  <si>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</si>
  <si>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</si>
  <si>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</si>
  <si>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</si>
  <si>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</si>
  <si>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</si>
  <si>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</si>
  <si>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</si>
  <si>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</si>
  <si>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</si>
  <si>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</si>
  <si>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</si>
  <si>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</si>
  <si>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</si>
  <si>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</si>
  <si>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</si>
  <si>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</si>
  <si>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</si>
  <si>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</si>
  <si>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</si>
  <si>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</si>
  <si>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</si>
  <si>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</si>
  <si>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</si>
  <si>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</si>
  <si>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</si>
  <si>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</si>
  <si>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</si>
  <si>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</si>
  <si>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</si>
  <si>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</si>
  <si>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</si>
  <si>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</si>
  <si>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</si>
  <si>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</si>
  <si>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</si>
  <si>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</si>
  <si>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</si>
  <si>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</si>
  <si>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</si>
  <si>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</si>
  <si>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</si>
  <si>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</si>
  <si>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</si>
  <si>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</si>
  <si>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</si>
  <si>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</si>
  <si>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</si>
  <si>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</si>
  <si>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</si>
  <si>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</si>
  <si>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</si>
  <si>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</si>
  <si>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</si>
  <si>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</si>
  <si>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</si>
  <si>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</si>
  <si>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</si>
  <si>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</si>
  <si>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</si>
  <si>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</si>
  <si>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</si>
  <si>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</si>
  <si>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</si>
  <si>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</si>
  <si>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</si>
  <si>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</si>
  <si>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</si>
  <si>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</si>
  <si>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</si>
  <si>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</si>
  <si>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</si>
  <si>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</si>
  <si>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</si>
  <si>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</si>
  <si>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</si>
  <si>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</si>
  <si>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</si>
  <si>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</si>
  <si>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</si>
  <si>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</si>
  <si>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</si>
  <si>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</si>
  <si>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</si>
  <si>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</si>
  <si>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</si>
  <si>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</si>
  <si>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</si>
  <si>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</si>
  <si>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</si>
  <si>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</si>
  <si>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</si>
  <si>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</si>
  <si>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</si>
  <si>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</si>
  <si>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</si>
  <si>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</si>
  <si>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</si>
  <si>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</si>
  <si>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</si>
  <si>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</si>
  <si>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</si>
  <si>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</si>
  <si>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</si>
  <si>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</si>
  <si>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</si>
  <si>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</si>
  <si>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</si>
  <si>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</si>
  <si>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</si>
  <si>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</si>
  <si>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</si>
  <si>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</si>
  <si>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</si>
  <si>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</si>
  <si>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</si>
  <si>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</si>
  <si>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</si>
  <si>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</si>
  <si>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</si>
  <si>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</si>
  <si>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</si>
  <si>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</si>
  <si>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</si>
  <si>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</si>
  <si>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</si>
  <si>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</si>
  <si>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</si>
  <si>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</si>
  <si>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</si>
  <si>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</si>
  <si>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</si>
  <si>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</si>
  <si>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</si>
  <si>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</si>
  <si>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</si>
  <si>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</si>
  <si>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</si>
  <si>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</si>
  <si>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</si>
  <si>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</si>
  <si>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</si>
  <si>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</si>
  <si>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</si>
  <si>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</si>
  <si>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</si>
  <si>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</si>
  <si>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</si>
  <si>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</si>
  <si>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</si>
  <si>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</si>
  <si>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</si>
  <si>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</si>
  <si>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</si>
  <si>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</si>
  <si>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</si>
  <si>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</si>
  <si>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</si>
  <si>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</si>
  <si>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</si>
  <si>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</si>
  <si>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</si>
  <si>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</si>
  <si>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</si>
  <si>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</si>
  <si>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</si>
  <si>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</si>
  <si>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</si>
  <si>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</si>
  <si>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</si>
  <si>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</si>
  <si>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</si>
  <si>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</si>
  <si>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</si>
  <si>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</si>
  <si>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</si>
  <si>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</si>
  <si>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</si>
  <si>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</si>
  <si>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</si>
  <si>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</si>
  <si>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</si>
  <si>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</si>
  <si>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</si>
  <si>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</si>
  <si>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</si>
  <si>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</si>
  <si>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</si>
  <si>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</si>
  <si>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</si>
  <si>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</si>
  <si>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</si>
  <si>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</si>
  <si>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</si>
  <si>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</si>
  <si>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</si>
  <si>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</si>
  <si>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</si>
  <si>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</si>
  <si>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</si>
  <si>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</si>
  <si>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</si>
  <si>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</si>
  <si>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</si>
  <si>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</si>
  <si>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</si>
  <si>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</si>
  <si>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</si>
  <si>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</si>
  <si>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</si>
  <si>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</si>
  <si>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</si>
  <si>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</si>
  <si>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</si>
  <si>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</si>
  <si>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</si>
  <si>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</si>
  <si>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</si>
  <si>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</si>
  <si>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</si>
  <si>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</si>
  <si>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</si>
  <si>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</si>
  <si>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</si>
  <si>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</si>
  <si>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</si>
  <si>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</si>
  <si>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</si>
  <si>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</si>
  <si>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</si>
  <si>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</si>
  <si>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</si>
  <si>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</si>
  <si>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</si>
  <si>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</si>
  <si>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</si>
  <si>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</si>
  <si>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</si>
  <si>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</si>
  <si>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</si>
  <si>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</si>
  <si>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</si>
  <si>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</si>
  <si>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</si>
  <si>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</si>
  <si>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</si>
  <si>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</si>
  <si>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</si>
  <si>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</si>
  <si>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</si>
  <si>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</si>
  <si>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</si>
  <si>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</si>
  <si>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</si>
  <si>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</si>
  <si>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</si>
  <si>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</si>
  <si>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</si>
  <si>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</si>
  <si>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</si>
  <si>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</si>
  <si>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</si>
  <si>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</si>
  <si>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</si>
  <si>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</si>
  <si>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</si>
  <si>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</si>
  <si>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</si>
  <si>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</si>
  <si>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</si>
  <si>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</si>
  <si>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</si>
  <si>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</si>
  <si>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</si>
  <si>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</si>
  <si>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</si>
  <si>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</si>
  <si>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</si>
  <si>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</si>
  <si>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</si>
  <si>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</si>
  <si>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</si>
  <si>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</si>
  <si>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</si>
  <si>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</si>
  <si>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</si>
  <si>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</si>
  <si>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</si>
  <si>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</si>
  <si>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</si>
  <si>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</si>
  <si>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</si>
  <si>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</si>
  <si>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</si>
  <si>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</si>
  <si>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</si>
  <si>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</si>
  <si>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</si>
  <si>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</si>
  <si>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</si>
  <si>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</si>
  <si>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</si>
  <si>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</si>
  <si>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</si>
  <si>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</si>
  <si>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</si>
  <si>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</si>
  <si>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</si>
  <si>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</si>
  <si>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</si>
  <si>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</si>
  <si>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</si>
  <si>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</si>
  <si>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</si>
  <si>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</si>
  <si>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</si>
  <si>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</si>
  <si>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</si>
  <si>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</si>
  <si>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</si>
  <si>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</si>
  <si>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</si>
  <si>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</si>
  <si>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</si>
  <si>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</si>
  <si>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</si>
  <si>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</si>
  <si>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</si>
  <si>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</si>
  <si>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</si>
  <si>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</si>
  <si>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</si>
  <si>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</si>
  <si>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</si>
  <si>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</si>
  <si>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</si>
  <si>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</si>
  <si>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</si>
  <si>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</si>
  <si>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</si>
  <si>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</si>
  <si>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</si>
  <si>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</si>
  <si>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</si>
  <si>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</si>
  <si>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</si>
  <si>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</si>
  <si>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</si>
  <si>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</si>
  <si>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</si>
  <si>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</si>
  <si>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</si>
  <si>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</si>
  <si>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</si>
  <si>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</si>
  <si>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</si>
  <si>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</si>
  <si>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</si>
  <si>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</si>
  <si>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</si>
  <si>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</si>
  <si>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</si>
  <si>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</si>
  <si>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</si>
  <si>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</si>
  <si>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</si>
  <si>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</si>
  <si>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</si>
  <si>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</si>
  <si>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</si>
  <si>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</si>
  <si>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</si>
  <si>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</si>
  <si>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</si>
  <si>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</si>
  <si>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</si>
  <si>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</si>
  <si>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</si>
  <si>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</si>
  <si>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</si>
  <si>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</si>
  <si>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</si>
  <si>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</si>
  <si>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</si>
  <si>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</si>
  <si>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</si>
  <si>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</si>
  <si>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</si>
  <si>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</si>
  <si>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</si>
  <si>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</si>
  <si>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</si>
  <si>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</si>
  <si>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</si>
  <si>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</si>
  <si>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</si>
  <si>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</si>
  <si>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</si>
  <si>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</si>
  <si>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</si>
  <si>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</si>
  <si>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</si>
  <si>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</si>
  <si>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</si>
  <si>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</si>
  <si>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</si>
  <si>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</si>
  <si>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</si>
  <si>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</si>
  <si>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</si>
  <si>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</si>
  <si>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</si>
  <si>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</si>
  <si>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</si>
  <si>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</si>
  <si>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</si>
  <si>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</si>
  <si>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</si>
  <si>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</si>
  <si>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</si>
  <si>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</si>
  <si>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</si>
  <si>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</si>
  <si>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</si>
  <si>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</si>
  <si>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</si>
  <si>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</si>
  <si>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</si>
  <si>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</si>
  <si>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08/15</t>
  </si>
  <si>
    <t>08/25</t>
  </si>
  <si>
    <t>08/18</t>
  </si>
  <si>
    <t>08/28</t>
  </si>
  <si>
    <t>Epping School District</t>
  </si>
  <si>
    <t>.</t>
  </si>
  <si>
    <t>354,523.18 - Impact Fees</t>
  </si>
  <si>
    <t>3,670.32 - Chrome book Fees</t>
  </si>
  <si>
    <t>28,960.83 refund from Worker's Comp</t>
  </si>
  <si>
    <t>21,859 refund from Unemployment</t>
  </si>
  <si>
    <t>1,215.32 - Rebate from P-Card</t>
  </si>
  <si>
    <t>10,000 - payment from Newmarket</t>
  </si>
  <si>
    <t>12,812.61 E-Rate</t>
  </si>
  <si>
    <t>374.32 Refuds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</si>
</sst>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165</v>
      </c>
      <c r="C2" s="21">
        <v>165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966355.98+200</f>
        <v>966555.98</v>
      </c>
      <c r="G9" s="18">
        <f>50355.74</f>
        <v>50355.74</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352320.89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146890.55+464523.18</f>
        <v>611413.73</v>
      </c>
      <c r="G12" s="18">
        <v>73672.460000000006</v>
      </c>
      <c r="H12" s="18">
        <f>84977.29+33896.14</f>
        <v>118873.43</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3283.95-0.01</f>
        <v>3283.9399999999996</v>
      </c>
      <c r="G13" s="18">
        <v>8475.01</v>
      </c>
      <c r="H13" s="18">
        <v>63841.78</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10</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19377.79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74181.48</v>
      </c>
      <c r="G17" s="18">
        <v>2079</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-9685.2099999999991</v>
      </c>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1655435.13</v>
      </c>
      <c r="G19" s="41">
        <f>SUM(G9:G18)</f>
        <v>144284.79000000004</v>
      </c>
      <c r="H19" s="41">
        <f>SUM(H9:H18)</f>
        <v>182715.21</v>
      </c>
      <c r="I19" s="41">
        <f>SUM(I9:I18)</f>
        <v>0</v>
      </c>
      <c r="J19" s="41">
        <f>SUM(J9:J18)</f>
        <v>352320.89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73672.46+31967.62</f>
        <v>105640.08</v>
      </c>
      <c r="G22" s="18">
        <v>84977.29</v>
      </c>
      <c r="H22" s="18">
        <v>165530.51999999999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138652.4+120</f>
        <v>138772.4</v>
      </c>
      <c r="G24" s="18">
        <v>-639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48980.25</v>
      </c>
      <c r="G28" s="18">
        <v>3.99</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414197.81-114.21+28134.79-2652-0.71-315.24</f>
        <v>439250.43999999994</v>
      </c>
      <c r="G29" s="18">
        <v>0</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732643.16999999993</v>
      </c>
      <c r="G32" s="41">
        <f>SUM(G22:G31)</f>
        <v>84342.28</v>
      </c>
      <c r="H32" s="41">
        <f>SUM(H22:H31)</f>
        <v>165530.51999999999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21285.79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42981.47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v>17184.689999999999</v>
      </c>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43010.43-4353.71</f>
        <v>38656.720000000001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-21679.02</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45660.67</v>
      </c>
      <c r="G48" s="18"/>
      <c r="H48" s="18"/>
      <c r="I48" s="18"/>
      <c r="J48" s="13">
        <f>SUM(I459)</f>
        <v>352320.89</v>
      </c>
      <c r="K48" s="24" t="s">
        <v>288</v>
      </c>
      <c r="L48" s="24" t="s">
        <v>288</v>
      </c>
      <c r="M48" s="8"/>
      <c r="N48" s="266"/>
    </row>
    <row r="49" spans="1:14" s="3" customFormat="1" ht="12.2" customHeight="1" x14ac:dyDescent="0.15">
      <c r="A49" s="1" t="s">
        <v>859</v>
      </c>
      <c r="B49" s="2" t="s">
        <v>289</v>
      </c>
      <c r="C49" s="6">
        <v>34</v>
      </c>
      <c r="D49" s="2"/>
      <c r="E49" s="6">
        <v>753</v>
      </c>
      <c r="F49" s="18">
        <v>21679.02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565032.85-180883.03</f>
        <v>384149.81999999995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922791.95999999985</v>
      </c>
      <c r="G51" s="41">
        <f>SUM(G35:G50)</f>
        <v>59942.51</v>
      </c>
      <c r="H51" s="41">
        <f>SUM(H35:H50)</f>
        <v>17184.689999999999</v>
      </c>
      <c r="I51" s="41">
        <f>SUM(I35:I50)</f>
        <v>0</v>
      </c>
      <c r="J51" s="41">
        <f>SUM(J35:J50)</f>
        <v>352320.89</v>
      </c>
      <c r="K51" s="45" t="s">
        <v>288</v>
      </c>
      <c r="L51" s="45" t="s">
        <v>288</v>
      </c>
      <c r="N51" s="264"/>
    </row>
    <row r="52" spans="1:14" s="3" customFormat="1" ht="12.2" customHeight="1" thickTop="1" x14ac:dyDescent="0.15">
      <c r="A52" s="38" t="s">
        <v>455</v>
      </c>
      <c r="B52" s="39" t="s">
        <v>289</v>
      </c>
      <c r="C52" s="6">
        <v>37</v>
      </c>
      <c r="D52" s="39" t="s">
        <v>653</v>
      </c>
      <c r="E52" s="39"/>
      <c r="F52" s="41">
        <f>F51+F32</f>
        <v>1655435.13</v>
      </c>
      <c r="G52" s="41">
        <f>G51+G32</f>
        <v>144284.79</v>
      </c>
      <c r="H52" s="41">
        <f>H51+H32</f>
        <v>182715.21</v>
      </c>
      <c r="I52" s="41">
        <f>I51+I32</f>
        <v>0</v>
      </c>
      <c r="J52" s="41">
        <f>J51+J32</f>
        <v>352320.89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12324063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12324063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22720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525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23245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5943.03</v>
      </c>
      <c r="G96" s="18"/>
      <c r="H96" s="18"/>
      <c r="I96" s="18"/>
      <c r="J96" s="18">
        <f>3008.17+1358.36</f>
        <v>4366.53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90721.04+76125.54+2974+3025.75+4743.86+68079.99</f>
        <v>245670.18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2337.5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486</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24402.25+354523.18+3670.32+50819.83</f>
        <v>433415.58</v>
      </c>
      <c r="G110" s="18"/>
      <c r="H110" s="18">
        <v>54278.76</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442182.11</v>
      </c>
      <c r="G111" s="41">
        <f>SUM(G96:G110)</f>
        <v>245670.18</v>
      </c>
      <c r="H111" s="41">
        <f>SUM(H96:H110)</f>
        <v>54278.76</v>
      </c>
      <c r="I111" s="41">
        <f>SUM(I96:I110)</f>
        <v>0</v>
      </c>
      <c r="J111" s="41">
        <f>SUM(J96:J110)</f>
        <v>4366.53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12789490.109999999</v>
      </c>
      <c r="G112" s="41">
        <f>G60+G111</f>
        <v>245670.18</v>
      </c>
      <c r="H112" s="41">
        <f>H60+H79+H94+H111</f>
        <v>54278.76</v>
      </c>
      <c r="I112" s="41">
        <f>I60+I111</f>
        <v>0</v>
      </c>
      <c r="J112" s="41">
        <f>J60+J111</f>
        <v>4366.53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2984154.14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1769572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6044.32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4759770.4600000009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279874.59999999998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84691.42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61048.14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12118.4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4855.25+533.01</f>
        <v>5388.26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437732.56</v>
      </c>
      <c r="G136" s="41">
        <f>SUM(G123:G135)</f>
        <v>5388.26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5197503.0200000005</v>
      </c>
      <c r="G140" s="41">
        <f>G121+SUM(G136:G137)</f>
        <v>5388.26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167901.82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63228.83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90584.55+17148.77</f>
        <v>107733.32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80.74+50467.66+227750.29+317.96+7988.53</f>
        <v>286605.18000000005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108201.27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108201.27</v>
      </c>
      <c r="G162" s="41">
        <f>SUM(G150:G161)</f>
        <v>107733.32</v>
      </c>
      <c r="H162" s="41">
        <f>SUM(H150:H161)</f>
        <v>517735.83000000007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108201.27</v>
      </c>
      <c r="G169" s="41">
        <f>G147+G162+SUM(G163:G168)</f>
        <v>107733.32</v>
      </c>
      <c r="H169" s="41">
        <f>H147+H162+SUM(H163:H168)</f>
        <v>517735.83000000007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3632.95</v>
      </c>
      <c r="H179" s="18"/>
      <c r="I179" s="18">
        <v>264523.18</v>
      </c>
      <c r="J179" s="18">
        <v>250000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3632.95</v>
      </c>
      <c r="H183" s="41">
        <f>SUM(H179:H182)</f>
        <v>0</v>
      </c>
      <c r="I183" s="41">
        <f>SUM(I179:I182)</f>
        <v>264523.18</v>
      </c>
      <c r="J183" s="41">
        <f>SUM(J179:J182)</f>
        <v>250000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200000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200000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200000</v>
      </c>
      <c r="G192" s="41">
        <f>G183+SUM(G188:G191)</f>
        <v>3632.95</v>
      </c>
      <c r="H192" s="41">
        <f>+H183+SUM(H188:H191)</f>
        <v>0</v>
      </c>
      <c r="I192" s="41">
        <f>I177+I183+SUM(I188:I191)</f>
        <v>264523.18</v>
      </c>
      <c r="J192" s="41">
        <f>J183</f>
        <v>250000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18295194.399999999</v>
      </c>
      <c r="G193" s="47">
        <f>G112+G140+G169+G192</f>
        <v>362424.71</v>
      </c>
      <c r="H193" s="47">
        <f>H112+H140+H169+H192</f>
        <v>572014.59000000008</v>
      </c>
      <c r="I193" s="47">
        <f>I112+I140+I169+I192</f>
        <v>264523.18</v>
      </c>
      <c r="J193" s="47">
        <f>J112+J140+J192</f>
        <v>254366.53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1357093.54+263316.13+82628.48+49044.77+37500</f>
        <v>1789582.92</v>
      </c>
      <c r="G197" s="18">
        <f>388742.21+109210.06+16920.29+2818.64+103948.12+25388.71+247034.96+47098.56+13994.06+59975.26</f>
        <v>1015130.8700000001</v>
      </c>
      <c r="H197" s="18">
        <f>1000</f>
        <v>1000</v>
      </c>
      <c r="I197" s="18">
        <f>3485.49+5707.67+4521.93+4302+4250.99+2977.36+900.76+676.81+1958.68+1438.68+3844.43+1161.06+1041.7+891.23+294+8236.22+9679.55+544.32+3412.2+506+2907.86+913.91+3638.55+1137.32+2480.8+1238.46+3548+2175.75+2838.23+5008.25+5346.32</f>
        <v>91064.53</v>
      </c>
      <c r="J197" s="18">
        <f>989.75+1413.04+82.78</f>
        <v>2485.5700000000002</v>
      </c>
      <c r="K197" s="18"/>
      <c r="L197" s="19">
        <f>SUM(F197:K197)</f>
        <v>2899263.8899999997</v>
      </c>
      <c r="M197" s="8"/>
      <c r="N197" s="266"/>
    </row>
    <row r="198" spans="1:14" s="3" customFormat="1" ht="12.2" customHeight="1" x14ac:dyDescent="0.15">
      <c r="A198" s="1" t="s">
        <v>439</v>
      </c>
      <c r="B198" s="2" t="s">
        <v>341</v>
      </c>
      <c r="C198" s="2" t="s">
        <v>291</v>
      </c>
      <c r="D198" s="2" t="s">
        <v>431</v>
      </c>
      <c r="E198" s="6">
        <v>1200</v>
      </c>
      <c r="F198" s="18">
        <f>325679+98983.74+279346.6+69059.63+36696.64+23896</f>
        <v>833661.61</v>
      </c>
      <c r="G198" s="18">
        <f>225269.63+82726.07+5273.17+2496.98+43892.58+11868.51+56524.44+18876.54+3466.45+16521.46</f>
        <v>466915.83</v>
      </c>
      <c r="H198" s="18">
        <f>108646.18+101796.15+115904.12</f>
        <v>326346.44999999995</v>
      </c>
      <c r="I198" s="18">
        <f>3667.1+2813.1+654.4+250+2690.38+224.99</f>
        <v>10299.969999999999</v>
      </c>
      <c r="J198" s="18">
        <f>500+500+691.56</f>
        <v>1691.56</v>
      </c>
      <c r="K198" s="18"/>
      <c r="L198" s="19">
        <f>SUM(F198:K198)</f>
        <v>1638915.42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18024.63</f>
        <v>18024.63</v>
      </c>
      <c r="G200" s="18">
        <f>1335.24+756.82+468.84</f>
        <v>2560.9</v>
      </c>
      <c r="H200" s="18">
        <v>4000</v>
      </c>
      <c r="I200" s="18">
        <v>326.47000000000003</v>
      </c>
      <c r="J200" s="18"/>
      <c r="K200" s="18"/>
      <c r="L200" s="19">
        <f>SUM(F200:K200)</f>
        <v>24912.000000000004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103649+55616+23123.65+46238.5+86374.75+72483.03-0.01</f>
        <v>387484.92000000004</v>
      </c>
      <c r="G202" s="18">
        <f>27539.8+1264.22+7389.8+18478.56+36275.68+1248.49+5526.86+8500.47+39647.58+59856.54+35073.16</f>
        <v>240801.16000000003</v>
      </c>
      <c r="H202" s="18">
        <f>270+17528.02+38558.55+1000+10268.9+4831.53+24663.42+8803.5</f>
        <v>105923.92</v>
      </c>
      <c r="I202" s="18">
        <f>597.38+2410.69+1769.79+2517.12+1725.72+315+692.97</f>
        <v>10028.67</v>
      </c>
      <c r="J202" s="18">
        <f>5650.98+766.26+1250</f>
        <v>7667.24</v>
      </c>
      <c r="K202" s="18">
        <f>129</f>
        <v>129</v>
      </c>
      <c r="L202" s="19">
        <f t="shared" ref="L202:L208" si="0">SUM(F202:K202)</f>
        <v>752034.91000000015</v>
      </c>
      <c r="M202" s="8"/>
      <c r="N202" s="266"/>
    </row>
    <row r="203" spans="1:14" s="3" customFormat="1" ht="12.2" customHeight="1" x14ac:dyDescent="0.15">
      <c r="A203" s="1" t="s">
        <v>443</v>
      </c>
      <c r="B203" s="2" t="s">
        <v>341</v>
      </c>
      <c r="C203" s="2" t="s">
        <v>295</v>
      </c>
      <c r="D203" s="2" t="s">
        <v>431</v>
      </c>
      <c r="E203" s="6">
        <v>2200</v>
      </c>
      <c r="F203" s="18">
        <f>2317+8687.5+66096+4068.75+71958.1-0.01</f>
        <v>153127.34</v>
      </c>
      <c r="G203" s="18">
        <f>1127.82+324.1+26286.01+1248.49+4646.55+11632.06+51239.44+27708.15</f>
        <v>124212.62</v>
      </c>
      <c r="H203" s="18">
        <f>5126.28+66234.67</f>
        <v>71360.95</v>
      </c>
      <c r="I203" s="18">
        <f>1358.94+5430.29+3455.95+5862.75+31983.32</f>
        <v>48091.25</v>
      </c>
      <c r="J203" s="18">
        <f>94.11+327.34+116058.36</f>
        <v>116479.81</v>
      </c>
      <c r="K203" s="18">
        <f>100+37.5</f>
        <v>137.5</v>
      </c>
      <c r="L203" s="19">
        <f t="shared" si="0"/>
        <v>513409.47</v>
      </c>
      <c r="M203" s="8"/>
      <c r="N203" s="266"/>
    </row>
    <row r="204" spans="1:14" s="3" customFormat="1" ht="12.2" customHeight="1" x14ac:dyDescent="0.15">
      <c r="A204" s="1" t="s">
        <v>444</v>
      </c>
      <c r="B204" s="2" t="s">
        <v>341</v>
      </c>
      <c r="C204" s="2" t="s">
        <v>296</v>
      </c>
      <c r="D204" s="2" t="s">
        <v>431</v>
      </c>
      <c r="E204" s="6">
        <v>2300</v>
      </c>
      <c r="F204" s="18">
        <f>8095+174169.18+96943.93-0.01</f>
        <v>279208.09999999998</v>
      </c>
      <c r="G204" s="18">
        <f>892.15+75216.69+53257.76</f>
        <v>129366.6</v>
      </c>
      <c r="H204" s="18">
        <f>16646.51+14828.79+5635.04</f>
        <v>37110.339999999997</v>
      </c>
      <c r="I204" s="18">
        <f>8895.28+2363</f>
        <v>11258.28</v>
      </c>
      <c r="J204" s="18"/>
      <c r="K204" s="18">
        <f>8536.51-4461.62+224.5</f>
        <v>4299.3900000000003</v>
      </c>
      <c r="L204" s="19">
        <f t="shared" si="0"/>
        <v>461242.70999999996</v>
      </c>
      <c r="M204" s="8"/>
      <c r="N204" s="266"/>
    </row>
    <row r="205" spans="1:14" s="3" customFormat="1" ht="12.2" customHeight="1" x14ac:dyDescent="0.15">
      <c r="A205" s="1" t="s">
        <v>445</v>
      </c>
      <c r="B205" s="2" t="s">
        <v>341</v>
      </c>
      <c r="C205" s="2" t="s">
        <v>297</v>
      </c>
      <c r="D205" s="2" t="s">
        <v>431</v>
      </c>
      <c r="E205" s="6">
        <v>2400</v>
      </c>
      <c r="F205" s="18">
        <f>99910+75988+18629+86324.8</f>
        <v>280851.8</v>
      </c>
      <c r="G205" s="18">
        <f>73369.81+1874+20319.11+9647.7+30535.99+1385.42</f>
        <v>137132.03</v>
      </c>
      <c r="H205" s="18">
        <f>13215.09+4149.7+2722.84+359.24</f>
        <v>20446.870000000003</v>
      </c>
      <c r="I205" s="18">
        <f>2844.59</f>
        <v>2844.59</v>
      </c>
      <c r="J205" s="18">
        <f>4000</f>
        <v>4000</v>
      </c>
      <c r="K205" s="18">
        <f>1638</f>
        <v>1638</v>
      </c>
      <c r="L205" s="19">
        <f t="shared" si="0"/>
        <v>446913.29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138139.72+107719.55</f>
        <v>245859.27000000002</v>
      </c>
      <c r="G207" s="18">
        <f>47586.64+2079.52+9814.13+15919.05+45734</f>
        <v>121133.34</v>
      </c>
      <c r="H207" s="18">
        <f>202680.05-0.01</f>
        <v>202680.03999999998</v>
      </c>
      <c r="I207" s="18">
        <f>252777.13</f>
        <v>252777.13</v>
      </c>
      <c r="J207" s="18">
        <f>4094.84</f>
        <v>4094.84</v>
      </c>
      <c r="K207" s="18"/>
      <c r="L207" s="19">
        <f t="shared" si="0"/>
        <v>826544.61999999988</v>
      </c>
      <c r="M207" s="8"/>
      <c r="N207" s="266"/>
    </row>
    <row r="208" spans="1:14" s="3" customFormat="1" ht="12.2" customHeight="1" x14ac:dyDescent="0.15">
      <c r="A208" s="1" t="s">
        <v>448</v>
      </c>
      <c r="B208" s="2" t="s">
        <v>341</v>
      </c>
      <c r="C208" s="2" t="s">
        <v>300</v>
      </c>
      <c r="D208" s="2" t="s">
        <v>431</v>
      </c>
      <c r="E208" s="6">
        <v>2700</v>
      </c>
      <c r="F208" s="18"/>
      <c r="G208" s="18"/>
      <c r="H208" s="18">
        <f>149361.5+262.5+76054.25</f>
        <v>225678.25</v>
      </c>
      <c r="I208" s="18"/>
      <c r="J208" s="18"/>
      <c r="K208" s="18"/>
      <c r="L208" s="19">
        <f t="shared" si="0"/>
        <v>225678.25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3987800.5899999994</v>
      </c>
      <c r="G211" s="41">
        <f t="shared" si="1"/>
        <v>2237253.35</v>
      </c>
      <c r="H211" s="41">
        <f t="shared" si="1"/>
        <v>994546.81999999983</v>
      </c>
      <c r="I211" s="41">
        <f t="shared" si="1"/>
        <v>426690.89</v>
      </c>
      <c r="J211" s="41">
        <f t="shared" si="1"/>
        <v>136419.01999999999</v>
      </c>
      <c r="K211" s="41">
        <f t="shared" si="1"/>
        <v>6203.89</v>
      </c>
      <c r="L211" s="41">
        <f t="shared" si="1"/>
        <v>7788914.5599999996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917201.58+26991.28+16500+367.5</f>
        <v>961060.36</v>
      </c>
      <c r="G215" s="18">
        <f>297763.22+13962.58+68090.55+165058.52+6157.39+26389.11</f>
        <v>577421.37</v>
      </c>
      <c r="H215" s="18">
        <f>748.75+500+2000+125+242.5+440</f>
        <v>4056.25</v>
      </c>
      <c r="I215" s="18">
        <f>9076.39+1511.7+731.51+2099.38+1835.76+1091.09+507.95+1502.93+1372.84+177+1928.38+442.76+7814.2+600+520+64.62+224.14+2311.5+276.25+2352.38</f>
        <v>36440.779999999992</v>
      </c>
      <c r="J215" s="18">
        <f>1777.95+152.75+163.31+300+1072.82+370.75+271.92</f>
        <v>4109.5</v>
      </c>
      <c r="K215" s="18"/>
      <c r="L215" s="19">
        <f>SUM(F215:K215)</f>
        <v>1583088.26</v>
      </c>
      <c r="M215" s="8"/>
      <c r="N215" s="266"/>
    </row>
    <row r="216" spans="1:14" s="3" customFormat="1" ht="12.2" customHeight="1" x14ac:dyDescent="0.15">
      <c r="A216" s="1" t="s">
        <v>439</v>
      </c>
      <c r="B216" s="2" t="s">
        <v>346</v>
      </c>
      <c r="C216" s="2" t="s">
        <v>291</v>
      </c>
      <c r="D216" s="2" t="s">
        <v>431</v>
      </c>
      <c r="E216" s="6">
        <v>1200</v>
      </c>
      <c r="F216" s="18">
        <f>165202.82+161724.44+16146.52+10514.24+1850</f>
        <v>355438.02</v>
      </c>
      <c r="G216" s="18">
        <f>107879.25+2414.2+24148.95+35361.22+1525.24+7269.44</f>
        <v>178598.3</v>
      </c>
      <c r="H216" s="18">
        <f>39021.92</f>
        <v>39021.919999999998</v>
      </c>
      <c r="I216" s="18">
        <f>2738.85+438.9+1183.77+99</f>
        <v>4460.5200000000004</v>
      </c>
      <c r="J216" s="18">
        <v>500</v>
      </c>
      <c r="K216" s="18"/>
      <c r="L216" s="19">
        <f>SUM(F216:K216)</f>
        <v>578018.76000000013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12316+18502+25109.92+5000+4731.94+148.75</f>
        <v>65808.61</v>
      </c>
      <c r="G218" s="18">
        <f>895.48+284.51+69.39+1415.3+884.87+6180.64</f>
        <v>9730.19</v>
      </c>
      <c r="H218" s="18">
        <f>577.84+394.2+6938.88+200</f>
        <v>8110.92</v>
      </c>
      <c r="I218" s="18">
        <f>27.55+1172</f>
        <v>1199.55</v>
      </c>
      <c r="J218" s="18">
        <f>952+4226.8</f>
        <v>5178.8</v>
      </c>
      <c r="K218" s="18">
        <f>632</f>
        <v>632</v>
      </c>
      <c r="L218" s="19">
        <f>SUM(F218:K218)</f>
        <v>90660.07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58353+24955.07+20344.94+38004.89+31892.53+5000</f>
        <v>178550.43000000002</v>
      </c>
      <c r="G220" s="18">
        <f>3000+4694.28+10551.96+11425.67+17444.93+26336.88+15432.19</f>
        <v>88885.91</v>
      </c>
      <c r="H220" s="18">
        <f>252.3+7712.33+11663.76+440+2739.39+2125.87+9330.89+1696.13</f>
        <v>35960.669999999991</v>
      </c>
      <c r="I220" s="18">
        <f>706.89+2972.49+778.79+759.31+138.6+304.91</f>
        <v>5660.99</v>
      </c>
      <c r="J220" s="18">
        <f>187.18+308+550</f>
        <v>1045.18</v>
      </c>
      <c r="K220" s="18"/>
      <c r="L220" s="19">
        <f t="shared" ref="L220:L226" si="2">SUM(F220:K220)</f>
        <v>310103.18</v>
      </c>
      <c r="M220" s="8"/>
      <c r="N220" s="266"/>
    </row>
    <row r="221" spans="1:14" s="3" customFormat="1" ht="12.2" customHeight="1" x14ac:dyDescent="0.15">
      <c r="A221" s="1" t="s">
        <v>443</v>
      </c>
      <c r="B221" s="2" t="s">
        <v>346</v>
      </c>
      <c r="C221" s="2" t="s">
        <v>295</v>
      </c>
      <c r="D221" s="2" t="s">
        <v>431</v>
      </c>
      <c r="E221" s="6">
        <v>2200</v>
      </c>
      <c r="F221" s="18">
        <f>2317+875+36989.23+1790.25+31661.56+5000+2635.16</f>
        <v>81268.200000000012</v>
      </c>
      <c r="G221" s="18">
        <f>234.07+47.62+20946.22+22545.35+12191.59</f>
        <v>55964.849999999991</v>
      </c>
      <c r="H221" s="18">
        <f>386.06+2255.56+29143.25</f>
        <v>31784.87</v>
      </c>
      <c r="I221" s="18">
        <f>452.38+1376.54+1000+500+1790+2579.61+14072.66</f>
        <v>21771.190000000002</v>
      </c>
      <c r="J221" s="18">
        <f>1476.65+500+51065.68</f>
        <v>53042.33</v>
      </c>
      <c r="K221" s="18">
        <f>44+16.5</f>
        <v>60.5</v>
      </c>
      <c r="L221" s="19">
        <f t="shared" si="2"/>
        <v>243891.94</v>
      </c>
      <c r="M221" s="8"/>
      <c r="N221" s="266"/>
    </row>
    <row r="222" spans="1:14" s="3" customFormat="1" ht="12.2" customHeight="1" x14ac:dyDescent="0.15">
      <c r="A222" s="1" t="s">
        <v>444</v>
      </c>
      <c r="B222" s="2" t="s">
        <v>346</v>
      </c>
      <c r="C222" s="2" t="s">
        <v>296</v>
      </c>
      <c r="D222" s="2" t="s">
        <v>431</v>
      </c>
      <c r="E222" s="6">
        <v>2300</v>
      </c>
      <c r="F222" s="18">
        <f>3561.8+76634.44+42655.33</f>
        <v>122851.57</v>
      </c>
      <c r="G222" s="18">
        <f>392.55+33095.34+23433.41</f>
        <v>56921.3</v>
      </c>
      <c r="H222" s="18">
        <f>7324.46+6524.67+2479.42</f>
        <v>16328.550000000001</v>
      </c>
      <c r="I222" s="18">
        <f>3913.92+1039.72</f>
        <v>4953.6400000000003</v>
      </c>
      <c r="J222" s="18"/>
      <c r="K222" s="18">
        <f>3756.06-1963.11+98.78</f>
        <v>1891.73</v>
      </c>
      <c r="L222" s="19">
        <f t="shared" si="2"/>
        <v>202946.79</v>
      </c>
      <c r="M222" s="8"/>
      <c r="N222" s="266"/>
    </row>
    <row r="223" spans="1:14" s="3" customFormat="1" ht="12.2" customHeight="1" x14ac:dyDescent="0.15">
      <c r="A223" s="1" t="s">
        <v>445</v>
      </c>
      <c r="B223" s="2" t="s">
        <v>346</v>
      </c>
      <c r="C223" s="2" t="s">
        <v>297</v>
      </c>
      <c r="D223" s="2" t="s">
        <v>431</v>
      </c>
      <c r="E223" s="6">
        <v>2400</v>
      </c>
      <c r="F223" s="18">
        <f>94760+38366.52+15912+76905.04</f>
        <v>225943.56</v>
      </c>
      <c r="G223" s="18">
        <f>11692.3+2904.7+17132.44+9053.61+23348.97+1074.68</f>
        <v>65206.700000000004</v>
      </c>
      <c r="H223" s="18">
        <f>6204.97+7805.81+1487.58+151.19</f>
        <v>15649.550000000001</v>
      </c>
      <c r="I223" s="18">
        <f>2685.56</f>
        <v>2685.56</v>
      </c>
      <c r="J223" s="18">
        <f>3875.12</f>
        <v>3875.12</v>
      </c>
      <c r="K223" s="18">
        <f>729+3798.78</f>
        <v>4527.7800000000007</v>
      </c>
      <c r="L223" s="19">
        <f t="shared" si="2"/>
        <v>317888.27</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72633.26+47396.6</f>
        <v>120029.85999999999</v>
      </c>
      <c r="G225" s="18">
        <f>38735.51+20122.96</f>
        <v>58858.47</v>
      </c>
      <c r="H225" s="18">
        <f>89179.22</f>
        <v>89179.22</v>
      </c>
      <c r="I225" s="18">
        <f>111221.94</f>
        <v>111221.94</v>
      </c>
      <c r="J225" s="18">
        <f>1801.73</f>
        <v>1801.73</v>
      </c>
      <c r="K225" s="18"/>
      <c r="L225" s="19">
        <f t="shared" si="2"/>
        <v>381091.22</v>
      </c>
      <c r="M225" s="8"/>
      <c r="N225" s="266"/>
    </row>
    <row r="226" spans="1:14" s="3" customFormat="1" ht="12.2" customHeight="1" x14ac:dyDescent="0.15">
      <c r="A226" s="1" t="s">
        <v>448</v>
      </c>
      <c r="B226" s="2" t="s">
        <v>346</v>
      </c>
      <c r="C226" s="2" t="s">
        <v>300</v>
      </c>
      <c r="D226" s="2" t="s">
        <v>431</v>
      </c>
      <c r="E226" s="6">
        <v>2700</v>
      </c>
      <c r="F226" s="18"/>
      <c r="G226" s="18"/>
      <c r="H226" s="18">
        <f>11502.46+65834.56+96218.53</f>
        <v>173555.55</v>
      </c>
      <c r="I226" s="18"/>
      <c r="J226" s="18"/>
      <c r="K226" s="18"/>
      <c r="L226" s="19">
        <f t="shared" si="2"/>
        <v>173555.55</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2110950.61</v>
      </c>
      <c r="G229" s="41">
        <f>SUM(G215:G228)</f>
        <v>1091587.0899999999</v>
      </c>
      <c r="H229" s="41">
        <f>SUM(H215:H228)</f>
        <v>413647.49999999994</v>
      </c>
      <c r="I229" s="41">
        <f>SUM(I215:I228)</f>
        <v>188394.16999999998</v>
      </c>
      <c r="J229" s="41">
        <f>SUM(J215:J228)</f>
        <v>69552.659999999989</v>
      </c>
      <c r="K229" s="41">
        <f t="shared" si="3"/>
        <v>7112.01</v>
      </c>
      <c r="L229" s="41">
        <f t="shared" si="3"/>
        <v>3881244.04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1347133.39+24761.79+21032.5+21000+10000+7168.76+3626.88+210+210</f>
        <v>1435143.3199999998</v>
      </c>
      <c r="G233" s="18">
        <f>411611.97+19038.63+101748.27+246370.91+7836.67+33586.14</f>
        <v>820192.59000000008</v>
      </c>
      <c r="H233" s="18">
        <f>500+200+250+634.5+165+2330.24+560</f>
        <v>4639.74</v>
      </c>
      <c r="I233" s="18">
        <f>14711.52+7749.16+6213.72+303.51+7751.66+506.81+1365.76+269.05+1267.03+277.26+2253.14+4928.76-90+112.57+1500+1945.84+4531.5+72+427.35+301.19+137.5+6721.5+55+189.99+875+600+2993.94</f>
        <v>67970.759999999995</v>
      </c>
      <c r="J233" s="18">
        <f>238+847.6+5395.68+2153.24+200+769.95+1200+978.05+368.7+805.06+43.61</f>
        <v>12999.890000000001</v>
      </c>
      <c r="K233" s="18">
        <f>1095</f>
        <v>1095</v>
      </c>
      <c r="L233" s="19">
        <f>SUM(F233:K233)</f>
        <v>2342041.3000000003</v>
      </c>
      <c r="M233" s="8"/>
      <c r="N233" s="266"/>
    </row>
    <row r="234" spans="1:14" s="3" customFormat="1" ht="12.2" customHeight="1" x14ac:dyDescent="0.15">
      <c r="A234" s="1" t="s">
        <v>439</v>
      </c>
      <c r="B234" s="2" t="s">
        <v>350</v>
      </c>
      <c r="C234" s="2" t="s">
        <v>291</v>
      </c>
      <c r="D234" s="2" t="s">
        <v>431</v>
      </c>
      <c r="E234" s="6">
        <v>1200</v>
      </c>
      <c r="F234" s="18">
        <f>203061+94547.29+20550.12+13381.76+1926.78</f>
        <v>333466.95</v>
      </c>
      <c r="G234" s="18">
        <f>108882.64+3329.63+21271.89+35814.9+1941.21+9252.02</f>
        <v>180492.28999999998</v>
      </c>
      <c r="H234" s="18">
        <f>61750+52626.39+86140.56+1555.98</f>
        <v>202072.93000000002</v>
      </c>
      <c r="I234" s="18">
        <f>2250+1200+525.68+1506.61+125.99</f>
        <v>5608.28</v>
      </c>
      <c r="J234" s="18">
        <f>500+305.96</f>
        <v>805.96</v>
      </c>
      <c r="K234" s="18"/>
      <c r="L234" s="19">
        <f>SUM(F234:K234)</f>
        <v>722446.41</v>
      </c>
      <c r="M234" s="8"/>
      <c r="N234" s="266"/>
    </row>
    <row r="235" spans="1:14" s="3" customFormat="1" ht="12.2" customHeight="1" x14ac:dyDescent="0.15">
      <c r="A235" s="1" t="s">
        <v>440</v>
      </c>
      <c r="B235" s="2" t="s">
        <v>350</v>
      </c>
      <c r="C235" s="2" t="s">
        <v>292</v>
      </c>
      <c r="D235" s="2" t="s">
        <v>431</v>
      </c>
      <c r="E235" s="6">
        <v>1300</v>
      </c>
      <c r="F235" s="18"/>
      <c r="G235" s="18"/>
      <c r="H235" s="18">
        <f>127746</f>
        <v>127746</v>
      </c>
      <c r="I235" s="18"/>
      <c r="J235" s="18"/>
      <c r="K235" s="18"/>
      <c r="L235" s="19">
        <f>SUM(F235:K235)</f>
        <v>127746</v>
      </c>
      <c r="M235" s="8"/>
      <c r="N235" s="266"/>
    </row>
    <row r="236" spans="1:14" s="3" customFormat="1" ht="12.2" customHeight="1" x14ac:dyDescent="0.15">
      <c r="A236" s="1" t="s">
        <v>441</v>
      </c>
      <c r="B236" s="2" t="s">
        <v>350</v>
      </c>
      <c r="C236" s="2" t="s">
        <v>293</v>
      </c>
      <c r="D236" s="2" t="s">
        <v>431</v>
      </c>
      <c r="E236" s="6">
        <v>1400</v>
      </c>
      <c r="F236" s="18">
        <f>34384+4357.5+2060+67643+3625+31958.08+5000+4731.95+148.75</f>
        <v>153908.28000000003</v>
      </c>
      <c r="G236" s="18">
        <f>3102.02+338.39+1930.02+5418.09+11.37+5269.61+7866.27</f>
        <v>23935.77</v>
      </c>
      <c r="H236" s="18">
        <f>674.05+22096.5+19000+6422.45+738.36+1487.56</f>
        <v>50418.92</v>
      </c>
      <c r="I236" s="18">
        <f>8061.51+1900-1420.42</f>
        <v>8541.09</v>
      </c>
      <c r="J236" s="18">
        <f>3194.84+14903.8</f>
        <v>18098.64</v>
      </c>
      <c r="K236" s="18">
        <f>9154.88</f>
        <v>9154.8799999999992</v>
      </c>
      <c r="L236" s="19">
        <f>SUM(F236:K236)</f>
        <v>264057.58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80379+41008.79+31760.98+25893.56+48369.86+40590.5+5000</f>
        <v>273002.69</v>
      </c>
      <c r="G238" s="18">
        <f>51890.7+2345.58+8798.39+4666.78+22931.19+14541.75+22202.64+33519.66+19640.97</f>
        <v>180537.66</v>
      </c>
      <c r="H238" s="18">
        <f>5050+321.1+9815.69+15724.79+560+4314.59+2705.65+12022.78+2952.69</f>
        <v>53467.29</v>
      </c>
      <c r="I238" s="18">
        <f>718.63+323.29+1262+3783.17+991.2+966.4+176.4+388.06</f>
        <v>8609.15</v>
      </c>
      <c r="J238" s="18">
        <f>238.22+392+700</f>
        <v>1330.22</v>
      </c>
      <c r="K238" s="18"/>
      <c r="L238" s="19">
        <f t="shared" ref="L238:L244" si="4">SUM(F238:K238)</f>
        <v>516947.00999999995</v>
      </c>
      <c r="M238" s="8"/>
      <c r="N238" s="266"/>
    </row>
    <row r="239" spans="1:14" s="3" customFormat="1" ht="12.2" customHeight="1" x14ac:dyDescent="0.15">
      <c r="A239" s="1" t="s">
        <v>443</v>
      </c>
      <c r="B239" s="2" t="s">
        <v>350</v>
      </c>
      <c r="C239" s="2" t="s">
        <v>295</v>
      </c>
      <c r="D239" s="2" t="s">
        <v>431</v>
      </c>
      <c r="E239" s="6">
        <v>2200</v>
      </c>
      <c r="F239" s="18">
        <f>2317+3267.22+47077.21+2278.5+40296.53+5000+2635.15</f>
        <v>102871.60999999999</v>
      </c>
      <c r="G239" s="18">
        <f>558.44+30.34+26658.83+28694.09+15516.56</f>
        <v>71458.259999999995</v>
      </c>
      <c r="H239" s="18">
        <f>491.34+2870.72+37091.42</f>
        <v>40453.479999999996</v>
      </c>
      <c r="I239" s="18">
        <f>2081.98+3807.59+2535.75+600+1745+3283.14+17910.66</f>
        <v>31964.12</v>
      </c>
      <c r="J239" s="18">
        <f>2050.1+499.99+64992.68</f>
        <v>67542.77</v>
      </c>
      <c r="K239" s="18">
        <f>56+21</f>
        <v>77</v>
      </c>
      <c r="L239" s="19">
        <f t="shared" si="4"/>
        <v>314367.24</v>
      </c>
      <c r="M239" s="8"/>
      <c r="N239" s="266"/>
    </row>
    <row r="240" spans="1:14" s="3" customFormat="1" ht="12.2" customHeight="1" x14ac:dyDescent="0.15">
      <c r="A240" s="1" t="s">
        <v>444</v>
      </c>
      <c r="B240" s="2" t="s">
        <v>350</v>
      </c>
      <c r="C240" s="2" t="s">
        <v>296</v>
      </c>
      <c r="D240" s="2" t="s">
        <v>431</v>
      </c>
      <c r="E240" s="6">
        <v>2300</v>
      </c>
      <c r="F240" s="18">
        <f>4533.2+97534.74+54288.6</f>
        <v>156356.54</v>
      </c>
      <c r="G240" s="18">
        <f>499.6+42121.35+29824.34</f>
        <v>72445.289999999994</v>
      </c>
      <c r="H240" s="18">
        <f>9322.05+8304.12+3155.62</f>
        <v>20781.789999999997</v>
      </c>
      <c r="I240" s="18">
        <f>4981.35+1323.28</f>
        <v>6304.63</v>
      </c>
      <c r="J240" s="18"/>
      <c r="K240" s="18">
        <f>4780.44-2498.51+125.72</f>
        <v>2407.6499999999992</v>
      </c>
      <c r="L240" s="19">
        <f t="shared" si="4"/>
        <v>258295.90000000002</v>
      </c>
      <c r="M240" s="8"/>
      <c r="N240" s="266"/>
    </row>
    <row r="241" spans="1:14" s="3" customFormat="1" ht="12.2" customHeight="1" x14ac:dyDescent="0.15">
      <c r="A241" s="1" t="s">
        <v>445</v>
      </c>
      <c r="B241" s="2" t="s">
        <v>350</v>
      </c>
      <c r="C241" s="2" t="s">
        <v>297</v>
      </c>
      <c r="D241" s="2" t="s">
        <v>431</v>
      </c>
      <c r="E241" s="6">
        <v>2400</v>
      </c>
      <c r="F241" s="18">
        <f>101019.25+37994+19625+75413.88</f>
        <v>234052.13</v>
      </c>
      <c r="G241" s="18">
        <f>59710.03+1508.02+17025.84+8582.09+24132.63</f>
        <v>110958.61</v>
      </c>
      <c r="H241" s="18">
        <f>12437.17+7672.64+1565.67+293.28</f>
        <v>21968.760000000002</v>
      </c>
      <c r="I241" s="18">
        <f>3413.54</f>
        <v>3413.54</v>
      </c>
      <c r="J241" s="18"/>
      <c r="K241" s="18">
        <f>700+3530+8047.82</f>
        <v>12277.82</v>
      </c>
      <c r="L241" s="19">
        <f t="shared" si="4"/>
        <v>382670.86</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92442.35+60322.95</f>
        <v>152765.29999999999</v>
      </c>
      <c r="G243" s="18">
        <f>49299.76+25611.04</f>
        <v>74910.8</v>
      </c>
      <c r="H243" s="18">
        <f>113500.83</f>
        <v>113500.83</v>
      </c>
      <c r="I243" s="18">
        <f>141555.19</f>
        <v>141555.19</v>
      </c>
      <c r="J243" s="18">
        <f>2293.11</f>
        <v>2293.11</v>
      </c>
      <c r="K243" s="18"/>
      <c r="L243" s="19">
        <f t="shared" si="4"/>
        <v>485025.23</v>
      </c>
      <c r="M243" s="8"/>
      <c r="N243" s="266"/>
    </row>
    <row r="244" spans="1:14" s="3" customFormat="1" ht="12.2" customHeight="1" x14ac:dyDescent="0.15">
      <c r="A244" s="1" t="s">
        <v>448</v>
      </c>
      <c r="B244" s="2" t="s">
        <v>350</v>
      </c>
      <c r="C244" s="2" t="s">
        <v>300</v>
      </c>
      <c r="D244" s="2" t="s">
        <v>431</v>
      </c>
      <c r="E244" s="6">
        <v>2700</v>
      </c>
      <c r="F244" s="18"/>
      <c r="G244" s="18"/>
      <c r="H244" s="18">
        <f>87570.9+87389.44+66263.72</f>
        <v>241224.06</v>
      </c>
      <c r="I244" s="18"/>
      <c r="J244" s="18"/>
      <c r="K244" s="18"/>
      <c r="L244" s="19">
        <f t="shared" si="4"/>
        <v>241224.06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2841566.8199999994</v>
      </c>
      <c r="G247" s="41">
        <f t="shared" si="5"/>
        <v>1534931.2700000003</v>
      </c>
      <c r="H247" s="41">
        <f t="shared" si="5"/>
        <v>876273.8</v>
      </c>
      <c r="I247" s="41">
        <f t="shared" si="5"/>
        <v>273966.76</v>
      </c>
      <c r="J247" s="41">
        <f t="shared" si="5"/>
        <v>103070.59000000001</v>
      </c>
      <c r="K247" s="41">
        <f t="shared" si="5"/>
        <v>25012.35</v>
      </c>
      <c r="L247" s="41">
        <f t="shared" si="5"/>
        <v>5654821.5900000008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8940318.0199999996</v>
      </c>
      <c r="G257" s="41">
        <f t="shared" si="8"/>
        <v>4863771.71</v>
      </c>
      <c r="H257" s="41">
        <f t="shared" si="8"/>
        <v>2284468.12</v>
      </c>
      <c r="I257" s="41">
        <f t="shared" si="8"/>
        <v>889051.82000000007</v>
      </c>
      <c r="J257" s="41">
        <f t="shared" si="8"/>
        <v>309042.27</v>
      </c>
      <c r="K257" s="41">
        <f t="shared" si="8"/>
        <v>38328.25</v>
      </c>
      <c r="L257" s="41">
        <f t="shared" si="8"/>
        <v>17324980.190000001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665000</v>
      </c>
      <c r="L260" s="19">
        <f>SUM(F260:K260)</f>
        <v>665000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236097.3</v>
      </c>
      <c r="L261" s="19">
        <f>SUM(F261:K261)</f>
        <v>236097.3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3632.95</v>
      </c>
      <c r="L263" s="19">
        <f>SUM(F263:K263)</f>
        <v>3632.95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264523.18</v>
      </c>
      <c r="L265" s="19">
        <f t="shared" si="9"/>
        <v>264523.18</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250000</v>
      </c>
      <c r="L266" s="19">
        <f t="shared" si="9"/>
        <v>250000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1419253.43</v>
      </c>
      <c r="L270" s="41">
        <f t="shared" si="9"/>
        <v>1419253.43</v>
      </c>
      <c r="N270" s="264"/>
    </row>
    <row r="271" spans="1:14" s="3" customFormat="1" ht="12.2" customHeight="1" thickTop="1" x14ac:dyDescent="0.2">
      <c r="A271" s="43" t="s">
        <v>464</v>
      </c>
      <c r="B271" s="40">
        <v>10</v>
      </c>
      <c r="C271" s="40">
        <v>18</v>
      </c>
      <c r="D271" s="39" t="s">
        <v>431</v>
      </c>
      <c r="E271" s="40"/>
      <c r="F271" s="42">
        <f t="shared" ref="F271:L271" si="11">F257+F270</f>
        <v>8940318.0199999996</v>
      </c>
      <c r="G271" s="42">
        <f t="shared" si="11"/>
        <v>4863771.71</v>
      </c>
      <c r="H271" s="42">
        <f t="shared" si="11"/>
        <v>2284468.12</v>
      </c>
      <c r="I271" s="42">
        <f t="shared" si="11"/>
        <v>889051.82000000007</v>
      </c>
      <c r="J271" s="42">
        <f t="shared" si="11"/>
        <v>309042.27</v>
      </c>
      <c r="K271" s="42">
        <f t="shared" si="11"/>
        <v>1457581.68</v>
      </c>
      <c r="L271" s="42">
        <f t="shared" si="11"/>
        <v>18744233.620000001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7985.12+132032.14-0.07+750</f>
        <v>140767.19</v>
      </c>
      <c r="G276" s="18">
        <f>610.87+9146.85+55.31+130.2</f>
        <v>9943.2300000000014</v>
      </c>
      <c r="H276" s="18">
        <f>1750+582.04</f>
        <v>2332.04</v>
      </c>
      <c r="I276" s="18">
        <f>250.97+1717.02+99.01</f>
        <v>2067</v>
      </c>
      <c r="J276" s="18">
        <f>2367.9</f>
        <v>2367.9</v>
      </c>
      <c r="K276" s="18"/>
      <c r="L276" s="19">
        <f>SUM(F276:K276)</f>
        <v>157477.36000000002</v>
      </c>
      <c r="M276" s="8"/>
      <c r="N276" s="266"/>
    </row>
    <row r="277" spans="1:14" s="3" customFormat="1" ht="12.2" customHeight="1" x14ac:dyDescent="0.15">
      <c r="A277" s="1" t="s">
        <v>439</v>
      </c>
      <c r="B277" s="2" t="s">
        <v>357</v>
      </c>
      <c r="C277" s="2" t="s">
        <v>291</v>
      </c>
      <c r="D277" s="2" t="s">
        <v>431</v>
      </c>
      <c r="E277" s="6">
        <v>1200</v>
      </c>
      <c r="F277" s="18">
        <f>6740.47+51174</f>
        <v>57914.47</v>
      </c>
      <c r="G277" s="18">
        <f>4130.58</f>
        <v>4130.58</v>
      </c>
      <c r="H277" s="18"/>
      <c r="I277" s="18"/>
      <c r="J277" s="18">
        <f>8182.9+250</f>
        <v>8432.9</v>
      </c>
      <c r="K277" s="18"/>
      <c r="L277" s="19">
        <f>SUM(F277:K277)</f>
        <v>70477.95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17281</f>
        <v>17281</v>
      </c>
      <c r="G281" s="18">
        <f>1211.53</f>
        <v>1211.53</v>
      </c>
      <c r="H281" s="18"/>
      <c r="I281" s="18">
        <v>431.04</v>
      </c>
      <c r="J281" s="18"/>
      <c r="K281" s="18"/>
      <c r="L281" s="19">
        <f t="shared" ref="L281:L287" si="12">SUM(F281:K281)</f>
        <v>18923.57</v>
      </c>
      <c r="M281" s="8"/>
      <c r="N281" s="266"/>
    </row>
    <row r="282" spans="1:14" s="3" customFormat="1" ht="12.2" customHeight="1" x14ac:dyDescent="0.15">
      <c r="A282" s="1" t="s">
        <v>443</v>
      </c>
      <c r="B282" s="2" t="s">
        <v>357</v>
      </c>
      <c r="C282" s="2" t="s">
        <v>295</v>
      </c>
      <c r="D282" s="2" t="s">
        <v>431</v>
      </c>
      <c r="E282" s="6">
        <v>2200</v>
      </c>
      <c r="F282" s="18">
        <f>906.22+2625+11912.5+2337.5+6557.34+698.44+2100</f>
        <v>27137</v>
      </c>
      <c r="G282" s="18">
        <f>66.6+199.49+300.64+476.15+51.13</f>
        <v>1094.0100000000002</v>
      </c>
      <c r="H282" s="18">
        <f>8583.2+2339+64.64+250+1100+25.07+2557.5+1000+756.72+911.82+1250+6230.27+2866.1+500+224.5+250+2121.25</f>
        <v>31030.07</v>
      </c>
      <c r="I282" s="18">
        <f>1558.9+205.6+3981.19+748.22+350+1654.08+1014.68+14332.03</f>
        <v>23844.700000000004</v>
      </c>
      <c r="J282" s="18"/>
      <c r="K282" s="18"/>
      <c r="L282" s="19">
        <f t="shared" si="12"/>
        <v>83105.78</v>
      </c>
      <c r="M282" s="8"/>
      <c r="N282" s="266"/>
    </row>
    <row r="283" spans="1:14" s="3" customFormat="1" ht="12.2" customHeight="1" x14ac:dyDescent="0.15">
      <c r="A283" s="1" t="s">
        <v>444</v>
      </c>
      <c r="B283" s="2" t="s">
        <v>357</v>
      </c>
      <c r="C283" s="2" t="s">
        <v>296</v>
      </c>
      <c r="D283" s="2" t="s">
        <v>431</v>
      </c>
      <c r="E283" s="6">
        <v>2300</v>
      </c>
      <c r="F283" s="18">
        <f>37.5+1336.25+799.38</f>
        <v>2173.13</v>
      </c>
      <c r="G283" s="18">
        <f>2.87+102.24+60.89</f>
        <v>166</v>
      </c>
      <c r="H283" s="18"/>
      <c r="I283" s="18">
        <f>32.53</f>
        <v>32.53</v>
      </c>
      <c r="J283" s="18"/>
      <c r="K283" s="18"/>
      <c r="L283" s="19">
        <f t="shared" si="12"/>
        <v>2371.6600000000003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f>2804.88+797.6</f>
        <v>3602.48</v>
      </c>
      <c r="J286" s="18"/>
      <c r="K286" s="18"/>
      <c r="L286" s="19">
        <f t="shared" si="12"/>
        <v>3602.48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245272.79</v>
      </c>
      <c r="G290" s="42">
        <f t="shared" si="13"/>
        <v>16545.350000000002</v>
      </c>
      <c r="H290" s="42">
        <f t="shared" si="13"/>
        <v>33362.11</v>
      </c>
      <c r="I290" s="42">
        <f t="shared" si="13"/>
        <v>29977.750000000004</v>
      </c>
      <c r="J290" s="42">
        <f t="shared" si="13"/>
        <v>10800.8</v>
      </c>
      <c r="K290" s="42">
        <f t="shared" si="13"/>
        <v>0</v>
      </c>
      <c r="L290" s="41">
        <f t="shared" si="13"/>
        <v>335958.8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330</f>
        <v>330</v>
      </c>
      <c r="G295" s="18">
        <f>24.34+57.29</f>
        <v>81.63</v>
      </c>
      <c r="H295" s="18">
        <f>770</f>
        <v>770</v>
      </c>
      <c r="I295" s="18">
        <f>43.57</f>
        <v>43.57</v>
      </c>
      <c r="J295" s="18">
        <f>211.64</f>
        <v>211.64</v>
      </c>
      <c r="K295" s="18"/>
      <c r="L295" s="19">
        <f>SUM(F295:K295)</f>
        <v>1436.8400000000001</v>
      </c>
      <c r="M295" s="8"/>
      <c r="N295" s="266"/>
    </row>
    <row r="296" spans="1:14" s="3" customFormat="1" ht="12.2" customHeight="1" x14ac:dyDescent="0.15">
      <c r="A296" s="1" t="s">
        <v>439</v>
      </c>
      <c r="B296" s="2" t="s">
        <v>358</v>
      </c>
      <c r="C296" s="2" t="s">
        <v>291</v>
      </c>
      <c r="D296" s="2" t="s">
        <v>431</v>
      </c>
      <c r="E296" s="6">
        <v>1200</v>
      </c>
      <c r="F296" s="18">
        <f>32286.5+9180.83+0.02</f>
        <v>41467.35</v>
      </c>
      <c r="G296" s="18">
        <f>3085.64</f>
        <v>3085.64</v>
      </c>
      <c r="H296" s="18"/>
      <c r="I296" s="18"/>
      <c r="J296" s="18">
        <f>3600.47+110</f>
        <v>3710.47</v>
      </c>
      <c r="K296" s="18"/>
      <c r="L296" s="19">
        <f>SUM(F296:K296)</f>
        <v>48263.46</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7603.64</f>
        <v>7603.64</v>
      </c>
      <c r="G300" s="18">
        <f>533.07</f>
        <v>533.07000000000005</v>
      </c>
      <c r="H300" s="18"/>
      <c r="I300" s="18">
        <f>189.66</f>
        <v>189.66</v>
      </c>
      <c r="J300" s="18"/>
      <c r="K300" s="18"/>
      <c r="L300" s="19">
        <f t="shared" ref="L300:L306" si="14">SUM(F300:K300)</f>
        <v>8326.3700000000008</v>
      </c>
      <c r="M300" s="8"/>
      <c r="N300" s="266"/>
    </row>
    <row r="301" spans="1:14" s="3" customFormat="1" ht="12.2" customHeight="1" x14ac:dyDescent="0.15">
      <c r="A301" s="1" t="s">
        <v>443</v>
      </c>
      <c r="B301" s="2" t="s">
        <v>358</v>
      </c>
      <c r="C301" s="2" t="s">
        <v>295</v>
      </c>
      <c r="D301" s="2" t="s">
        <v>431</v>
      </c>
      <c r="E301" s="6">
        <v>2200</v>
      </c>
      <c r="F301" s="18">
        <f>398.73+1155+550+5241.5+1028.5+2885.23+307.31+924</f>
        <v>12490.269999999999</v>
      </c>
      <c r="G301" s="18">
        <f>29.3+87.78+133.78+132.28+209.5+22.5</f>
        <v>615.14</v>
      </c>
      <c r="H301" s="18">
        <f>3776.61+1029.16+28.44+484+11.03+1125.3+550+2741.32+1261.08+220+933.35</f>
        <v>12160.29</v>
      </c>
      <c r="I301" s="18">
        <f>685.91+90.46+154+727.79+446.46+222.05+1632.77</f>
        <v>3959.44</v>
      </c>
      <c r="J301" s="18"/>
      <c r="K301" s="18"/>
      <c r="L301" s="19">
        <f t="shared" si="14"/>
        <v>29225.139999999996</v>
      </c>
      <c r="M301" s="8"/>
      <c r="N301" s="266"/>
    </row>
    <row r="302" spans="1:14" s="3" customFormat="1" ht="12.2" customHeight="1" x14ac:dyDescent="0.15">
      <c r="A302" s="1" t="s">
        <v>444</v>
      </c>
      <c r="B302" s="2" t="s">
        <v>358</v>
      </c>
      <c r="C302" s="2" t="s">
        <v>296</v>
      </c>
      <c r="D302" s="2" t="s">
        <v>431</v>
      </c>
      <c r="E302" s="6">
        <v>2300</v>
      </c>
      <c r="F302" s="18">
        <f>16.5+587.95+351.73</f>
        <v>956.18000000000006</v>
      </c>
      <c r="G302" s="18">
        <f>1.26+44.98+26.79</f>
        <v>73.03</v>
      </c>
      <c r="H302" s="18"/>
      <c r="I302" s="18">
        <f>14.31</f>
        <v>14.31</v>
      </c>
      <c r="J302" s="18"/>
      <c r="K302" s="18"/>
      <c r="L302" s="19">
        <f t="shared" si="14"/>
        <v>1043.52</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f>1234.15</f>
        <v>1234.1500000000001</v>
      </c>
      <c r="J305" s="18"/>
      <c r="K305" s="18"/>
      <c r="L305" s="19">
        <f t="shared" si="14"/>
        <v>1234.1500000000001</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62847.439999999995</v>
      </c>
      <c r="G309" s="42">
        <f t="shared" si="15"/>
        <v>4388.51</v>
      </c>
      <c r="H309" s="42">
        <f t="shared" si="15"/>
        <v>12930.29</v>
      </c>
      <c r="I309" s="42">
        <f t="shared" si="15"/>
        <v>5441.130000000001</v>
      </c>
      <c r="J309" s="42">
        <f t="shared" si="15"/>
        <v>3922.1099999999997</v>
      </c>
      <c r="K309" s="42">
        <f t="shared" si="15"/>
        <v>0</v>
      </c>
      <c r="L309" s="41">
        <f t="shared" si="15"/>
        <v>89529.48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420</f>
        <v>420</v>
      </c>
      <c r="G314" s="18">
        <f>30.96+72.91</f>
        <v>103.87</v>
      </c>
      <c r="H314" s="18">
        <f>980</f>
        <v>980</v>
      </c>
      <c r="I314" s="18">
        <f>55.44</f>
        <v>55.44</v>
      </c>
      <c r="J314" s="18">
        <f>269.36</f>
        <v>269.36</v>
      </c>
      <c r="K314" s="18"/>
      <c r="L314" s="19">
        <f>SUM(F314:K314)</f>
        <v>1828.67</v>
      </c>
      <c r="M314" s="8"/>
      <c r="N314" s="266"/>
    </row>
    <row r="315" spans="1:14" s="3" customFormat="1" ht="12.2" customHeight="1" x14ac:dyDescent="0.15">
      <c r="A315" s="1" t="s">
        <v>439</v>
      </c>
      <c r="B315" s="2" t="s">
        <v>359</v>
      </c>
      <c r="C315" s="2" t="s">
        <v>291</v>
      </c>
      <c r="D315" s="2" t="s">
        <v>431</v>
      </c>
      <c r="E315" s="6">
        <v>1200</v>
      </c>
      <c r="F315" s="18"/>
      <c r="G315" s="18"/>
      <c r="H315" s="18"/>
      <c r="I315" s="18"/>
      <c r="J315" s="18">
        <f>4582.42+140</f>
        <v>4722.42</v>
      </c>
      <c r="K315" s="18"/>
      <c r="L315" s="19">
        <f>SUM(F315:K315)</f>
        <v>4722.42</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45312+9677.36-0.01+3600</f>
        <v>58589.35</v>
      </c>
      <c r="G319" s="18">
        <f>3139.38+678.46+270.04+457.07</f>
        <v>4544.95</v>
      </c>
      <c r="H319" s="18"/>
      <c r="I319" s="18">
        <f>241.38</f>
        <v>241.38</v>
      </c>
      <c r="J319" s="18"/>
      <c r="K319" s="18"/>
      <c r="L319" s="19">
        <f t="shared" ref="L319:L325" si="16">SUM(F319:K319)</f>
        <v>63375.679999999993</v>
      </c>
      <c r="M319" s="8"/>
      <c r="N319" s="266"/>
    </row>
    <row r="320" spans="1:14" s="3" customFormat="1" ht="12.2" customHeight="1" x14ac:dyDescent="0.15">
      <c r="A320" s="1" t="s">
        <v>443</v>
      </c>
      <c r="B320" s="2" t="s">
        <v>359</v>
      </c>
      <c r="C320" s="2" t="s">
        <v>295</v>
      </c>
      <c r="D320" s="2" t="s">
        <v>431</v>
      </c>
      <c r="E320" s="6">
        <v>2200</v>
      </c>
      <c r="F320" s="18">
        <f>507.48+1470+700+6671+1309+3672.11+391.13+1176</f>
        <v>15896.72</v>
      </c>
      <c r="G320" s="18">
        <f>37.3+111.71+170.26+168.36+266.64+28.63</f>
        <v>782.9</v>
      </c>
      <c r="H320" s="18">
        <f>4806.59+1309.84+36.2+616+14.04+1432.2+700+3488.95+1605.02+280+1187.9</f>
        <v>15476.74</v>
      </c>
      <c r="I320" s="18">
        <f>872.98+115.13+196+926.28+568.22+282.6+2177</f>
        <v>5138.2100000000009</v>
      </c>
      <c r="J320" s="18"/>
      <c r="K320" s="18"/>
      <c r="L320" s="19">
        <f t="shared" si="16"/>
        <v>37294.57</v>
      </c>
      <c r="M320" s="8"/>
      <c r="N320" s="266"/>
    </row>
    <row r="321" spans="1:14" s="3" customFormat="1" ht="12.2" customHeight="1" x14ac:dyDescent="0.15">
      <c r="A321" s="1" t="s">
        <v>444</v>
      </c>
      <c r="B321" s="2" t="s">
        <v>359</v>
      </c>
      <c r="C321" s="2" t="s">
        <v>296</v>
      </c>
      <c r="D321" s="2" t="s">
        <v>431</v>
      </c>
      <c r="E321" s="6">
        <v>2300</v>
      </c>
      <c r="F321" s="18">
        <f>21+748.3+447.65</f>
        <v>1216.9499999999998</v>
      </c>
      <c r="G321" s="18">
        <f>1.61+57.25+34.1</f>
        <v>92.960000000000008</v>
      </c>
      <c r="H321" s="18"/>
      <c r="I321" s="18">
        <f>18.21</f>
        <v>18.21</v>
      </c>
      <c r="J321" s="18"/>
      <c r="K321" s="18"/>
      <c r="L321" s="19">
        <f t="shared" si="16"/>
        <v>1328.12</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f>1570.73</f>
        <v>1570.73</v>
      </c>
      <c r="J324" s="18"/>
      <c r="K324" s="18"/>
      <c r="L324" s="19">
        <f t="shared" si="16"/>
        <v>1570.73</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76123.01999999999</v>
      </c>
      <c r="G328" s="42">
        <f t="shared" si="17"/>
        <v>5524.6799999999994</v>
      </c>
      <c r="H328" s="42">
        <f t="shared" si="17"/>
        <v>16456.739999999998</v>
      </c>
      <c r="I328" s="42">
        <f t="shared" si="17"/>
        <v>7023.9700000000012</v>
      </c>
      <c r="J328" s="42">
        <f t="shared" si="17"/>
        <v>4991.78</v>
      </c>
      <c r="K328" s="42">
        <f t="shared" si="17"/>
        <v>0</v>
      </c>
      <c r="L328" s="41">
        <f t="shared" si="17"/>
        <v>110120.18999999999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384243.25</v>
      </c>
      <c r="G338" s="41">
        <f t="shared" si="20"/>
        <v>26458.54</v>
      </c>
      <c r="H338" s="41">
        <f t="shared" si="20"/>
        <v>62749.14</v>
      </c>
      <c r="I338" s="41">
        <f t="shared" si="20"/>
        <v>42442.850000000006</v>
      </c>
      <c r="J338" s="41">
        <f t="shared" si="20"/>
        <v>19714.689999999999</v>
      </c>
      <c r="K338" s="41">
        <f t="shared" si="20"/>
        <v>0</v>
      </c>
      <c r="L338" s="41">
        <f t="shared" si="20"/>
        <v>535608.47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f>382+1526.47+67.96+365+810+16+6011+837+140+8759+307</f>
        <v>19221.43</v>
      </c>
      <c r="L344" s="19">
        <f t="shared" ref="L344:L350" si="21">SUM(F344:K344)</f>
        <v>19221.43</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19221.43</v>
      </c>
      <c r="L351" s="41">
        <f>SUM(L341:L350)</f>
        <v>19221.43</v>
      </c>
      <c r="M351" s="8"/>
      <c r="N351" s="266"/>
    </row>
    <row r="352" spans="1:43" s="12" customFormat="1" ht="12.2" customHeight="1" thickTop="1" thickBot="1" x14ac:dyDescent="0.25">
      <c r="A352" s="38" t="s">
        <v>469</v>
      </c>
      <c r="B352" s="40">
        <v>14</v>
      </c>
      <c r="C352" s="40">
        <v>17</v>
      </c>
      <c r="D352" s="39" t="s">
        <v>431</v>
      </c>
      <c r="E352" s="40"/>
      <c r="F352" s="41">
        <f>F338</f>
        <v>384243.25</v>
      </c>
      <c r="G352" s="41">
        <f>G338</f>
        <v>26458.54</v>
      </c>
      <c r="H352" s="41">
        <f>H338</f>
        <v>62749.14</v>
      </c>
      <c r="I352" s="41">
        <f>I338</f>
        <v>42442.850000000006</v>
      </c>
      <c r="J352" s="41">
        <f>J338</f>
        <v>19714.689999999999</v>
      </c>
      <c r="K352" s="47">
        <f>K338+K351</f>
        <v>19221.43</v>
      </c>
      <c r="L352" s="41">
        <f>L338+L351</f>
        <v>554829.9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1587.49+69003.85-0.02</f>
        <v>70591.320000000007</v>
      </c>
      <c r="G358" s="18">
        <f>10038.19+307.32+121.44+5175.6+3044.78+430.5+516.5</f>
        <v>19634.330000000002</v>
      </c>
      <c r="H358" s="18">
        <f>2292.45</f>
        <v>2292.4499999999998</v>
      </c>
      <c r="I358" s="18">
        <f>5304.78+380.14+49691.31+836.25+792</f>
        <v>57004.479999999996</v>
      </c>
      <c r="J358" s="18"/>
      <c r="K358" s="18">
        <f>834.25+47.14</f>
        <v>881.39</v>
      </c>
      <c r="L358" s="13">
        <f>SUM(F358:K358)</f>
        <v>150403.97000000003</v>
      </c>
      <c r="N358" s="264"/>
      <c r="R358" s="3"/>
      <c r="S358" s="3"/>
      <c r="T358" s="3"/>
      <c r="U358" s="3"/>
      <c r="V358" s="3"/>
    </row>
    <row r="359" spans="1:22" s="3" customFormat="1" ht="12.2" customHeight="1" x14ac:dyDescent="0.15">
      <c r="A359" s="1" t="s">
        <v>542</v>
      </c>
      <c r="B359" s="2" t="s">
        <v>366</v>
      </c>
      <c r="C359" s="6">
        <v>2</v>
      </c>
      <c r="D359" s="2" t="s">
        <v>431</v>
      </c>
      <c r="E359" s="6"/>
      <c r="F359" s="18">
        <f>698.49+45653.11</f>
        <v>46351.6</v>
      </c>
      <c r="G359" s="18">
        <f>4172.62+135.25+53.43+3378.45+3692.33+189.42+227.26</f>
        <v>11848.76</v>
      </c>
      <c r="H359" s="18">
        <f>1008.68</f>
        <v>1008.68</v>
      </c>
      <c r="I359" s="18">
        <f>1586.15+167.26+23449.5+9688.57+367.95+348.48</f>
        <v>35607.909999999996</v>
      </c>
      <c r="J359" s="18"/>
      <c r="K359" s="18">
        <f>367.07+20.74</f>
        <v>387.81</v>
      </c>
      <c r="L359" s="19">
        <f>SUM(F359:K359)</f>
        <v>95204.76</v>
      </c>
      <c r="M359" s="8"/>
      <c r="N359" s="266"/>
    </row>
    <row r="360" spans="1:22" s="3" customFormat="1" ht="12.2" customHeight="1" x14ac:dyDescent="0.15">
      <c r="A360" s="3" t="s">
        <v>543</v>
      </c>
      <c r="B360" s="2" t="s">
        <v>366</v>
      </c>
      <c r="C360" s="6">
        <v>3</v>
      </c>
      <c r="D360" s="2" t="s">
        <v>431</v>
      </c>
      <c r="E360" s="6"/>
      <c r="F360" s="18">
        <f>888.99+58103.96</f>
        <v>58992.95</v>
      </c>
      <c r="G360" s="18">
        <f>5310.6+172.14+68.01+4299.84+4699.33+241.08+289.24</f>
        <v>15080.24</v>
      </c>
      <c r="H360" s="18">
        <f>1283.77</f>
        <v>1283.77</v>
      </c>
      <c r="I360" s="18">
        <f>2018.74+212.88+29844.81+12330.9+468.3+443.52</f>
        <v>45319.15</v>
      </c>
      <c r="J360" s="18"/>
      <c r="K360" s="18">
        <f>467.18+26.4</f>
        <v>493.58</v>
      </c>
      <c r="L360" s="19">
        <f>SUM(F360:K360)</f>
        <v>121169.69000000002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175935.87</v>
      </c>
      <c r="G362" s="47">
        <f t="shared" si="22"/>
        <v>46563.33</v>
      </c>
      <c r="H362" s="47">
        <f t="shared" si="22"/>
        <v>4584.8999999999996</v>
      </c>
      <c r="I362" s="47">
        <f t="shared" si="22"/>
        <v>137931.53999999998</v>
      </c>
      <c r="J362" s="47">
        <f t="shared" si="22"/>
        <v>0</v>
      </c>
      <c r="K362" s="47">
        <f t="shared" si="22"/>
        <v>1762.78</v>
      </c>
      <c r="L362" s="47">
        <f t="shared" si="22"/>
        <v>366778.42000000004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49691.31+836.25</f>
        <v>50527.56</v>
      </c>
      <c r="G367" s="18">
        <f>23449.5+9688.57+367.95</f>
        <v>33506.019999999997</v>
      </c>
      <c r="H367" s="18">
        <f>29844.81+12330.9+468.3</f>
        <v>42644.01</v>
      </c>
      <c r="I367" s="56">
        <f>SUM(F367:H367)</f>
        <v>126677.59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5304.78+380.14+792</f>
        <v>6476.92</v>
      </c>
      <c r="G368" s="63">
        <f>1586.15+167.26+348.48</f>
        <v>2101.8900000000003</v>
      </c>
      <c r="H368" s="63">
        <f>2018.74+212.88+443.52</f>
        <v>2675.14</v>
      </c>
      <c r="I368" s="56">
        <f>SUM(F368:H368)</f>
        <v>11253.95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57004.479999999996</v>
      </c>
      <c r="G369" s="47">
        <f>SUM(G367:G368)</f>
        <v>35607.909999999996</v>
      </c>
      <c r="H369" s="47">
        <f>SUM(H367:H368)</f>
        <v>45319.15</v>
      </c>
      <c r="I369" s="47">
        <f>SUM(I367:I368)</f>
        <v>137931.54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f>1564523.18</f>
        <v>1564523.18</v>
      </c>
      <c r="I378" s="18"/>
      <c r="J378" s="18"/>
      <c r="K378" s="18"/>
      <c r="L378" s="13">
        <f t="shared" si="23"/>
        <v>1564523.18</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1564523.18</v>
      </c>
      <c r="I382" s="41">
        <f t="shared" si="24"/>
        <v>0</v>
      </c>
      <c r="J382" s="47">
        <f t="shared" si="24"/>
        <v>0</v>
      </c>
      <c r="K382" s="47">
        <f t="shared" si="24"/>
        <v>0</v>
      </c>
      <c r="L382" s="47">
        <f t="shared" si="24"/>
        <v>1564523.18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200000</v>
      </c>
      <c r="H388" s="18">
        <v>3008.17</v>
      </c>
      <c r="I388" s="18"/>
      <c r="J388" s="24" t="s">
        <v>288</v>
      </c>
      <c r="K388" s="24" t="s">
        <v>288</v>
      </c>
      <c r="L388" s="56">
        <f t="shared" si="25"/>
        <v>203008.17</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200000</v>
      </c>
      <c r="H393" s="139">
        <f>SUM(H387:H392)</f>
        <v>3008.17</v>
      </c>
      <c r="I393" s="65">
        <f>SUM(I387:I392)</f>
        <v>0</v>
      </c>
      <c r="J393" s="45" t="s">
        <v>288</v>
      </c>
      <c r="K393" s="45" t="s">
        <v>288</v>
      </c>
      <c r="L393" s="47">
        <f>SUM(L387:L392)</f>
        <v>203008.17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50000</v>
      </c>
      <c r="H397" s="18">
        <v>1358.36</v>
      </c>
      <c r="I397" s="18"/>
      <c r="J397" s="24" t="s">
        <v>288</v>
      </c>
      <c r="K397" s="24" t="s">
        <v>288</v>
      </c>
      <c r="L397" s="56">
        <f t="shared" si="26"/>
        <v>51358.36</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1358.36</v>
      </c>
      <c r="I401" s="47">
        <f>SUM(I395:I400)</f>
        <v>0</v>
      </c>
      <c r="J401" s="45" t="s">
        <v>288</v>
      </c>
      <c r="K401" s="45" t="s">
        <v>288</v>
      </c>
      <c r="L401" s="47">
        <f>SUM(L395:L400)</f>
        <v>51358.36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250000</v>
      </c>
      <c r="H408" s="47">
        <f>H393+H401+H407</f>
        <v>4366.53</v>
      </c>
      <c r="I408" s="47">
        <f>I393+I401+I407</f>
        <v>0</v>
      </c>
      <c r="J408" s="24" t="s">
        <v>288</v>
      </c>
      <c r="K408" s="24" t="s">
        <v>288</v>
      </c>
      <c r="L408" s="47">
        <f>L393+L401+L407</f>
        <v>254366.53000000003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200000</v>
      </c>
      <c r="L422" s="56">
        <f t="shared" si="29"/>
        <v>200000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200000</v>
      </c>
      <c r="L427" s="47">
        <f t="shared" si="30"/>
        <v>200000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200000</v>
      </c>
      <c r="L434" s="47">
        <f t="shared" si="32"/>
        <v>200000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250695.73+101625.16</f>
        <v>352320.89</v>
      </c>
      <c r="G440" s="18"/>
      <c r="H440" s="18"/>
      <c r="I440" s="56">
        <f t="shared" si="33"/>
        <v>352320.89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352320.89</v>
      </c>
      <c r="G446" s="13">
        <f>SUM(G439:G445)</f>
        <v>0</v>
      </c>
      <c r="H446" s="13">
        <f>SUM(H439:H445)</f>
        <v>0</v>
      </c>
      <c r="I446" s="13">
        <f>SUM(I439:I445)</f>
        <v>352320.89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352320.89</v>
      </c>
      <c r="G459" s="18"/>
      <c r="H459" s="18"/>
      <c r="I459" s="56">
        <f t="shared" si="34"/>
        <v>352320.89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352320.89</v>
      </c>
      <c r="G460" s="83">
        <f>SUM(G454:G459)</f>
        <v>0</v>
      </c>
      <c r="H460" s="83">
        <f>SUM(H454:H459)</f>
        <v>0</v>
      </c>
      <c r="I460" s="83">
        <f>SUM(I454:I459)</f>
        <v>352320.89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352320.89</v>
      </c>
      <c r="G461" s="42">
        <f>G452+G460</f>
        <v>0</v>
      </c>
      <c r="H461" s="42">
        <f>H452+H460</f>
        <v>0</v>
      </c>
      <c r="I461" s="42">
        <f>I452+I460</f>
        <v>352320.89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1368198.23+3632.95</f>
        <v>1371831.18</v>
      </c>
      <c r="G465" s="18">
        <v>64296.22</v>
      </c>
      <c r="H465" s="18">
        <v>0</v>
      </c>
      <c r="I465" s="18">
        <v>1100000</v>
      </c>
      <c r="J465" s="18">
        <v>297954.36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18295194.399999999</v>
      </c>
      <c r="G468" s="18">
        <v>362424.71</v>
      </c>
      <c r="H468" s="18">
        <v>572014.59</v>
      </c>
      <c r="I468" s="18">
        <v>264523.18</v>
      </c>
      <c r="J468" s="18">
        <f>250000+3008.17+1358.36</f>
        <v>254366.53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v>200000</v>
      </c>
      <c r="J469" s="18"/>
      <c r="K469" s="24" t="s">
        <v>288</v>
      </c>
      <c r="L469" s="24" t="s">
        <v>288</v>
      </c>
      <c r="N469" s="265"/>
    </row>
    <row r="470" spans="1:14" s="52" customFormat="1" ht="12.2" customHeight="1" x14ac:dyDescent="0.2">
      <c r="A470" s="92" t="s">
        <v>425</v>
      </c>
      <c r="B470" s="75">
        <v>19</v>
      </c>
      <c r="C470" s="80">
        <v>4</v>
      </c>
      <c r="D470" s="2" t="s">
        <v>432</v>
      </c>
      <c r="E470" s="80"/>
      <c r="F470" s="53">
        <f>SUM(F468:F469)</f>
        <v>18295194.399999999</v>
      </c>
      <c r="G470" s="53">
        <f>SUM(G468:G469)</f>
        <v>362424.71</v>
      </c>
      <c r="H470" s="53">
        <f>SUM(H468:H469)</f>
        <v>572014.59</v>
      </c>
      <c r="I470" s="53">
        <f>SUM(I468:I469)</f>
        <v>464523.18</v>
      </c>
      <c r="J470" s="53">
        <f>SUM(J468:J469)</f>
        <v>254366.53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18476077.49+264523.18+3632.95</f>
        <v>18744233.619999997</v>
      </c>
      <c r="G472" s="18">
        <v>366778.42</v>
      </c>
      <c r="H472" s="18">
        <f>517735.83+37094.07</f>
        <v>554829.9</v>
      </c>
      <c r="I472" s="18">
        <v>1564523.18</v>
      </c>
      <c r="J472" s="18">
        <v>200000</v>
      </c>
      <c r="K472" s="24" t="s">
        <v>288</v>
      </c>
      <c r="L472" s="24" t="s">
        <v>288</v>
      </c>
      <c r="N472" s="265"/>
    </row>
    <row r="473" spans="1:14" s="52" customFormat="1" ht="12.2" customHeight="1" x14ac:dyDescent="0.2">
      <c r="A473" s="93" t="s">
        <v>613</v>
      </c>
      <c r="B473" s="75">
        <v>19</v>
      </c>
      <c r="C473" s="80">
        <v>6</v>
      </c>
      <c r="D473" s="2" t="s">
        <v>432</v>
      </c>
      <c r="E473" s="80"/>
      <c r="F473" s="18"/>
      <c r="G473" s="18" t="s">
        <v>1614</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18744233.619999997</v>
      </c>
      <c r="G474" s="53">
        <f>SUM(G472:G473)</f>
        <v>366778.42</v>
      </c>
      <c r="H474" s="53">
        <f>SUM(H472:H473)</f>
        <v>554829.9</v>
      </c>
      <c r="I474" s="53">
        <f>SUM(I472:I473)</f>
        <v>1564523.18</v>
      </c>
      <c r="J474" s="53">
        <f>SUM(J472:J473)</f>
        <v>200000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922791.96000000089</v>
      </c>
      <c r="G476" s="53">
        <f>(G465+G470)- G474</f>
        <v>59942.510000000068</v>
      </c>
      <c r="H476" s="53">
        <f>(H465+H470)- H474</f>
        <v>17184.689999999944</v>
      </c>
      <c r="I476" s="53">
        <f>(I465+I470)- I474</f>
        <v>0</v>
      </c>
      <c r="J476" s="53">
        <f>(J465+J470)- J474</f>
        <v>352320.89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12072350</v>
      </c>
      <c r="G493" s="18">
        <v>1252419.8400000001</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4.13</v>
      </c>
      <c r="G494" s="18">
        <v>2.57</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6195000</v>
      </c>
      <c r="G495" s="18">
        <v>974600</v>
      </c>
      <c r="H495" s="18"/>
      <c r="I495" s="18"/>
      <c r="J495" s="18"/>
      <c r="K495" s="53">
        <f>SUM(F495:J495)</f>
        <v>7169600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v>0</v>
      </c>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5530000</v>
      </c>
      <c r="G498" s="204">
        <v>974600</v>
      </c>
      <c r="H498" s="204"/>
      <c r="I498" s="204"/>
      <c r="J498" s="204"/>
      <c r="K498" s="205">
        <f t="shared" si="35"/>
        <v>6504600</v>
      </c>
      <c r="L498" s="206" t="s">
        <v>288</v>
      </c>
      <c r="N498" s="265"/>
    </row>
    <row r="499" spans="1:14" s="52" customFormat="1" ht="12.2" customHeight="1" thickBot="1" x14ac:dyDescent="0.25">
      <c r="A499" s="22" t="s">
        <v>623</v>
      </c>
      <c r="B499" s="75">
        <v>20</v>
      </c>
      <c r="C499" s="115">
        <v>10</v>
      </c>
      <c r="D499" s="2" t="s">
        <v>432</v>
      </c>
      <c r="E499" s="115"/>
      <c r="F499" s="18">
        <v>600503.13</v>
      </c>
      <c r="G499" s="18">
        <f>277819.84-33412.54</f>
        <v>244407.30000000002</v>
      </c>
      <c r="H499" s="18"/>
      <c r="I499" s="18"/>
      <c r="J499" s="18"/>
      <c r="K499" s="53">
        <f t="shared" si="35"/>
        <v>844910.43</v>
      </c>
      <c r="L499" s="24" t="s">
        <v>288</v>
      </c>
      <c r="N499" s="265"/>
    </row>
    <row r="500" spans="1:14" s="52" customFormat="1" ht="12.2" customHeight="1" thickTop="1" x14ac:dyDescent="0.2">
      <c r="A500" s="139" t="s">
        <v>624</v>
      </c>
      <c r="B500" s="44">
        <v>20</v>
      </c>
      <c r="C500" s="195">
        <v>11</v>
      </c>
      <c r="D500" s="39" t="s">
        <v>432</v>
      </c>
      <c r="E500" s="195"/>
      <c r="F500" s="42">
        <f>SUM(F498:F499)</f>
        <v>6130503.1299999999</v>
      </c>
      <c r="G500" s="42">
        <f>SUM(G498:G499)</f>
        <v>1219007.3</v>
      </c>
      <c r="H500" s="42">
        <f>SUM(H498:H499)</f>
        <v>0</v>
      </c>
      <c r="I500" s="42">
        <f>SUM(I498:I499)</f>
        <v>0</v>
      </c>
      <c r="J500" s="42">
        <f>SUM(J498:J499)</f>
        <v>0</v>
      </c>
      <c r="K500" s="42">
        <f t="shared" si="35"/>
        <v>7349510.4299999997</v>
      </c>
      <c r="L500" s="45" t="s">
        <v>288</v>
      </c>
      <c r="N500" s="265"/>
    </row>
    <row r="501" spans="1:14" s="52" customFormat="1" ht="12.2" customHeight="1" x14ac:dyDescent="0.2">
      <c r="A501" s="200" t="s">
        <v>651</v>
      </c>
      <c r="B501" s="201">
        <v>20</v>
      </c>
      <c r="C501" s="202">
        <v>12</v>
      </c>
      <c r="D501" s="203" t="s">
        <v>432</v>
      </c>
      <c r="E501" s="202"/>
      <c r="F501" s="204">
        <v>695000</v>
      </c>
      <c r="G501" s="204">
        <v>104600</v>
      </c>
      <c r="H501" s="204"/>
      <c r="I501" s="204"/>
      <c r="J501" s="204"/>
      <c r="K501" s="205">
        <f t="shared" si="35"/>
        <v>799600</v>
      </c>
      <c r="L501" s="206" t="s">
        <v>288</v>
      </c>
      <c r="N501" s="265"/>
    </row>
    <row r="502" spans="1:14" s="52" customFormat="1" ht="12.2" customHeight="1" thickBot="1" x14ac:dyDescent="0.25">
      <c r="A502" s="22" t="s">
        <v>625</v>
      </c>
      <c r="B502" s="75">
        <v>20</v>
      </c>
      <c r="C502" s="115">
        <v>13</v>
      </c>
      <c r="D502" s="2" t="s">
        <v>432</v>
      </c>
      <c r="E502" s="115"/>
      <c r="F502" s="18">
        <v>174717.88</v>
      </c>
      <c r="G502" s="18">
        <v>47037.3</v>
      </c>
      <c r="H502" s="18"/>
      <c r="I502" s="18"/>
      <c r="J502" s="18"/>
      <c r="K502" s="53">
        <f t="shared" si="35"/>
        <v>221755.18</v>
      </c>
      <c r="L502" s="24" t="s">
        <v>288</v>
      </c>
      <c r="N502" s="265"/>
    </row>
    <row r="503" spans="1:14" s="52" customFormat="1" ht="12.2" customHeight="1" thickTop="1" x14ac:dyDescent="0.2">
      <c r="A503" s="139" t="s">
        <v>626</v>
      </c>
      <c r="B503" s="44">
        <v>20</v>
      </c>
      <c r="C503" s="195">
        <v>14</v>
      </c>
      <c r="D503" s="39" t="s">
        <v>432</v>
      </c>
      <c r="E503" s="195"/>
      <c r="F503" s="42">
        <f>SUM(F501:F502)</f>
        <v>869717.88</v>
      </c>
      <c r="G503" s="42">
        <f>SUM(G501:G502)</f>
        <v>151637.29999999999</v>
      </c>
      <c r="H503" s="42">
        <f>SUM(H501:H502)</f>
        <v>0</v>
      </c>
      <c r="I503" s="42">
        <f>SUM(I501:I502)</f>
        <v>0</v>
      </c>
      <c r="J503" s="42">
        <f>SUM(J501:J502)</f>
        <v>0</v>
      </c>
      <c r="K503" s="42">
        <f t="shared" si="35"/>
        <v>1021355.1799999999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809765.61</f>
        <v>809765.61</v>
      </c>
      <c r="G521" s="18">
        <f>450394.37</f>
        <v>450394.37</v>
      </c>
      <c r="H521" s="18">
        <f>326346.45</f>
        <v>326346.45</v>
      </c>
      <c r="I521" s="18">
        <f>10074.98</f>
        <v>10074.98</v>
      </c>
      <c r="J521" s="18">
        <f>1691.56</f>
        <v>1691.56</v>
      </c>
      <c r="K521" s="18"/>
      <c r="L521" s="88">
        <f>SUM(F521:K521)</f>
        <v>1598272.97</v>
      </c>
      <c r="N521" s="265"/>
    </row>
    <row r="522" spans="1:14" s="52" customFormat="1" ht="12.2" customHeight="1" x14ac:dyDescent="0.2">
      <c r="A522" s="22" t="s">
        <v>634</v>
      </c>
      <c r="B522" s="105">
        <v>21</v>
      </c>
      <c r="C522" s="115">
        <v>2</v>
      </c>
      <c r="D522" s="2" t="s">
        <v>432</v>
      </c>
      <c r="E522" s="115"/>
      <c r="F522" s="18">
        <f>343073.78</f>
        <v>343073.78</v>
      </c>
      <c r="G522" s="18">
        <f>171328.86</f>
        <v>171328.86</v>
      </c>
      <c r="H522" s="18">
        <f>39021.92</f>
        <v>39021.919999999998</v>
      </c>
      <c r="I522" s="18">
        <f>4361.52</f>
        <v>4361.5200000000004</v>
      </c>
      <c r="J522" s="18">
        <f>500</f>
        <v>500</v>
      </c>
      <c r="K522" s="18"/>
      <c r="L522" s="88">
        <f>SUM(F522:K522)</f>
        <v>558286.08000000007</v>
      </c>
      <c r="N522" s="265"/>
    </row>
    <row r="523" spans="1:14" s="52" customFormat="1" ht="12.2" customHeight="1" thickBot="1" x14ac:dyDescent="0.25">
      <c r="A523" s="22" t="s">
        <v>635</v>
      </c>
      <c r="B523" s="105">
        <v>21</v>
      </c>
      <c r="C523" s="115">
        <v>3</v>
      </c>
      <c r="D523" s="2" t="s">
        <v>432</v>
      </c>
      <c r="E523" s="115"/>
      <c r="F523" s="18">
        <f>318158.41</f>
        <v>318158.40999999997</v>
      </c>
      <c r="G523" s="18">
        <f>171240.27</f>
        <v>171240.27</v>
      </c>
      <c r="H523" s="18">
        <f>202072.93</f>
        <v>202072.93</v>
      </c>
      <c r="I523" s="18">
        <f>5482.29</f>
        <v>5482.29</v>
      </c>
      <c r="J523" s="18">
        <f>805.96</f>
        <v>805.96</v>
      </c>
      <c r="K523" s="18"/>
      <c r="L523" s="88">
        <f>SUM(F523:K523)</f>
        <v>697759.85999999987</v>
      </c>
      <c r="N523" s="265"/>
    </row>
    <row r="524" spans="1:14" s="52" customFormat="1" ht="12.2" customHeight="1" thickTop="1" x14ac:dyDescent="0.2">
      <c r="A524" s="139" t="s">
        <v>63</v>
      </c>
      <c r="B524" s="107">
        <v>21</v>
      </c>
      <c r="C524" s="195">
        <v>4</v>
      </c>
      <c r="D524" s="196" t="s">
        <v>432</v>
      </c>
      <c r="E524" s="195"/>
      <c r="F524" s="108">
        <f>SUM(F521:F523)</f>
        <v>1470997.8</v>
      </c>
      <c r="G524" s="108">
        <f t="shared" ref="G524:L524" si="36">SUM(G521:G523)</f>
        <v>792963.5</v>
      </c>
      <c r="H524" s="108">
        <f t="shared" si="36"/>
        <v>567441.30000000005</v>
      </c>
      <c r="I524" s="108">
        <f t="shared" si="36"/>
        <v>19918.79</v>
      </c>
      <c r="J524" s="108">
        <f t="shared" si="36"/>
        <v>2997.52</v>
      </c>
      <c r="K524" s="108">
        <f t="shared" si="36"/>
        <v>0</v>
      </c>
      <c r="L524" s="89">
        <f t="shared" si="36"/>
        <v>2854318.9099999997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46238.5+86374.75+72483.03</f>
        <v>205096.28</v>
      </c>
      <c r="G526" s="18">
        <f>39647.58+59856.54+35073.16</f>
        <v>134577.28</v>
      </c>
      <c r="H526" s="18">
        <f>32973.55+1000+8661.44+4831.53+23008.55+6726.16</f>
        <v>77201.23000000001</v>
      </c>
      <c r="I526" s="18">
        <f>1725.72+3028.45+315+692.97</f>
        <v>5762.14</v>
      </c>
      <c r="J526" s="18">
        <f>733.13+1250</f>
        <v>1983.13</v>
      </c>
      <c r="K526" s="18"/>
      <c r="L526" s="88">
        <f>SUM(F526:K526)</f>
        <v>424620.06000000006</v>
      </c>
      <c r="M526" s="8"/>
      <c r="N526" s="266"/>
    </row>
    <row r="527" spans="1:14" s="3" customFormat="1" ht="12.2" customHeight="1" x14ac:dyDescent="0.15">
      <c r="A527" s="22" t="s">
        <v>634</v>
      </c>
      <c r="B527" s="105">
        <v>21</v>
      </c>
      <c r="C527" s="115">
        <v>6</v>
      </c>
      <c r="D527" s="2" t="s">
        <v>432</v>
      </c>
      <c r="E527" s="115"/>
      <c r="F527" s="18">
        <f>20344.93+38004.89+31892.53</f>
        <v>90242.35</v>
      </c>
      <c r="G527" s="18">
        <f>17444.93+26336.88+15432.19</f>
        <v>59214</v>
      </c>
      <c r="H527" s="18">
        <f>14508.36+440+3811.03+2125.87+10123.76+2959.51</f>
        <v>33968.53</v>
      </c>
      <c r="I527" s="18">
        <f>759.31+1332.52+138.6+304.91</f>
        <v>2535.3399999999997</v>
      </c>
      <c r="J527" s="18">
        <f>322.58+550</f>
        <v>872.57999999999993</v>
      </c>
      <c r="K527" s="18"/>
      <c r="L527" s="88">
        <f>SUM(F527:K527)</f>
        <v>186832.8</v>
      </c>
      <c r="M527" s="8"/>
      <c r="N527" s="266"/>
    </row>
    <row r="528" spans="1:14" s="3" customFormat="1" ht="12.2" customHeight="1" thickBot="1" x14ac:dyDescent="0.2">
      <c r="A528" s="22" t="s">
        <v>635</v>
      </c>
      <c r="B528" s="118">
        <v>21</v>
      </c>
      <c r="C528" s="118">
        <v>7</v>
      </c>
      <c r="D528" s="2" t="s">
        <v>432</v>
      </c>
      <c r="E528" s="118"/>
      <c r="F528" s="18">
        <f>25893.56+48369.86+40590.5</f>
        <v>114853.92</v>
      </c>
      <c r="G528" s="18">
        <f>22202.64+33519.66+19640.97</f>
        <v>75363.27</v>
      </c>
      <c r="H528" s="18">
        <f>18465.19+560+4850.4+2705.65+12884.79+3766.65</f>
        <v>43232.68</v>
      </c>
      <c r="I528" s="18">
        <f>966.4+1695.93+176.4+388.06</f>
        <v>3226.79</v>
      </c>
      <c r="J528" s="18">
        <f>410.55+700</f>
        <v>1110.55</v>
      </c>
      <c r="K528" s="18"/>
      <c r="L528" s="88">
        <f>SUM(F528:K528)</f>
        <v>237787.21</v>
      </c>
      <c r="M528" s="8"/>
      <c r="N528" s="266"/>
    </row>
    <row r="529" spans="1:14" s="3" customFormat="1" ht="12.2" customHeight="1" thickTop="1" x14ac:dyDescent="0.15">
      <c r="A529" s="139" t="s">
        <v>65</v>
      </c>
      <c r="B529" s="107">
        <v>21</v>
      </c>
      <c r="C529" s="107">
        <v>8</v>
      </c>
      <c r="D529" s="158" t="s">
        <v>432</v>
      </c>
      <c r="E529" s="107"/>
      <c r="F529" s="89">
        <f>SUM(F526:F528)</f>
        <v>410192.55</v>
      </c>
      <c r="G529" s="89">
        <f t="shared" ref="G529:L529" si="37">SUM(G526:G528)</f>
        <v>269154.55</v>
      </c>
      <c r="H529" s="89">
        <f t="shared" si="37"/>
        <v>154402.44</v>
      </c>
      <c r="I529" s="89">
        <f t="shared" si="37"/>
        <v>11524.27</v>
      </c>
      <c r="J529" s="89">
        <f t="shared" si="37"/>
        <v>3966.26</v>
      </c>
      <c r="K529" s="89">
        <f t="shared" si="37"/>
        <v>0</v>
      </c>
      <c r="L529" s="89">
        <f t="shared" si="37"/>
        <v>849240.07000000007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96943.93</v>
      </c>
      <c r="G531" s="18">
        <v>53257.760000000002</v>
      </c>
      <c r="H531" s="18">
        <v>5635.04</v>
      </c>
      <c r="I531" s="18">
        <v>2363</v>
      </c>
      <c r="J531" s="18"/>
      <c r="K531" s="18">
        <v>224.5</v>
      </c>
      <c r="L531" s="88">
        <f>SUM(F531:K531)</f>
        <v>158424.23000000001</v>
      </c>
      <c r="M531" s="8"/>
      <c r="N531" s="266"/>
    </row>
    <row r="532" spans="1:14" s="3" customFormat="1" ht="12.2" customHeight="1" x14ac:dyDescent="0.15">
      <c r="A532" s="22" t="s">
        <v>634</v>
      </c>
      <c r="B532" s="105">
        <v>21</v>
      </c>
      <c r="C532" s="105">
        <v>10</v>
      </c>
      <c r="D532" s="2" t="s">
        <v>432</v>
      </c>
      <c r="E532" s="105"/>
      <c r="F532" s="18">
        <v>42655.33</v>
      </c>
      <c r="G532" s="18">
        <v>23433.41</v>
      </c>
      <c r="H532" s="18">
        <v>2479.42</v>
      </c>
      <c r="I532" s="18">
        <v>1039.72</v>
      </c>
      <c r="J532" s="18"/>
      <c r="K532" s="18">
        <v>98.78</v>
      </c>
      <c r="L532" s="88">
        <f>SUM(F532:K532)</f>
        <v>69706.66</v>
      </c>
      <c r="M532" s="8"/>
      <c r="N532" s="266"/>
    </row>
    <row r="533" spans="1:14" s="3" customFormat="1" ht="12.2" customHeight="1" thickBot="1" x14ac:dyDescent="0.2">
      <c r="A533" s="22" t="s">
        <v>635</v>
      </c>
      <c r="B533" s="105">
        <v>21</v>
      </c>
      <c r="C533" s="105">
        <v>11</v>
      </c>
      <c r="D533" s="2" t="s">
        <v>432</v>
      </c>
      <c r="E533" s="105"/>
      <c r="F533" s="18">
        <v>54288.6</v>
      </c>
      <c r="G533" s="18">
        <v>29824.34</v>
      </c>
      <c r="H533" s="18">
        <v>3155.62</v>
      </c>
      <c r="I533" s="18">
        <v>1323.28</v>
      </c>
      <c r="J533" s="18"/>
      <c r="K533" s="18">
        <v>125.72</v>
      </c>
      <c r="L533" s="88">
        <f>SUM(F533:K533)</f>
        <v>88717.56</v>
      </c>
      <c r="M533" s="8"/>
      <c r="N533" s="266"/>
    </row>
    <row r="534" spans="1:14" s="3" customFormat="1" ht="12.2" customHeight="1" thickTop="1" x14ac:dyDescent="0.15">
      <c r="A534" s="139" t="s">
        <v>67</v>
      </c>
      <c r="B534" s="107">
        <v>21</v>
      </c>
      <c r="C534" s="107">
        <v>12</v>
      </c>
      <c r="D534" s="158" t="s">
        <v>432</v>
      </c>
      <c r="E534" s="107"/>
      <c r="F534" s="89">
        <f>SUM(F531:F533)</f>
        <v>193887.86000000002</v>
      </c>
      <c r="G534" s="89">
        <f t="shared" ref="G534:L534" si="38">SUM(G531:G533)</f>
        <v>106515.51</v>
      </c>
      <c r="H534" s="89">
        <f t="shared" si="38"/>
        <v>11270.08</v>
      </c>
      <c r="I534" s="89">
        <f t="shared" si="38"/>
        <v>4726</v>
      </c>
      <c r="J534" s="89">
        <f t="shared" si="38"/>
        <v>0</v>
      </c>
      <c r="K534" s="89">
        <f t="shared" si="38"/>
        <v>449</v>
      </c>
      <c r="L534" s="89">
        <f t="shared" si="38"/>
        <v>316848.45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248.8</v>
      </c>
      <c r="I536" s="18"/>
      <c r="J536" s="18"/>
      <c r="K536" s="18"/>
      <c r="L536" s="88">
        <f>SUM(F536:K536)</f>
        <v>248.8</v>
      </c>
      <c r="M536" s="8"/>
      <c r="N536" s="266"/>
    </row>
    <row r="537" spans="1:14" s="3" customFormat="1" ht="12.2" customHeight="1" x14ac:dyDescent="0.15">
      <c r="A537" s="22" t="s">
        <v>634</v>
      </c>
      <c r="B537" s="105">
        <v>21</v>
      </c>
      <c r="C537" s="105">
        <v>14</v>
      </c>
      <c r="D537" s="2" t="s">
        <v>432</v>
      </c>
      <c r="E537" s="105"/>
      <c r="F537" s="18"/>
      <c r="G537" s="18"/>
      <c r="H537" s="18">
        <f>257.24+159.4+500+1489.68+2633.22</f>
        <v>5039.54</v>
      </c>
      <c r="I537" s="18"/>
      <c r="J537" s="18"/>
      <c r="K537" s="18"/>
      <c r="L537" s="88">
        <f>SUM(F537:K537)</f>
        <v>5039.54</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5288.34</v>
      </c>
      <c r="I539" s="89">
        <f t="shared" si="39"/>
        <v>0</v>
      </c>
      <c r="J539" s="89">
        <f t="shared" si="39"/>
        <v>0</v>
      </c>
      <c r="K539" s="89">
        <f t="shared" si="39"/>
        <v>0</v>
      </c>
      <c r="L539" s="89">
        <f t="shared" si="39"/>
        <v>5288.34</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76316.75</v>
      </c>
      <c r="I541" s="18"/>
      <c r="J541" s="18"/>
      <c r="K541" s="18"/>
      <c r="L541" s="88">
        <f>SUM(F541:K541)</f>
        <v>76316.75</v>
      </c>
      <c r="M541" s="8"/>
      <c r="N541" s="266"/>
    </row>
    <row r="542" spans="1:14" s="3" customFormat="1" ht="12.2" customHeight="1" x14ac:dyDescent="0.15">
      <c r="A542" s="22" t="s">
        <v>634</v>
      </c>
      <c r="B542" s="105">
        <v>21</v>
      </c>
      <c r="C542" s="105">
        <v>18</v>
      </c>
      <c r="D542" s="2" t="s">
        <v>432</v>
      </c>
      <c r="E542" s="105"/>
      <c r="F542" s="18"/>
      <c r="G542" s="18"/>
      <c r="H542" s="18">
        <v>96334.03</v>
      </c>
      <c r="I542" s="18"/>
      <c r="J542" s="18"/>
      <c r="K542" s="18"/>
      <c r="L542" s="88">
        <f>SUM(F542:K542)</f>
        <v>96334.03</v>
      </c>
      <c r="M542" s="8"/>
      <c r="N542" s="266"/>
    </row>
    <row r="543" spans="1:14" s="3" customFormat="1" ht="12.2" customHeight="1" thickBot="1" x14ac:dyDescent="0.2">
      <c r="A543" s="22" t="s">
        <v>635</v>
      </c>
      <c r="B543" s="105">
        <v>21</v>
      </c>
      <c r="C543" s="105">
        <v>19</v>
      </c>
      <c r="D543" s="2" t="s">
        <v>432</v>
      </c>
      <c r="E543" s="105"/>
      <c r="F543" s="18"/>
      <c r="G543" s="18"/>
      <c r="H543" s="18">
        <v>70010.720000000001</v>
      </c>
      <c r="I543" s="18"/>
      <c r="J543" s="18"/>
      <c r="K543" s="18"/>
      <c r="L543" s="88">
        <f>SUM(F543:K543)</f>
        <v>70010.720000000001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242661.5</v>
      </c>
      <c r="I544" s="193">
        <f t="shared" si="40"/>
        <v>0</v>
      </c>
      <c r="J544" s="193">
        <f t="shared" si="40"/>
        <v>0</v>
      </c>
      <c r="K544" s="193">
        <f t="shared" si="40"/>
        <v>0</v>
      </c>
      <c r="L544" s="193">
        <f t="shared" si="40"/>
        <v>242661.5</v>
      </c>
      <c r="M544" s="8"/>
      <c r="N544" s="266"/>
    </row>
    <row r="545" spans="1:14" s="3" customFormat="1" ht="12.2" customHeight="1" thickTop="1" x14ac:dyDescent="0.15">
      <c r="A545" s="98" t="s">
        <v>72</v>
      </c>
      <c r="B545" s="107">
        <v>21</v>
      </c>
      <c r="C545" s="107">
        <v>21</v>
      </c>
      <c r="D545" s="158" t="s">
        <v>432</v>
      </c>
      <c r="E545" s="107"/>
      <c r="F545" s="89">
        <f>F524+F529+F534+F539+F544</f>
        <v>2075078.2100000002</v>
      </c>
      <c r="G545" s="89">
        <f t="shared" ref="G545:L545" si="41">G524+G529+G534+G539+G544</f>
        <v>1168633.56</v>
      </c>
      <c r="H545" s="89">
        <f t="shared" si="41"/>
        <v>981063.65999999992</v>
      </c>
      <c r="I545" s="89">
        <f t="shared" si="41"/>
        <v>36169.06</v>
      </c>
      <c r="J545" s="89">
        <f t="shared" si="41"/>
        <v>6963.7800000000007</v>
      </c>
      <c r="K545" s="89">
        <f t="shared" si="41"/>
        <v>449</v>
      </c>
      <c r="L545" s="89">
        <f t="shared" si="41"/>
        <v>4268357.2699999996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1598272.97</v>
      </c>
      <c r="G549" s="87">
        <f>L526</f>
        <v>424620.06000000006</v>
      </c>
      <c r="H549" s="87">
        <f>L531</f>
        <v>158424.23000000001</v>
      </c>
      <c r="I549" s="87">
        <f>L536</f>
        <v>248.8</v>
      </c>
      <c r="J549" s="87">
        <f>L541</f>
        <v>76316.75</v>
      </c>
      <c r="K549" s="87">
        <f>SUM(F549:J549)</f>
        <v>2257882.81</v>
      </c>
      <c r="L549" s="24" t="s">
        <v>288</v>
      </c>
      <c r="M549" s="8"/>
      <c r="N549" s="266"/>
    </row>
    <row r="550" spans="1:14" s="3" customFormat="1" ht="12.2" customHeight="1" x14ac:dyDescent="0.15">
      <c r="A550" s="22" t="s">
        <v>634</v>
      </c>
      <c r="B550" s="75">
        <v>21</v>
      </c>
      <c r="C550" s="75">
        <v>23</v>
      </c>
      <c r="D550" s="2" t="s">
        <v>432</v>
      </c>
      <c r="E550" s="75"/>
      <c r="F550" s="87">
        <f>L522</f>
        <v>558286.08000000007</v>
      </c>
      <c r="G550" s="87">
        <f>L527</f>
        <v>186832.8</v>
      </c>
      <c r="H550" s="87">
        <f>L532</f>
        <v>69706.66</v>
      </c>
      <c r="I550" s="87">
        <f>L537</f>
        <v>5039.54</v>
      </c>
      <c r="J550" s="87">
        <f>L542</f>
        <v>96334.03</v>
      </c>
      <c r="K550" s="87">
        <f>SUM(F550:J550)</f>
        <v>916199.11000000022</v>
      </c>
      <c r="L550" s="24" t="s">
        <v>288</v>
      </c>
      <c r="M550" s="8"/>
      <c r="N550" s="266"/>
    </row>
    <row r="551" spans="1:14" s="3" customFormat="1" ht="12.2" customHeight="1" thickBot="1" x14ac:dyDescent="0.2">
      <c r="A551" s="22" t="s">
        <v>635</v>
      </c>
      <c r="B551" s="75">
        <v>21</v>
      </c>
      <c r="C551" s="75">
        <v>24</v>
      </c>
      <c r="D551" s="2" t="s">
        <v>432</v>
      </c>
      <c r="E551" s="75"/>
      <c r="F551" s="87">
        <f>L523</f>
        <v>697759.85999999987</v>
      </c>
      <c r="G551" s="87">
        <f>L528</f>
        <v>237787.21</v>
      </c>
      <c r="H551" s="87">
        <f>L533</f>
        <v>88717.56</v>
      </c>
      <c r="I551" s="87">
        <f>L538</f>
        <v>0</v>
      </c>
      <c r="J551" s="87">
        <f>L543</f>
        <v>70010.720000000001</v>
      </c>
      <c r="K551" s="87">
        <f>SUM(F551:J551)</f>
        <v>1094275.3499999999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2854318.9099999997</v>
      </c>
      <c r="G552" s="89">
        <f t="shared" si="42"/>
        <v>849240.07000000007</v>
      </c>
      <c r="H552" s="89">
        <f t="shared" si="42"/>
        <v>316848.45</v>
      </c>
      <c r="I552" s="89">
        <f t="shared" si="42"/>
        <v>5288.34</v>
      </c>
      <c r="J552" s="89">
        <f t="shared" si="42"/>
        <v>242661.5</v>
      </c>
      <c r="K552" s="89">
        <f t="shared" si="42"/>
        <v>4268357.2700000005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23896</v>
      </c>
      <c r="G562" s="18">
        <v>16521.46</v>
      </c>
      <c r="H562" s="18"/>
      <c r="I562" s="18">
        <v>224.99</v>
      </c>
      <c r="J562" s="18"/>
      <c r="K562" s="18"/>
      <c r="L562" s="88">
        <f>SUM(F562:K562)</f>
        <v>40642.449999999997</v>
      </c>
      <c r="M562" s="8"/>
      <c r="N562" s="266"/>
    </row>
    <row r="563" spans="1:14" s="3" customFormat="1" ht="12.2" customHeight="1" x14ac:dyDescent="0.15">
      <c r="A563" s="22" t="s">
        <v>634</v>
      </c>
      <c r="B563" s="105">
        <v>22</v>
      </c>
      <c r="C563" s="115">
        <v>6</v>
      </c>
      <c r="D563" s="2" t="s">
        <v>432</v>
      </c>
      <c r="E563" s="115"/>
      <c r="F563" s="18">
        <v>10514.24</v>
      </c>
      <c r="G563" s="18">
        <v>7269.44</v>
      </c>
      <c r="H563" s="18"/>
      <c r="I563" s="18">
        <v>99</v>
      </c>
      <c r="J563" s="18"/>
      <c r="K563" s="18"/>
      <c r="L563" s="88">
        <f>SUM(F563:K563)</f>
        <v>17882.68</v>
      </c>
      <c r="M563" s="8"/>
      <c r="N563" s="266"/>
    </row>
    <row r="564" spans="1:14" s="3" customFormat="1" ht="12.2" customHeight="1" thickBot="1" x14ac:dyDescent="0.2">
      <c r="A564" s="22" t="s">
        <v>635</v>
      </c>
      <c r="B564" s="105">
        <v>22</v>
      </c>
      <c r="C564" s="118">
        <v>7</v>
      </c>
      <c r="D564" s="2" t="s">
        <v>432</v>
      </c>
      <c r="E564" s="118"/>
      <c r="F564" s="18">
        <v>13381.76</v>
      </c>
      <c r="G564" s="18">
        <v>9252.02</v>
      </c>
      <c r="H564" s="18"/>
      <c r="I564" s="18">
        <v>125.99</v>
      </c>
      <c r="J564" s="18"/>
      <c r="K564" s="18"/>
      <c r="L564" s="88">
        <f>SUM(F564:K564)</f>
        <v>22759.77</v>
      </c>
      <c r="M564" s="8"/>
      <c r="N564" s="266"/>
    </row>
    <row r="565" spans="1:14" s="3" customFormat="1" ht="12.2" customHeight="1" thickTop="1" x14ac:dyDescent="0.15">
      <c r="A565" s="139" t="s">
        <v>65</v>
      </c>
      <c r="B565" s="107">
        <v>22</v>
      </c>
      <c r="C565" s="107">
        <v>8</v>
      </c>
      <c r="D565" s="196" t="s">
        <v>432</v>
      </c>
      <c r="E565" s="107"/>
      <c r="F565" s="89">
        <f t="shared" ref="F565:L565" si="44">SUM(F562:F564)</f>
        <v>47792</v>
      </c>
      <c r="G565" s="89">
        <f t="shared" si="44"/>
        <v>33042.92</v>
      </c>
      <c r="H565" s="89">
        <f t="shared" si="44"/>
        <v>0</v>
      </c>
      <c r="I565" s="89">
        <f t="shared" si="44"/>
        <v>449.98</v>
      </c>
      <c r="J565" s="89">
        <f t="shared" si="44"/>
        <v>0</v>
      </c>
      <c r="K565" s="89">
        <f t="shared" si="44"/>
        <v>0</v>
      </c>
      <c r="L565" s="89">
        <f t="shared" si="44"/>
        <v>81284.899999999994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47792</v>
      </c>
      <c r="G571" s="89">
        <f t="shared" ref="G571:L571" si="46">G560+G565+G570</f>
        <v>33042.92</v>
      </c>
      <c r="H571" s="89">
        <f t="shared" si="46"/>
        <v>0</v>
      </c>
      <c r="I571" s="89">
        <f t="shared" si="46"/>
        <v>449.98</v>
      </c>
      <c r="J571" s="89">
        <f t="shared" si="46"/>
        <v>0</v>
      </c>
      <c r="K571" s="89">
        <f t="shared" si="46"/>
        <v>0</v>
      </c>
      <c r="L571" s="89">
        <f t="shared" si="46"/>
        <v>81284.899999999994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61750</v>
      </c>
      <c r="I579" s="87">
        <f t="shared" si="47"/>
        <v>61750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217700.27</v>
      </c>
      <c r="G582" s="18"/>
      <c r="H582" s="18">
        <v>87696.54</v>
      </c>
      <c r="I582" s="87">
        <f t="shared" si="47"/>
        <v>305396.81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127746</v>
      </c>
      <c r="I584" s="87">
        <f t="shared" si="47"/>
        <v>127746</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149361.5</v>
      </c>
      <c r="I591" s="18">
        <v>65719.06</v>
      </c>
      <c r="J591" s="18">
        <v>83642.44</v>
      </c>
      <c r="K591" s="104">
        <f t="shared" ref="K591:K597" si="48">SUM(H591:J591)</f>
        <v>298723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76316.75</v>
      </c>
      <c r="I592" s="18">
        <v>96334.03</v>
      </c>
      <c r="J592" s="18">
        <v>70010.720000000001</v>
      </c>
      <c r="K592" s="104">
        <f t="shared" si="48"/>
        <v>242661.5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56112</v>
      </c>
      <c r="K593" s="104">
        <f t="shared" si="48"/>
        <v>56112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8797.91</v>
      </c>
      <c r="J594" s="18">
        <v>29260.12</v>
      </c>
      <c r="K594" s="104">
        <f t="shared" si="48"/>
        <v>38058.03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v>2704.55</v>
      </c>
      <c r="J595" s="18">
        <v>2198.7800000000002</v>
      </c>
      <c r="K595" s="104">
        <f t="shared" si="48"/>
        <v>4903.33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225678.25</v>
      </c>
      <c r="I598" s="108">
        <f>SUM(I591:I597)</f>
        <v>173555.55</v>
      </c>
      <c r="J598" s="108">
        <f>SUM(J591:J597)</f>
        <v>241224.06</v>
      </c>
      <c r="K598" s="108">
        <f>SUM(K591:K597)</f>
        <v>640457.86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136419.02+10800.8</f>
        <v>147219.81999999998</v>
      </c>
      <c r="I604" s="18">
        <f>69552.66+3922.11</f>
        <v>73474.77</v>
      </c>
      <c r="J604" s="18">
        <f>103070.59+4991.78</f>
        <v>108062.37</v>
      </c>
      <c r="K604" s="104">
        <f>SUM(H604:J604)</f>
        <v>328756.95999999996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147219.81999999998</v>
      </c>
      <c r="I605" s="108">
        <f>SUM(I602:I604)</f>
        <v>73474.77</v>
      </c>
      <c r="J605" s="108">
        <f>SUM(J602:J604)</f>
        <v>108062.37</v>
      </c>
      <c r="K605" s="108">
        <f>SUM(K602:K604)</f>
        <v>328756.95999999996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48658.28+1697.5</f>
        <v>50355.78</v>
      </c>
      <c r="G611" s="18">
        <f>3722.36+294.69+5544.75+129.86</f>
        <v>9691.66</v>
      </c>
      <c r="H611" s="18"/>
      <c r="I611" s="18">
        <v>62.16</v>
      </c>
      <c r="J611" s="18"/>
      <c r="K611" s="18"/>
      <c r="L611" s="88">
        <f>SUM(F611:K611)</f>
        <v>60109.600000000006</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4357.5</v>
      </c>
      <c r="G613" s="18">
        <f>333.35+756.47</f>
        <v>1089.8200000000002</v>
      </c>
      <c r="H613" s="18"/>
      <c r="I613" s="18"/>
      <c r="J613" s="18"/>
      <c r="K613" s="18"/>
      <c r="L613" s="88">
        <f>SUM(F613:K613)</f>
        <v>5447.32</v>
      </c>
      <c r="M613" s="8"/>
      <c r="N613" s="266"/>
    </row>
    <row r="614" spans="1:14" s="3" customFormat="1" ht="12.2" customHeight="1" thickTop="1" x14ac:dyDescent="0.15">
      <c r="A614" s="98" t="s">
        <v>340</v>
      </c>
      <c r="B614" s="107">
        <v>23</v>
      </c>
      <c r="C614" s="107">
        <v>16</v>
      </c>
      <c r="D614" s="39" t="s">
        <v>432</v>
      </c>
      <c r="E614" s="107"/>
      <c r="F614" s="108">
        <f t="shared" ref="F614:L614" si="49">SUM(F611:F613)</f>
        <v>54713.279999999999</v>
      </c>
      <c r="G614" s="108">
        <f t="shared" si="49"/>
        <v>10781.48</v>
      </c>
      <c r="H614" s="108">
        <f t="shared" si="49"/>
        <v>0</v>
      </c>
      <c r="I614" s="108">
        <f t="shared" si="49"/>
        <v>62.16</v>
      </c>
      <c r="J614" s="108">
        <f t="shared" si="49"/>
        <v>0</v>
      </c>
      <c r="K614" s="108">
        <f t="shared" si="49"/>
        <v>0</v>
      </c>
      <c r="L614" s="89">
        <f t="shared" si="49"/>
        <v>65556.920000000013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1655435.13</v>
      </c>
      <c r="H617" s="109">
        <f>SUM(F52)</f>
        <v>1655435.13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144284.79000000004</v>
      </c>
      <c r="H618" s="109">
        <f>SUM(G52)</f>
        <v>144284.79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182715.21</v>
      </c>
      <c r="H619" s="109">
        <f>SUM(H52)</f>
        <v>182715.21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352320.89</v>
      </c>
      <c r="H621" s="109">
        <f>SUM(J52)</f>
        <v>352320.89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922791.95999999985</v>
      </c>
      <c r="H622" s="109">
        <f>F476</f>
        <v>922791.96000000089</v>
      </c>
      <c r="I622" s="121" t="s">
        <v>101</v>
      </c>
      <c r="J622" s="109">
        <f t="shared" ref="J622:J655" si="50">G622-H622</f>
        <v>-1.0477378964424133E-9</v>
      </c>
      <c r="K622" s="109"/>
      <c r="L622" s="109"/>
      <c r="M622" s="8"/>
    </row>
    <row r="623" spans="1:14" s="3" customFormat="1" ht="12.2" customHeight="1" x14ac:dyDescent="0.15">
      <c r="A623" s="97"/>
      <c r="B623" s="105"/>
      <c r="C623" s="119"/>
      <c r="D623" s="119"/>
      <c r="E623" s="119"/>
      <c r="F623" s="119" t="s">
        <v>866</v>
      </c>
      <c r="G623" s="109">
        <f>G51</f>
        <v>59942.51</v>
      </c>
      <c r="H623" s="109">
        <f>G476</f>
        <v>59942.510000000068</v>
      </c>
      <c r="I623" s="121" t="s">
        <v>102</v>
      </c>
      <c r="J623" s="109">
        <f t="shared" si="50"/>
        <v>-6.5483618527650833E-11</v>
      </c>
      <c r="K623" s="109"/>
      <c r="L623" s="109"/>
      <c r="M623" s="8"/>
    </row>
    <row r="624" spans="1:14" s="3" customFormat="1" ht="12.2" customHeight="1" x14ac:dyDescent="0.15">
      <c r="A624" s="97"/>
      <c r="B624" s="105"/>
      <c r="C624" s="105"/>
      <c r="D624" s="105"/>
      <c r="E624" s="105"/>
      <c r="F624" s="120" t="s">
        <v>867</v>
      </c>
      <c r="G624" s="109">
        <f>H51</f>
        <v>17184.689999999999</v>
      </c>
      <c r="H624" s="109">
        <f>H476</f>
        <v>17184.689999999944</v>
      </c>
      <c r="I624" s="121" t="s">
        <v>103</v>
      </c>
      <c r="J624" s="109">
        <f t="shared" si="50"/>
        <v>5.4569682106375694E-11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352320.89</v>
      </c>
      <c r="H626" s="109">
        <f>J476</f>
        <v>352320.89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18295194.399999999</v>
      </c>
      <c r="H627" s="104">
        <f>SUM(F468)</f>
        <v>18295194.399999999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362424.71</v>
      </c>
      <c r="H628" s="104">
        <f>SUM(G468)</f>
        <v>362424.71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572014.59000000008</v>
      </c>
      <c r="H629" s="104">
        <f>SUM(H468)</f>
        <v>572014.59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264523.18</v>
      </c>
      <c r="H630" s="104">
        <f>SUM(I468)</f>
        <v>264523.18</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254366.53</v>
      </c>
      <c r="H631" s="104">
        <f>SUM(J468)</f>
        <v>254366.53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18744233.620000001</v>
      </c>
      <c r="H632" s="104">
        <f>SUM(F472)</f>
        <v>18744233.619999997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554829.9</v>
      </c>
      <c r="H633" s="104">
        <f>SUM(H472)</f>
        <v>554829.9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137931.53999999998</v>
      </c>
      <c r="H634" s="104">
        <f>I369</f>
        <v>137931.54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366778.42000000004</v>
      </c>
      <c r="H635" s="104">
        <f>SUM(G472)</f>
        <v>366778.42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1564523.18</v>
      </c>
      <c r="H636" s="104">
        <f>SUM(I472)</f>
        <v>1564523.18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254366.53000000003</v>
      </c>
      <c r="H637" s="164">
        <f>SUM(J468)</f>
        <v>254366.53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200000</v>
      </c>
      <c r="H638" s="164">
        <f>SUM(J472)</f>
        <v>200000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352320.89</v>
      </c>
      <c r="H639" s="104">
        <f>SUM(F461)</f>
        <v>352320.89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352320.89</v>
      </c>
      <c r="H642" s="104">
        <f>SUM(I461)</f>
        <v>352320.89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4366.53</v>
      </c>
      <c r="H644" s="104">
        <f>H408</f>
        <v>4366.53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250000</v>
      </c>
      <c r="H645" s="104">
        <f>G408</f>
        <v>250000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254366.53</v>
      </c>
      <c r="H646" s="104">
        <f>L408</f>
        <v>254366.53000000003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640457.86</v>
      </c>
      <c r="H647" s="104">
        <f>L208+L226+L244</f>
        <v>640457.86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328756.95999999996</v>
      </c>
      <c r="H648" s="104">
        <f>(J257+J338)-(J255+J336)</f>
        <v>328756.96000000002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225678.25</v>
      </c>
      <c r="H649" s="104">
        <f>H598</f>
        <v>225678.25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173555.55</v>
      </c>
      <c r="H650" s="104">
        <f>I598</f>
        <v>173555.55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241224.06</v>
      </c>
      <c r="H651" s="104">
        <f>J598</f>
        <v>241224.06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3632.95</v>
      </c>
      <c r="H652" s="104">
        <f>K263+K345</f>
        <v>3632.95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264523.18</v>
      </c>
      <c r="H654" s="104">
        <f>K265+K346</f>
        <v>264523.18</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250000</v>
      </c>
      <c r="H655" s="104">
        <f>K266+K347</f>
        <v>250000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8275277.3299999991</v>
      </c>
      <c r="G660" s="19">
        <f>(L229+L309+L359)</f>
        <v>4065978.28</v>
      </c>
      <c r="H660" s="19">
        <f>(L247+L328+L360)</f>
        <v>5886111.4700000016</v>
      </c>
      <c r="I660" s="19">
        <f>SUM(F660:H660)</f>
        <v>18227367.080000002</v>
      </c>
      <c r="J660" s="13"/>
      <c r="K660" s="13"/>
      <c r="L660" s="13"/>
      <c r="M660" s="9"/>
    </row>
    <row r="661" spans="1:13" s="3" customFormat="1" ht="12.2" customHeight="1" x14ac:dyDescent="0.2">
      <c r="A661" s="1" t="s">
        <v>127</v>
      </c>
      <c r="F661" s="19">
        <f>(L358/IF(SUM(L358:L360)=0,1,SUM(L358:L360))*(SUM(G97:G110)))</f>
        <v>100741.39689738181</v>
      </c>
      <c r="G661" s="19">
        <f>(L359/IF(SUM(L358:L360)=0,1,SUM(L358:L360))*(SUM(G97:G110)))</f>
        <v>63768.665904762864</v>
      </c>
      <c r="H661" s="19">
        <f>(L360/IF(SUM(L358:L360)=0,1,SUM(L358:L360))*(SUM(G97:G110)))</f>
        <v>81160.117197855303</v>
      </c>
      <c r="I661" s="19">
        <f>SUM(F661:H661)</f>
        <v>245670.18</v>
      </c>
      <c r="J661"/>
      <c r="K661" s="13"/>
      <c r="L661" s="13"/>
      <c r="M661" s="9"/>
    </row>
    <row r="662" spans="1:13" s="3" customFormat="1" ht="12.2" customHeight="1" x14ac:dyDescent="0.2">
      <c r="A662" s="1" t="s">
        <v>128</v>
      </c>
      <c r="F662" s="19">
        <f>(L208+L287)-(J208+J287)</f>
        <v>225678.25</v>
      </c>
      <c r="G662" s="19">
        <f>(L226+L306)-(J226+J306)</f>
        <v>173555.55</v>
      </c>
      <c r="H662" s="19">
        <f>(L244+L325)-(J244+J325)</f>
        <v>241224.06</v>
      </c>
      <c r="I662" s="19">
        <f>SUM(F662:H662)</f>
        <v>640457.86</v>
      </c>
      <c r="J662"/>
      <c r="K662" s="13"/>
      <c r="L662" s="13"/>
      <c r="M662" s="8"/>
    </row>
    <row r="663" spans="1:13" s="3" customFormat="1" ht="12.2" customHeight="1" x14ac:dyDescent="0.15">
      <c r="A663" s="198" t="s">
        <v>129</v>
      </c>
      <c r="B663" s="169"/>
      <c r="C663" s="169"/>
      <c r="D663" s="169"/>
      <c r="E663" s="169"/>
      <c r="F663" s="199">
        <f>SUM(F575:F587)+SUM(H602:H604)+SUM(L611)</f>
        <v>425029.68999999994</v>
      </c>
      <c r="G663" s="199">
        <f>SUM(G575:G587)+SUM(I602:I604)+L612</f>
        <v>73474.77</v>
      </c>
      <c r="H663" s="199">
        <f>SUM(H575:H587)+SUM(J602:J604)+L613</f>
        <v>390702.23</v>
      </c>
      <c r="I663" s="19">
        <f>SUM(F663:H663)</f>
        <v>889206.69</v>
      </c>
      <c r="J663" s="13"/>
      <c r="K663" s="13"/>
      <c r="L663" s="13"/>
      <c r="M663" s="9"/>
    </row>
    <row r="664" spans="1:13" s="3" customFormat="1" ht="12.2" customHeight="1" x14ac:dyDescent="0.15">
      <c r="A664" s="1" t="s">
        <v>130</v>
      </c>
      <c r="F664" s="19">
        <f>F660-SUM(F661:F663)</f>
        <v>7523827.9931026176</v>
      </c>
      <c r="G664" s="19">
        <f>G660-SUM(G661:G663)</f>
        <v>3755179.2940952368</v>
      </c>
      <c r="H664" s="19">
        <f>H660-SUM(H661:H663)</f>
        <v>5173025.0628021462</v>
      </c>
      <c r="I664" s="19">
        <f>I660-SUM(I661:I663)</f>
        <v>16452032.350000001</v>
      </c>
      <c r="J664" s="13"/>
      <c r="K664" s="13"/>
      <c r="L664" s="13"/>
      <c r="M664" s="9"/>
    </row>
    <row r="665" spans="1:13" s="3" customFormat="1" ht="12.2" customHeight="1" x14ac:dyDescent="0.2">
      <c r="A665" s="1" t="s">
        <v>131</v>
      </c>
      <c r="F665" s="246">
        <v>459.84</v>
      </c>
      <c r="G665" s="247">
        <v>211.3</v>
      </c>
      <c r="H665" s="247">
        <v>268.70999999999998</v>
      </c>
      <c r="I665" s="19">
        <f>SUM(F665:H665)</f>
        <v>939.84999999999991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16361.84</v>
      </c>
      <c r="G667" s="19">
        <f>ROUND(G664/G665,2)</f>
        <v>17771.79</v>
      </c>
      <c r="H667" s="19">
        <f>ROUND(H664/H665,2)</f>
        <v>19251.330000000002</v>
      </c>
      <c r="I667" s="19">
        <f>ROUND(I664/I665,2)</f>
        <v>17504.96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-18.22</v>
      </c>
      <c r="I670" s="19">
        <f>SUM(F670:H670)</f>
        <v>-18.22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16361.84</v>
      </c>
      <c r="G672" s="19">
        <f>ROUND((G664+G669)/(G665+G670),2)</f>
        <v>17771.79</v>
      </c>
      <c r="H672" s="19">
        <f>ROUND((H664+H669)/(H665+H670),2)</f>
        <v>20651.62</v>
      </c>
      <c r="I672" s="19">
        <f>ROUND((I664+I669)/(I665+I670),2)</f>
        <v>17851.02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Epping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4327303.79</v>
      </c>
      <c r="C9" s="229">
        <f>'DOE25'!G197+'DOE25'!G215+'DOE25'!G233+'DOE25'!G276+'DOE25'!G295+'DOE25'!G314</f>
        <v>2422873.56</v>
      </c>
    </row>
    <row r="10" spans="1:3" x14ac:dyDescent="0.2">
      <c r="A10" t="s">
        <v>775</v>
      </c>
      <c r="B10" s="240">
        <f>75000+1357093.54+263316.13+917201.58+1347133.39+7985.12+132032.14+1500+10000+7168.76+3626.88+210+210+1500</f>
        <v>4123977.5399999996</v>
      </c>
      <c r="C10" s="240">
        <f>9157.32+388742.21+109210.06+297763.22+411611.97+285.48+16920.29+2818.64+13962.58+19038.63+13057.06+247034.96+47098.56+165058.52+246370.91+13320.03+15064.43+5376.96+18149.5+65377+315369.54-13902.38+371.01</f>
        <v>2407256.5</v>
      </c>
    </row>
    <row r="11" spans="1:3" x14ac:dyDescent="0.2">
      <c r="A11" t="s">
        <v>776</v>
      </c>
      <c r="B11" s="240">
        <f>82628.48+24761.79</f>
        <v>107390.26999999999</v>
      </c>
      <c r="C11" s="240">
        <f>8215.36+62.59</f>
        <v>8277.9500000000007</v>
      </c>
    </row>
    <row r="12" spans="1:3" x14ac:dyDescent="0.2">
      <c r="A12" t="s">
        <v>777</v>
      </c>
      <c r="B12" s="240">
        <f>49044.77+26991.28+21032.5-1132.57</f>
        <v>95935.979999999981</v>
      </c>
      <c r="C12" s="240">
        <v>7339.11</v>
      </c>
    </row>
    <row r="13" spans="1:3" x14ac:dyDescent="0.2">
      <c r="A13" t="str">
        <f>IF(B9=B13,IF(C9=C13,"Check Total OK","Check Total Error"),"Check Total Error")</f>
        <v>Check Total OK</v>
      </c>
      <c r="B13" s="231">
        <f>SUM(B10:B12)</f>
        <v>4327303.7899999991</v>
      </c>
      <c r="C13" s="231">
        <f>SUM(C10:C12)</f>
        <v>2422873.56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1621948.4</v>
      </c>
      <c r="C18" s="229">
        <f>'DOE25'!G198+'DOE25'!G216+'DOE25'!G234+'DOE25'!G277+'DOE25'!G296+'DOE25'!G315</f>
        <v>833222.6399999999</v>
      </c>
    </row>
    <row r="19" spans="1:3" x14ac:dyDescent="0.2">
      <c r="A19" t="s">
        <v>775</v>
      </c>
      <c r="B19" s="240">
        <f>325679+98983.74+165202.82+203061+3626.88+6740.47+32286.5+51174+9180.83</f>
        <v>895935.24</v>
      </c>
      <c r="C19" s="240">
        <f>225269.63+82726.07+107879.25+108882.64+5273.17+2496.98+2414.2+3329.63+1318.11+56524.44+18876.54+35361.22+35814.9+68539.05+20399.87+699.57+3257.58+8685.9-10442.27</f>
        <v>777306.47999999986</v>
      </c>
    </row>
    <row r="20" spans="1:3" x14ac:dyDescent="0.2">
      <c r="A20" t="s">
        <v>776</v>
      </c>
      <c r="B20" s="240">
        <f>279346.6+69059.63+161724.44+94547.29</f>
        <v>604677.96</v>
      </c>
      <c r="C20" s="240">
        <f>46257.87</f>
        <v>46257.87</v>
      </c>
    </row>
    <row r="21" spans="1:3" x14ac:dyDescent="0.2">
      <c r="A21" t="s">
        <v>777</v>
      </c>
      <c r="B21" s="240">
        <f>48658.28+24735+47792+149.92</f>
        <v>121335.2</v>
      </c>
      <c r="C21" s="240">
        <v>9658.2900000000009</v>
      </c>
    </row>
    <row r="22" spans="1:3" x14ac:dyDescent="0.2">
      <c r="A22" t="str">
        <f>IF(B18=B22,IF(C18=C22,"Check Total OK","Check Total Error"),"Check Total Error")</f>
        <v>Check Total OK</v>
      </c>
      <c r="B22" s="231">
        <f>SUM(B19:B21)</f>
        <v>1621948.4</v>
      </c>
      <c r="C22" s="231">
        <f>SUM(C19:C21)</f>
        <v>833222.6399999999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237741.52000000002</v>
      </c>
      <c r="C36" s="235">
        <f>'DOE25'!G200+'DOE25'!G218+'DOE25'!G236+'DOE25'!G279+'DOE25'!G298+'DOE25'!G317</f>
        <v>36226.86</v>
      </c>
    </row>
    <row r="37" spans="1:3" x14ac:dyDescent="0.2">
      <c r="A37" t="s">
        <v>775</v>
      </c>
      <c r="B37" s="240">
        <f>157770.13+19761.39+405</f>
        <v>177936.52000000002</v>
      </c>
      <c r="C37" s="240">
        <f>13612.15+468.84+69.39+1930.02+884.87+9876.88+5269.61+3430.58-5281.66</f>
        <v>30260.680000000004</v>
      </c>
    </row>
    <row r="38" spans="1:3" x14ac:dyDescent="0.2">
      <c r="A38" t="s">
        <v>776</v>
      </c>
      <c r="B38" s="240">
        <v>11939.5</v>
      </c>
      <c r="C38" s="240">
        <f>913.38+756.82+284.51+338.39+11.37</f>
        <v>2304.4699999999998</v>
      </c>
    </row>
    <row r="39" spans="1:3" x14ac:dyDescent="0.2">
      <c r="A39" t="s">
        <v>777</v>
      </c>
      <c r="B39" s="240">
        <v>47865.5</v>
      </c>
      <c r="C39" s="240">
        <v>3661.71</v>
      </c>
    </row>
    <row r="40" spans="1:3" x14ac:dyDescent="0.2">
      <c r="A40" t="str">
        <f>IF(B36=B40,IF(C36=C40,"Check Total OK","Check Total Error"),"Check Total Error")</f>
        <v>Check Total OK</v>
      </c>
      <c r="B40" s="231">
        <f>SUM(B37:B39)</f>
        <v>237741.52000000002</v>
      </c>
      <c r="C40" s="231">
        <f>SUM(C37:C39)</f>
        <v>36226.860000000008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20" sqref="M2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Epping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10271149.689999999</v>
      </c>
      <c r="D5" s="20">
        <f>SUM('DOE25'!L197:L200)+SUM('DOE25'!L215:L218)+SUM('DOE25'!L233:L236)-F5-G5-H5</f>
        <v>10214397.889999999</v>
      </c>
      <c r="E5" s="243"/>
      <c r="F5" s="244"/>
      <c r="G5" s="53">
        <f>SUM('DOE25'!J197:J200)+SUM('DOE25'!J215:J218)+SUM('DOE25'!J233:J236)</f>
        <v>45869.919999999998</v>
      </c>
      <c r="H5" s="53">
        <f>SUM('DOE25'!K197:K200)+SUM('DOE25'!K215:K218)+SUM('DOE25'!K233:K236)</f>
        <v>10881.88</v>
      </c>
      <c r="I5" s="256"/>
    </row>
    <row r="6" spans="1:9" x14ac:dyDescent="0.2">
      <c r="A6" s="32">
        <v>2100</v>
      </c>
      <c r="B6" t="s">
        <v>796</v>
      </c>
      <c r="C6" s="276">
        <f t="shared" si="0"/>
        <v>1579085.1</v>
      </c>
      <c r="D6" s="20">
        <f>'DOE25'!L202+'DOE25'!L220+'DOE25'!L238-F6-G6-H6</f>
        <v>1523688.8000000003</v>
      </c>
      <c r="E6" s="243"/>
      <c r="F6" s="244">
        <v>45224.66</v>
      </c>
      <c r="G6" s="53">
        <f>'DOE25'!J202+'DOE25'!J220+'DOE25'!J238</f>
        <v>10042.64</v>
      </c>
      <c r="H6" s="53">
        <f>'DOE25'!K202+'DOE25'!K220+'DOE25'!K238</f>
        <v>129</v>
      </c>
      <c r="I6" s="256"/>
    </row>
    <row r="7" spans="1:9" x14ac:dyDescent="0.2">
      <c r="A7" s="32">
        <v>2200</v>
      </c>
      <c r="B7" t="s">
        <v>821</v>
      </c>
      <c r="C7" s="276">
        <f t="shared" si="0"/>
        <v>1071668.6499999999</v>
      </c>
      <c r="D7" s="20">
        <f>'DOE25'!L203+'DOE25'!L221+'DOE25'!L239-F7-G7-H7</f>
        <v>834328.73999999987</v>
      </c>
      <c r="E7" s="243"/>
      <c r="F7" s="244"/>
      <c r="G7" s="53">
        <f>'DOE25'!J203+'DOE25'!J221+'DOE25'!J239</f>
        <v>237064.91000000003</v>
      </c>
      <c r="H7" s="53">
        <f>'DOE25'!K203+'DOE25'!K221+'DOE25'!K239</f>
        <v>275</v>
      </c>
      <c r="I7" s="256"/>
    </row>
    <row r="8" spans="1:9" x14ac:dyDescent="0.2">
      <c r="A8" s="32">
        <v>2300</v>
      </c>
      <c r="B8" t="s">
        <v>797</v>
      </c>
      <c r="C8" s="276">
        <f t="shared" si="0"/>
        <v>612947.89000000013</v>
      </c>
      <c r="D8" s="243"/>
      <c r="E8" s="20">
        <f>'DOE25'!L204+'DOE25'!L222+'DOE25'!L240-F8-G8-H8-D9-D11</f>
        <v>604349.12000000011</v>
      </c>
      <c r="F8" s="244"/>
      <c r="G8" s="53">
        <f>'DOE25'!J204+'DOE25'!J222+'DOE25'!J240</f>
        <v>0</v>
      </c>
      <c r="H8" s="53">
        <f>'DOE25'!K204+'DOE25'!K222+'DOE25'!K240</f>
        <v>8598.77</v>
      </c>
      <c r="I8" s="256"/>
    </row>
    <row r="9" spans="1:9" ht="14.25" x14ac:dyDescent="0.2">
      <c r="A9" s="32">
        <v>2310</v>
      </c>
      <c r="B9" s="185" t="s">
        <v>890</v>
      </c>
      <c r="C9" s="276">
        <f t="shared" si="0"/>
        <v>68340.33</v>
      </c>
      <c r="D9" s="244">
        <v>68340.33</v>
      </c>
      <c r="E9" s="243"/>
      <c r="F9" s="253"/>
      <c r="G9" s="253"/>
      <c r="H9" s="253"/>
      <c r="I9" s="256"/>
    </row>
    <row r="10" spans="1:9" ht="14.25" x14ac:dyDescent="0.2">
      <c r="A10" s="32">
        <v>2317</v>
      </c>
      <c r="B10" s="185" t="s">
        <v>891</v>
      </c>
      <c r="C10" s="276">
        <f t="shared" si="0"/>
        <v>9400</v>
      </c>
      <c r="D10" s="243"/>
      <c r="E10" s="244">
        <v>9400</v>
      </c>
      <c r="F10" s="253"/>
      <c r="G10" s="253"/>
      <c r="H10" s="253"/>
      <c r="I10" s="256"/>
    </row>
    <row r="11" spans="1:9" ht="14.25" x14ac:dyDescent="0.2">
      <c r="A11" s="32">
        <v>2321</v>
      </c>
      <c r="B11" s="185" t="s">
        <v>892</v>
      </c>
      <c r="C11" s="276">
        <f t="shared" si="0"/>
        <v>241197.18</v>
      </c>
      <c r="D11" s="244">
        <f>173143.9+57173.21+4373.75+6506.32</f>
        <v>241197.18</v>
      </c>
      <c r="E11" s="243"/>
      <c r="F11" s="253"/>
      <c r="G11" s="253"/>
      <c r="H11" s="253"/>
      <c r="I11" s="256"/>
    </row>
    <row r="12" spans="1:9" x14ac:dyDescent="0.2">
      <c r="A12" s="32">
        <v>2400</v>
      </c>
      <c r="B12" t="s">
        <v>711</v>
      </c>
      <c r="C12" s="276">
        <f t="shared" si="0"/>
        <v>1147472.42</v>
      </c>
      <c r="D12" s="20">
        <f>'DOE25'!L205+'DOE25'!L223+'DOE25'!L241-F12-G12-H12</f>
        <v>1121153.6999999997</v>
      </c>
      <c r="E12" s="243"/>
      <c r="F12" s="244"/>
      <c r="G12" s="53">
        <f>'DOE25'!J205+'DOE25'!J223+'DOE25'!J241</f>
        <v>7875.12</v>
      </c>
      <c r="H12" s="53">
        <f>'DOE25'!K205+'DOE25'!K223+'DOE25'!K241</f>
        <v>18443.599999999999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1692661.0699999998</v>
      </c>
      <c r="D14" s="20">
        <f>'DOE25'!L207+'DOE25'!L225+'DOE25'!L243-F14-G14-H14</f>
        <v>1684471.39</v>
      </c>
      <c r="E14" s="243"/>
      <c r="F14" s="244"/>
      <c r="G14" s="53">
        <f>'DOE25'!J207+'DOE25'!J225+'DOE25'!J243</f>
        <v>8189.68</v>
      </c>
      <c r="H14" s="53">
        <f>'DOE25'!K207+'DOE25'!K225+'DOE25'!K243</f>
        <v>0</v>
      </c>
      <c r="I14" s="256"/>
    </row>
    <row r="15" spans="1:9" x14ac:dyDescent="0.2">
      <c r="A15" s="32">
        <v>2700</v>
      </c>
      <c r="B15" t="s">
        <v>799</v>
      </c>
      <c r="C15" s="276">
        <f t="shared" si="0"/>
        <v>640457.86</v>
      </c>
      <c r="D15" s="20">
        <f>'DOE25'!L208+'DOE25'!L226+'DOE25'!L244-F15-G15-H15</f>
        <v>311939.86</v>
      </c>
      <c r="E15" s="243"/>
      <c r="F15" s="244">
        <v>328518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901097.3</v>
      </c>
      <c r="D25" s="243"/>
      <c r="E25" s="243"/>
      <c r="F25" s="255"/>
      <c r="G25" s="253"/>
      <c r="H25" s="253"/>
      <c r="I25" s="254">
        <f>'DOE25'!L260+'DOE25'!L261+'DOE25'!L341+'DOE25'!L342</f>
        <v>901097.3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240100.83000000005</v>
      </c>
      <c r="D29" s="284">
        <f>'DOE25'!L358+'DOE25'!L359+'DOE25'!L360-'DOE25'!I367-F29-G29-H29</f>
        <v>238338.05000000005</v>
      </c>
      <c r="E29" s="243"/>
      <c r="F29" s="244"/>
      <c r="G29" s="53">
        <f>'DOE25'!J358+'DOE25'!J359+'DOE25'!J360</f>
        <v>0</v>
      </c>
      <c r="H29" s="53">
        <f>'DOE25'!K358+'DOE25'!K359+'DOE25'!K360</f>
        <v>1762.78</v>
      </c>
      <c r="I29" s="256"/>
    </row>
    <row r="30" spans="1:9" x14ac:dyDescent="0.2">
      <c r="A30" s="32"/>
      <c r="C30" s="277"/>
      <c r="D30" s="20"/>
      <c r="E30" s="281"/>
      <c r="F30" s="271"/>
      <c r="G30" s="53"/>
      <c r="H30" s="53"/>
      <c r="I30" s="256"/>
    </row>
    <row r="31" spans="1:9" x14ac:dyDescent="0.2">
      <c r="A31" s="32" t="s">
        <v>818</v>
      </c>
      <c r="B31" t="s">
        <v>817</v>
      </c>
      <c r="C31" s="276">
        <f>SUM(D31:I31)</f>
        <v>535608.47</v>
      </c>
      <c r="D31" s="20">
        <f>'DOE25'!L290+'DOE25'!L309+'DOE25'!L328+'DOE25'!L333+'DOE25'!L334+'DOE25'!L335-F31-G31-H31</f>
        <v>515893.77999999997</v>
      </c>
      <c r="E31" s="243"/>
      <c r="F31" s="244"/>
      <c r="G31" s="53">
        <f>'DOE25'!J290+'DOE25'!J309+'DOE25'!J328+'DOE25'!J333+'DOE25'!J334+'DOE25'!J335</f>
        <v>19714.689999999999</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16753749.719999999</v>
      </c>
      <c r="E33" s="245">
        <f t="shared" si="1"/>
        <v>613749.12000000011</v>
      </c>
      <c r="F33" s="245">
        <f t="shared" si="1"/>
        <v>373742.66000000003</v>
      </c>
      <c r="G33" s="245">
        <f t="shared" si="1"/>
        <v>328756.96000000002</v>
      </c>
      <c r="H33" s="245">
        <f t="shared" si="1"/>
        <v>40091.03</v>
      </c>
      <c r="I33" s="245">
        <f t="shared" si="1"/>
        <v>901097.3</v>
      </c>
    </row>
    <row r="35" spans="1:9" ht="12" thickBot="1" x14ac:dyDescent="0.25">
      <c r="B35" s="251" t="s">
        <v>831</v>
      </c>
      <c r="D35" s="252">
        <f>E33</f>
        <v>613749.12000000011</v>
      </c>
      <c r="E35" s="248"/>
    </row>
    <row r="36" spans="1:9" ht="12" thickTop="1" x14ac:dyDescent="0.2">
      <c r="B36" t="s">
        <v>810</v>
      </c>
      <c r="D36" s="20">
        <f>D33</f>
        <v>16753749.719999999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Epping School District</v>
      </c>
      <c r="B2" s="126">
        <f>'DOE25'!B2</f>
        <v>165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8124873.3599999994</v>
      </c>
      <c r="G4" s="303">
        <f>'DOE25'!L211+'DOE25'!L290</f>
        <v>8124873.3599999994</v>
      </c>
      <c r="H4" s="304">
        <f>F4-G4</f>
        <v>0</v>
      </c>
      <c r="I4" s="310" t="str">
        <f>IF(H4=0,"","Does not match DOE25 page 7 and 11 Totals!!")</f>
        <v/>
      </c>
      <c r="N4"/>
    </row>
    <row r="5" spans="1:18" x14ac:dyDescent="0.2">
      <c r="A5" s="21" t="s">
        <v>1039</v>
      </c>
      <c r="B5" s="305">
        <f>IFERROR(VLOOKUP(A5,'School Tables'!$C$3:$D$368,2,FALSE),"")</f>
        <v>26510</v>
      </c>
      <c r="C5" s="297" t="str">
        <f>IFERROR(INDEX('School Tables'!$B$3:$B$368,MATCH('School Level Expenditures'!B5,'School Tables'!$D$3:$D$368,0)),"")</f>
        <v>Epping</v>
      </c>
      <c r="D5" s="294">
        <v>7788914.5599999996</v>
      </c>
      <c r="E5" s="294">
        <v>335958.8</v>
      </c>
      <c r="F5" s="313">
        <f>D5+E5</f>
        <v>8124873.3599999994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3970773.52</v>
      </c>
      <c r="G24" s="303">
        <f>'DOE25'!L229+'DOE25'!L309</f>
        <v>3970773.52</v>
      </c>
      <c r="H24" s="304">
        <f>F24-G24</f>
        <v>0</v>
      </c>
      <c r="I24" s="310" t="str">
        <f>IF(H24=0,"","Does not match DOE25 page 8 and 12 Totals!!")</f>
        <v/>
      </c>
      <c r="N24"/>
    </row>
    <row r="25" spans="1:14" x14ac:dyDescent="0.2">
      <c r="A25" s="21" t="s">
        <v>1038</v>
      </c>
      <c r="B25" s="305">
        <f>IFERROR(VLOOKUP(A25,'School Tables'!$I$3:$J$80,2,FALSE),"")</f>
        <v>26505</v>
      </c>
      <c r="C25" s="297" t="str">
        <f t="array" ref="C25">IFERROR(INDEX('School Tables'!$H$3:$H$80,MATCH('School Level Expenditures'!B25,'School Tables'!$J$3:$J$80,0)),"")</f>
        <v>Epping</v>
      </c>
      <c r="D25" s="294">
        <v>3881244.04</v>
      </c>
      <c r="E25" s="294">
        <v>89529.48</v>
      </c>
      <c r="F25" s="308">
        <f>D25+E25</f>
        <v>3970773.52</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5764941.7800000003</v>
      </c>
      <c r="G36" s="303">
        <f>'DOE25'!L247+'DOE25'!L328</f>
        <v>5764941.7800000012</v>
      </c>
      <c r="H36" s="304">
        <f>F36-G36</f>
        <v>0</v>
      </c>
      <c r="I36" s="310" t="str">
        <f>IF(H36=0,"","Does not match DOE25 page 9 and 13 Totals!!")</f>
        <v/>
      </c>
      <c r="N36"/>
    </row>
    <row r="37" spans="1:14" x14ac:dyDescent="0.2">
      <c r="A37" s="21" t="s">
        <v>1573</v>
      </c>
      <c r="B37" s="305">
        <f>IFERROR(VLOOKUP(A37,'School Tables'!$O$3:$P$122,2,FALSE),"")</f>
        <v>20515</v>
      </c>
      <c r="C37" s="297" t="str">
        <f t="array" ref="C37">IFERROR(INDEX('School Tables'!$N$3:$N$122,MATCH('School Level Expenditures'!B37,'School Tables'!$P$3:$P$122,0)),"")</f>
        <v>Epping</v>
      </c>
      <c r="D37" s="294">
        <v>5654821.5899999999</v>
      </c>
      <c r="E37" s="294">
        <v>110120.19</v>
      </c>
      <c r="F37" s="308">
        <f>D37+E37</f>
        <v>5764941.7800000003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Epping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966555.98</v>
      </c>
      <c r="D8" s="95">
        <f>'DOE25'!G9</f>
        <v>50355.74</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352320.89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611413.73</v>
      </c>
      <c r="D11" s="95">
        <f>'DOE25'!G12</f>
        <v>73672.460000000006</v>
      </c>
      <c r="E11" s="95">
        <f>'DOE25'!H12</f>
        <v>118873.43</v>
      </c>
      <c r="F11" s="95">
        <f>'DOE25'!I12</f>
        <v>0</v>
      </c>
      <c r="G11" s="95">
        <f>'DOE25'!J12</f>
        <v>0</v>
      </c>
      <c r="H11" s="124"/>
      <c r="I11" s="124"/>
    </row>
    <row r="12" spans="1:9" x14ac:dyDescent="0.2">
      <c r="A12" s="1" t="s">
        <v>143</v>
      </c>
      <c r="B12" s="6">
        <v>140</v>
      </c>
      <c r="C12" s="95">
        <f>'DOE25'!F13</f>
        <v>3283.9399999999996</v>
      </c>
      <c r="D12" s="95">
        <f>'DOE25'!G13</f>
        <v>8475.01</v>
      </c>
      <c r="E12" s="95">
        <f>'DOE25'!H13</f>
        <v>63841.78</v>
      </c>
      <c r="F12" s="95">
        <f>'DOE25'!I13</f>
        <v>0</v>
      </c>
      <c r="G12" s="95">
        <f>'DOE25'!J13</f>
        <v>0</v>
      </c>
      <c r="H12" s="124"/>
      <c r="I12" s="124"/>
    </row>
    <row r="13" spans="1:9" x14ac:dyDescent="0.2">
      <c r="A13" s="1" t="s">
        <v>144</v>
      </c>
      <c r="B13" s="6">
        <v>150</v>
      </c>
      <c r="C13" s="95">
        <f>'DOE25'!F14</f>
        <v>0</v>
      </c>
      <c r="D13" s="95">
        <f>'DOE25'!G14</f>
        <v>10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19377.79</v>
      </c>
      <c r="E15" s="95">
        <f>'DOE25'!H16</f>
        <v>0</v>
      </c>
      <c r="F15" s="95">
        <f>'DOE25'!I16</f>
        <v>0</v>
      </c>
      <c r="G15" s="24" t="s">
        <v>288</v>
      </c>
      <c r="H15" s="124"/>
      <c r="I15" s="124"/>
    </row>
    <row r="16" spans="1:9" x14ac:dyDescent="0.2">
      <c r="A16" s="1" t="s">
        <v>147</v>
      </c>
      <c r="B16" s="6">
        <v>180</v>
      </c>
      <c r="C16" s="95">
        <f>'DOE25'!F17</f>
        <v>74181.48</v>
      </c>
      <c r="D16" s="95">
        <f>'DOE25'!G17</f>
        <v>2079</v>
      </c>
      <c r="E16" s="95">
        <f>'DOE25'!H17</f>
        <v>0</v>
      </c>
      <c r="F16" s="95">
        <f>'DOE25'!I17</f>
        <v>0</v>
      </c>
      <c r="G16" s="95">
        <f>'DOE25'!J17</f>
        <v>0</v>
      </c>
      <c r="H16" s="124"/>
      <c r="I16" s="124"/>
    </row>
    <row r="17" spans="1:9" ht="12" thickBot="1" x14ac:dyDescent="0.25">
      <c r="A17" s="1" t="s">
        <v>148</v>
      </c>
      <c r="B17" s="6">
        <v>190</v>
      </c>
      <c r="C17" s="95">
        <f>'DOE25'!F18</f>
        <v>0</v>
      </c>
      <c r="D17" s="95">
        <f>'DOE25'!G18</f>
        <v>-9685.2099999999991</v>
      </c>
      <c r="E17" s="95">
        <f>'DOE25'!H18</f>
        <v>0</v>
      </c>
      <c r="F17" s="95">
        <f>'DOE25'!I18</f>
        <v>0</v>
      </c>
      <c r="G17" s="95">
        <f>'DOE25'!J18</f>
        <v>0</v>
      </c>
      <c r="H17" s="124"/>
      <c r="I17" s="124"/>
    </row>
    <row r="18" spans="1:9" ht="12" thickTop="1" x14ac:dyDescent="0.2">
      <c r="A18" s="38" t="s">
        <v>149</v>
      </c>
      <c r="B18" s="39"/>
      <c r="C18" s="41">
        <f>SUM(C8:C17)</f>
        <v>1655435.13</v>
      </c>
      <c r="D18" s="41">
        <f>SUM(D8:D17)</f>
        <v>144284.79000000004</v>
      </c>
      <c r="E18" s="41">
        <f>SUM(E8:E17)</f>
        <v>182715.21</v>
      </c>
      <c r="F18" s="41">
        <f>SUM(F8:F17)</f>
        <v>0</v>
      </c>
      <c r="G18" s="41">
        <f>SUM(G8:G17)</f>
        <v>352320.89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105640.08</v>
      </c>
      <c r="D21" s="95">
        <f>'DOE25'!G22</f>
        <v>84977.29</v>
      </c>
      <c r="E21" s="95">
        <f>'DOE25'!H22</f>
        <v>165530.51999999999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138772.4</v>
      </c>
      <c r="D23" s="95">
        <f>'DOE25'!G24</f>
        <v>-639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48980.25</v>
      </c>
      <c r="D27" s="95">
        <f>'DOE25'!G28</f>
        <v>3.99</v>
      </c>
      <c r="E27" s="95">
        <f>'DOE25'!H28</f>
        <v>0</v>
      </c>
      <c r="F27" s="95">
        <f>'DOE25'!I28</f>
        <v>0</v>
      </c>
      <c r="G27" s="24" t="s">
        <v>288</v>
      </c>
      <c r="H27" s="124"/>
      <c r="I27" s="124"/>
    </row>
    <row r="28" spans="1:9" x14ac:dyDescent="0.2">
      <c r="A28" s="1" t="s">
        <v>157</v>
      </c>
      <c r="B28" s="6">
        <v>470</v>
      </c>
      <c r="C28" s="95">
        <f>'DOE25'!F29</f>
        <v>439250.43999999994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732643.16999999993</v>
      </c>
      <c r="D31" s="41">
        <f>SUM(D21:D30)</f>
        <v>84342.28</v>
      </c>
      <c r="E31" s="41">
        <f>SUM(E21:E30)</f>
        <v>165530.51999999999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21285.79</v>
      </c>
      <c r="E34" s="95">
        <f>'DOE25'!H35</f>
        <v>0</v>
      </c>
      <c r="F34" s="95">
        <f>'DOE25'!I35</f>
        <v>0</v>
      </c>
      <c r="G34" s="24" t="s">
        <v>288</v>
      </c>
      <c r="H34" s="124"/>
      <c r="I34" s="124"/>
    </row>
    <row r="35" spans="1:9" x14ac:dyDescent="0.2">
      <c r="A35" s="1" t="s">
        <v>850</v>
      </c>
      <c r="B35" s="6">
        <v>752</v>
      </c>
      <c r="C35" s="95">
        <f>'DOE25'!F36</f>
        <v>42981.47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17184.689999999999</v>
      </c>
      <c r="F38" s="95">
        <f>'DOE25'!I39</f>
        <v>0</v>
      </c>
      <c r="G38" s="95">
        <f>'DOE25'!J39</f>
        <v>0</v>
      </c>
      <c r="H38" s="124"/>
      <c r="I38" s="124"/>
    </row>
    <row r="39" spans="1:9" x14ac:dyDescent="0.2">
      <c r="A39" s="1" t="s">
        <v>861</v>
      </c>
      <c r="B39" s="6"/>
      <c r="C39" s="24" t="s">
        <v>288</v>
      </c>
      <c r="D39" s="95">
        <f>'DOE25'!G40</f>
        <v>38656.720000000001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250000</v>
      </c>
      <c r="D43" s="95">
        <f>'DOE25'!G44</f>
        <v>0</v>
      </c>
      <c r="E43" s="95">
        <f>'DOE25'!H44</f>
        <v>0</v>
      </c>
      <c r="F43" s="95">
        <f>'DOE25'!I44</f>
        <v>0</v>
      </c>
      <c r="G43" s="24" t="s">
        <v>288</v>
      </c>
      <c r="H43" s="124"/>
      <c r="I43" s="124"/>
    </row>
    <row r="44" spans="1:9" x14ac:dyDescent="0.2">
      <c r="A44" s="1" t="s">
        <v>864</v>
      </c>
      <c r="B44" s="6">
        <v>753</v>
      </c>
      <c r="C44" s="95">
        <f>'DOE25'!F45</f>
        <v>-21679.02</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45660.67</v>
      </c>
      <c r="D47" s="95">
        <f>'DOE25'!G48</f>
        <v>0</v>
      </c>
      <c r="E47" s="95">
        <f>'DOE25'!H48</f>
        <v>0</v>
      </c>
      <c r="F47" s="95">
        <f>'DOE25'!I48</f>
        <v>0</v>
      </c>
      <c r="G47" s="95">
        <f>'DOE25'!J48</f>
        <v>352320.89</v>
      </c>
      <c r="H47" s="124"/>
      <c r="I47" s="124"/>
    </row>
    <row r="48" spans="1:9" x14ac:dyDescent="0.2">
      <c r="A48" s="1" t="s">
        <v>882</v>
      </c>
      <c r="B48" s="6">
        <v>753</v>
      </c>
      <c r="C48" s="95">
        <f>'DOE25'!F49</f>
        <v>21679.02</v>
      </c>
      <c r="D48" s="95">
        <f>'DOE25'!G49</f>
        <v>0</v>
      </c>
      <c r="E48" s="95">
        <f>'DOE25'!H49</f>
        <v>0</v>
      </c>
      <c r="F48" s="95">
        <f>'DOE25'!I49</f>
        <v>0</v>
      </c>
      <c r="G48" s="95">
        <f>'DOE25'!J49</f>
        <v>0</v>
      </c>
      <c r="H48" s="124"/>
      <c r="I48" s="124"/>
    </row>
    <row r="49" spans="1:9" ht="12" thickBot="1" x14ac:dyDescent="0.25">
      <c r="A49" s="29" t="s">
        <v>883</v>
      </c>
      <c r="B49" s="71">
        <v>770</v>
      </c>
      <c r="C49" s="95">
        <f>'DOE25'!F50</f>
        <v>384149.81999999995</v>
      </c>
      <c r="D49" s="24" t="s">
        <v>288</v>
      </c>
      <c r="E49" s="24" t="s">
        <v>288</v>
      </c>
      <c r="F49" s="24" t="s">
        <v>288</v>
      </c>
      <c r="G49" s="24" t="s">
        <v>288</v>
      </c>
      <c r="H49" s="124"/>
      <c r="I49" s="124"/>
    </row>
    <row r="50" spans="1:9" ht="12.75" thickTop="1" thickBot="1" x14ac:dyDescent="0.25">
      <c r="A50" s="38" t="s">
        <v>884</v>
      </c>
      <c r="B50" s="48"/>
      <c r="C50" s="41">
        <f>SUM(C34:C49)</f>
        <v>922791.95999999985</v>
      </c>
      <c r="D50" s="41">
        <f>SUM(D34:D49)</f>
        <v>59942.51</v>
      </c>
      <c r="E50" s="41">
        <f>SUM(E34:E49)</f>
        <v>17184.689999999999</v>
      </c>
      <c r="F50" s="41">
        <f>SUM(F34:F49)</f>
        <v>0</v>
      </c>
      <c r="G50" s="41">
        <f>SUM(G34:G49)</f>
        <v>352320.89</v>
      </c>
      <c r="H50" s="124"/>
      <c r="I50" s="124"/>
    </row>
    <row r="51" spans="1:9" ht="12" thickTop="1" x14ac:dyDescent="0.2">
      <c r="A51" s="38" t="s">
        <v>885</v>
      </c>
      <c r="B51" s="2"/>
      <c r="C51" s="41">
        <f>C50+C31</f>
        <v>1655435.13</v>
      </c>
      <c r="D51" s="41">
        <f>D50+D31</f>
        <v>144284.79</v>
      </c>
      <c r="E51" s="41">
        <f>E50+E31</f>
        <v>182715.21</v>
      </c>
      <c r="F51" s="41">
        <f>F50+F31</f>
        <v>0</v>
      </c>
      <c r="G51" s="41">
        <f>G50+G31</f>
        <v>352320.89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12324063</v>
      </c>
      <c r="D56" s="95">
        <f>'DOE25'!G60</f>
        <v>0</v>
      </c>
      <c r="E56" s="95">
        <f>'DOE25'!H60</f>
        <v>0</v>
      </c>
      <c r="F56" s="95">
        <f>'DOE25'!I60</f>
        <v>0</v>
      </c>
      <c r="G56" s="95">
        <f>'DOE25'!J60</f>
        <v>0</v>
      </c>
      <c r="H56"/>
      <c r="I56"/>
    </row>
    <row r="57" spans="1:9" x14ac:dyDescent="0.2">
      <c r="A57" s="1" t="s">
        <v>164</v>
      </c>
      <c r="B57" s="6" t="s">
        <v>165</v>
      </c>
      <c r="C57" s="95">
        <f>'DOE25'!F79</f>
        <v>23245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5943.03</v>
      </c>
      <c r="D59" s="95">
        <f>'DOE25'!G96</f>
        <v>0</v>
      </c>
      <c r="E59" s="95">
        <f>'DOE25'!H96</f>
        <v>0</v>
      </c>
      <c r="F59" s="95">
        <f>'DOE25'!I96</f>
        <v>0</v>
      </c>
      <c r="G59" s="95">
        <f>'DOE25'!J96</f>
        <v>4366.53</v>
      </c>
      <c r="H59"/>
      <c r="I59"/>
    </row>
    <row r="60" spans="1:9" x14ac:dyDescent="0.2">
      <c r="A60" s="1" t="s">
        <v>170</v>
      </c>
      <c r="B60" s="118" t="s">
        <v>171</v>
      </c>
      <c r="C60" s="24" t="s">
        <v>288</v>
      </c>
      <c r="D60" s="95">
        <f>'DOE25'!G97</f>
        <v>245670.18</v>
      </c>
      <c r="E60" s="24" t="s">
        <v>288</v>
      </c>
      <c r="F60" s="24" t="s">
        <v>288</v>
      </c>
      <c r="G60" s="24" t="s">
        <v>288</v>
      </c>
      <c r="H60"/>
      <c r="I60"/>
    </row>
    <row r="61" spans="1:9" ht="12" thickBot="1" x14ac:dyDescent="0.25">
      <c r="A61" s="1" t="s">
        <v>172</v>
      </c>
      <c r="B61" s="118" t="s">
        <v>173</v>
      </c>
      <c r="C61" s="95">
        <f>SUM('DOE25'!F98:F110)</f>
        <v>436239.08</v>
      </c>
      <c r="D61" s="95">
        <f>SUM('DOE25'!G98:G110)</f>
        <v>0</v>
      </c>
      <c r="E61" s="95">
        <f>SUM('DOE25'!H98:H110)</f>
        <v>54278.76</v>
      </c>
      <c r="F61" s="95">
        <f>SUM('DOE25'!I98:I110)</f>
        <v>0</v>
      </c>
      <c r="G61" s="95">
        <f>SUM('DOE25'!J98:J110)</f>
        <v>0</v>
      </c>
      <c r="H61"/>
      <c r="I61"/>
    </row>
    <row r="62" spans="1:9" ht="12.75" thickTop="1" thickBot="1" x14ac:dyDescent="0.25">
      <c r="A62" s="29" t="s">
        <v>174</v>
      </c>
      <c r="B62" s="6"/>
      <c r="C62" s="130">
        <f>SUM(C57:C61)</f>
        <v>465427.11</v>
      </c>
      <c r="D62" s="130">
        <f>SUM(D57:D61)</f>
        <v>245670.18</v>
      </c>
      <c r="E62" s="130">
        <f>SUM(E57:E61)</f>
        <v>54278.76</v>
      </c>
      <c r="F62" s="130">
        <f>SUM(F57:F61)</f>
        <v>0</v>
      </c>
      <c r="G62" s="130">
        <f>SUM(G57:G61)</f>
        <v>4366.53</v>
      </c>
      <c r="H62"/>
      <c r="I62"/>
    </row>
    <row r="63" spans="1:9" ht="12" thickTop="1" x14ac:dyDescent="0.2">
      <c r="A63" s="29" t="s">
        <v>175</v>
      </c>
      <c r="B63" s="6"/>
      <c r="C63" s="22">
        <f>C56+C62</f>
        <v>12789490.109999999</v>
      </c>
      <c r="D63" s="22">
        <f>D56+D62</f>
        <v>245670.18</v>
      </c>
      <c r="E63" s="22">
        <f>E56+E62</f>
        <v>54278.76</v>
      </c>
      <c r="F63" s="22">
        <f>F56+F62</f>
        <v>0</v>
      </c>
      <c r="G63" s="22">
        <f>G56+G62</f>
        <v>4366.53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2984154.14</v>
      </c>
      <c r="D66" s="24" t="s">
        <v>288</v>
      </c>
      <c r="E66" s="24" t="s">
        <v>288</v>
      </c>
      <c r="F66" s="24" t="s">
        <v>288</v>
      </c>
      <c r="G66" s="24" t="s">
        <v>288</v>
      </c>
      <c r="H66"/>
      <c r="I66"/>
    </row>
    <row r="67" spans="1:9" x14ac:dyDescent="0.2">
      <c r="A67" s="1" t="s">
        <v>770</v>
      </c>
      <c r="B67" s="6">
        <v>3112</v>
      </c>
      <c r="C67" s="95">
        <f>'DOE25'!F118</f>
        <v>1769572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6044.32</v>
      </c>
      <c r="D69" s="95">
        <f>'DOE25'!G120</f>
        <v>0</v>
      </c>
      <c r="E69" s="95">
        <f>'DOE25'!H120</f>
        <v>0</v>
      </c>
      <c r="F69" s="95">
        <f>'DOE25'!I120</f>
        <v>0</v>
      </c>
      <c r="G69" s="95">
        <f>'DOE25'!J120</f>
        <v>0</v>
      </c>
      <c r="H69"/>
      <c r="I69"/>
    </row>
    <row r="70" spans="1:9" ht="12" thickTop="1" x14ac:dyDescent="0.2">
      <c r="A70" s="29" t="s">
        <v>252</v>
      </c>
      <c r="B70" s="2"/>
      <c r="C70" s="139">
        <f>SUM(C66:C69)</f>
        <v>4759770.4600000009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279874.59999999998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84691.42</v>
      </c>
      <c r="D74" s="24"/>
      <c r="E74" s="24"/>
      <c r="F74" s="24"/>
      <c r="G74" s="24"/>
      <c r="H74"/>
      <c r="I74"/>
    </row>
    <row r="75" spans="1:9" x14ac:dyDescent="0.2">
      <c r="A75" s="1" t="s">
        <v>256</v>
      </c>
      <c r="B75" s="6">
        <v>3230</v>
      </c>
      <c r="C75" s="95">
        <f>'DOE25'!F126</f>
        <v>61048.14</v>
      </c>
      <c r="D75" s="24" t="s">
        <v>288</v>
      </c>
      <c r="E75" s="24" t="s">
        <v>288</v>
      </c>
      <c r="F75" s="24" t="s">
        <v>288</v>
      </c>
      <c r="G75" s="24" t="s">
        <v>288</v>
      </c>
      <c r="H75"/>
      <c r="I75"/>
    </row>
    <row r="76" spans="1:9" x14ac:dyDescent="0.2">
      <c r="A76" s="1" t="s">
        <v>257</v>
      </c>
      <c r="B76" s="6" t="s">
        <v>179</v>
      </c>
      <c r="C76" s="95">
        <f>SUM('DOE25'!F127:F130)</f>
        <v>12118.4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5388.26</v>
      </c>
      <c r="E77" s="95">
        <f>SUM('DOE25'!H131:H135)</f>
        <v>0</v>
      </c>
      <c r="F77" s="95">
        <f>SUM('DOE25'!I131:I135)</f>
        <v>0</v>
      </c>
      <c r="G77" s="95">
        <f>SUM('DOE25'!J131:J135)</f>
        <v>0</v>
      </c>
      <c r="H77"/>
      <c r="I77"/>
    </row>
    <row r="78" spans="1:9" ht="12.75" thickTop="1" thickBot="1" x14ac:dyDescent="0.25">
      <c r="A78" s="29" t="s">
        <v>259</v>
      </c>
      <c r="B78" s="6"/>
      <c r="C78" s="130">
        <f>SUM(C72:C77)</f>
        <v>437732.56</v>
      </c>
      <c r="D78" s="130">
        <f>SUM(D72:D77)</f>
        <v>5388.26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5197503.0200000005</v>
      </c>
      <c r="D81" s="130">
        <f>SUM(D79:D80)+D78+D70</f>
        <v>5388.26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108201.27</v>
      </c>
      <c r="D88" s="95">
        <f>SUM('DOE25'!G153:G161)</f>
        <v>107733.32</v>
      </c>
      <c r="E88" s="95">
        <f>SUM('DOE25'!H153:H161)</f>
        <v>517735.83000000007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108201.27</v>
      </c>
      <c r="D91" s="131">
        <f>SUM(D85:D90)</f>
        <v>107733.32</v>
      </c>
      <c r="E91" s="131">
        <f>SUM(E85:E90)</f>
        <v>517735.83000000007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3632.95</v>
      </c>
      <c r="E96" s="95">
        <f>'DOE25'!H179</f>
        <v>0</v>
      </c>
      <c r="F96" s="95">
        <f>'DOE25'!I179</f>
        <v>264523.18</v>
      </c>
      <c r="G96" s="95">
        <f>'DOE25'!J179</f>
        <v>250000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200000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200000</v>
      </c>
      <c r="D103" s="86">
        <f>SUM(D93:D102)</f>
        <v>3632.95</v>
      </c>
      <c r="E103" s="86">
        <f>SUM(E93:E102)</f>
        <v>0</v>
      </c>
      <c r="F103" s="86">
        <f>SUM(F93:F102)</f>
        <v>264523.18</v>
      </c>
      <c r="G103" s="86">
        <f>SUM(G93:G102)</f>
        <v>250000</v>
      </c>
    </row>
    <row r="104" spans="1:7" ht="12.75" thickTop="1" thickBot="1" x14ac:dyDescent="0.25">
      <c r="A104" s="33" t="s">
        <v>761</v>
      </c>
      <c r="C104" s="86">
        <f>C63+C81+C91+C103</f>
        <v>18295194.399999999</v>
      </c>
      <c r="D104" s="86">
        <f>D63+D81+D91+D103</f>
        <v>362424.71</v>
      </c>
      <c r="E104" s="86">
        <f>E63+E81+E91+E103</f>
        <v>572014.59000000008</v>
      </c>
      <c r="F104" s="86">
        <f>F63+F81+F91+F103</f>
        <v>264523.18</v>
      </c>
      <c r="G104" s="86">
        <f>G63+G81+G103</f>
        <v>254366.53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6824393.4499999993</v>
      </c>
      <c r="D109" s="24" t="s">
        <v>288</v>
      </c>
      <c r="E109" s="95">
        <f>('DOE25'!L276)+('DOE25'!L295)+('DOE25'!L314)</f>
        <v>160742.87000000002</v>
      </c>
      <c r="F109" s="24" t="s">
        <v>288</v>
      </c>
      <c r="G109" s="24" t="s">
        <v>288</v>
      </c>
    </row>
    <row r="110" spans="1:7" x14ac:dyDescent="0.2">
      <c r="A110" t="s">
        <v>198</v>
      </c>
      <c r="B110" s="32" t="s">
        <v>199</v>
      </c>
      <c r="C110" s="95">
        <f>('DOE25'!L198)+('DOE25'!L216)+('DOE25'!L234)</f>
        <v>2939380.5900000003</v>
      </c>
      <c r="D110" s="24" t="s">
        <v>288</v>
      </c>
      <c r="E110" s="95">
        <f>('DOE25'!L277)+('DOE25'!L296)+('DOE25'!L315)</f>
        <v>123463.83</v>
      </c>
      <c r="F110" s="24" t="s">
        <v>288</v>
      </c>
      <c r="G110" s="24" t="s">
        <v>288</v>
      </c>
    </row>
    <row r="111" spans="1:7" x14ac:dyDescent="0.2">
      <c r="A111" t="s">
        <v>200</v>
      </c>
      <c r="B111" s="32" t="s">
        <v>165</v>
      </c>
      <c r="C111" s="95">
        <f>('DOE25'!L199)+('DOE25'!L217)+('DOE25'!L235)</f>
        <v>127746</v>
      </c>
      <c r="D111" s="24" t="s">
        <v>288</v>
      </c>
      <c r="E111" s="95">
        <f>('DOE25'!L278)+('DOE25'!L297)+('DOE25'!L316)</f>
        <v>0</v>
      </c>
      <c r="F111" s="24" t="s">
        <v>288</v>
      </c>
      <c r="G111" s="24" t="s">
        <v>288</v>
      </c>
    </row>
    <row r="112" spans="1:7" x14ac:dyDescent="0.2">
      <c r="A112" t="s">
        <v>201</v>
      </c>
      <c r="B112" s="32" t="s">
        <v>167</v>
      </c>
      <c r="C112" s="95">
        <f>('DOE25'!L200)+('DOE25'!L218)+('DOE25'!L236)</f>
        <v>379629.65</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10271149.689999999</v>
      </c>
      <c r="D115" s="86">
        <f>SUM(D109:D114)</f>
        <v>0</v>
      </c>
      <c r="E115" s="86">
        <f>SUM(E109:E114)</f>
        <v>284206.7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1579085.1</v>
      </c>
      <c r="D118" s="24" t="s">
        <v>288</v>
      </c>
      <c r="E118" s="95">
        <f>+('DOE25'!L281)+('DOE25'!L300)+('DOE25'!L319)</f>
        <v>90625.62</v>
      </c>
      <c r="F118" s="24" t="s">
        <v>288</v>
      </c>
      <c r="G118" s="24" t="s">
        <v>288</v>
      </c>
    </row>
    <row r="119" spans="1:7" x14ac:dyDescent="0.2">
      <c r="A119" t="s">
        <v>208</v>
      </c>
      <c r="B119" s="32" t="s">
        <v>209</v>
      </c>
      <c r="C119" s="95">
        <f>('DOE25'!L203)+('DOE25'!L221)+('DOE25'!L239)</f>
        <v>1071668.6499999999</v>
      </c>
      <c r="D119" s="24" t="s">
        <v>288</v>
      </c>
      <c r="E119" s="95">
        <f>+('DOE25'!L282)+('DOE25'!L301)+('DOE25'!L320)</f>
        <v>149625.49</v>
      </c>
      <c r="F119" s="24" t="s">
        <v>288</v>
      </c>
      <c r="G119" s="24" t="s">
        <v>288</v>
      </c>
    </row>
    <row r="120" spans="1:7" x14ac:dyDescent="0.2">
      <c r="A120" t="s">
        <v>210</v>
      </c>
      <c r="B120" s="32" t="s">
        <v>211</v>
      </c>
      <c r="C120" s="95">
        <f>('DOE25'!L204)+('DOE25'!L222)+('DOE25'!L240)</f>
        <v>922485.4</v>
      </c>
      <c r="D120" s="24" t="s">
        <v>288</v>
      </c>
      <c r="E120" s="95">
        <f>+('DOE25'!L283)+('DOE25'!L302)+('DOE25'!L321)</f>
        <v>4743.3</v>
      </c>
      <c r="F120" s="24" t="s">
        <v>288</v>
      </c>
      <c r="G120" s="24" t="s">
        <v>288</v>
      </c>
    </row>
    <row r="121" spans="1:7" x14ac:dyDescent="0.2">
      <c r="A121" t="s">
        <v>212</v>
      </c>
      <c r="B121" s="32" t="s">
        <v>213</v>
      </c>
      <c r="C121" s="95">
        <f>('DOE25'!L205)+('DOE25'!L223)+('DOE25'!L241)</f>
        <v>1147472.42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1692661.0699999998</v>
      </c>
      <c r="D123" s="24" t="s">
        <v>288</v>
      </c>
      <c r="E123" s="95">
        <f>+('DOE25'!L286)+('DOE25'!L305)+('DOE25'!L324)</f>
        <v>6407.3600000000006</v>
      </c>
      <c r="F123" s="24" t="s">
        <v>288</v>
      </c>
      <c r="G123" s="24" t="s">
        <v>288</v>
      </c>
    </row>
    <row r="124" spans="1:7" x14ac:dyDescent="0.2">
      <c r="A124" t="s">
        <v>218</v>
      </c>
      <c r="B124" s="32" t="s">
        <v>219</v>
      </c>
      <c r="C124" s="95">
        <f>('DOE25'!L208)+('DOE25'!L226)+('DOE25'!L244+'DOE25'!L254)</f>
        <v>640457.86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366778.42000000004</v>
      </c>
      <c r="E127" s="24" t="s">
        <v>288</v>
      </c>
      <c r="F127" s="24" t="s">
        <v>288</v>
      </c>
      <c r="G127" s="24" t="s">
        <v>288</v>
      </c>
    </row>
    <row r="128" spans="1:7" ht="12.75" thickTop="1" thickBot="1" x14ac:dyDescent="0.25">
      <c r="A128" s="33" t="s">
        <v>226</v>
      </c>
      <c r="C128" s="86">
        <f>SUM(C118:C127)</f>
        <v>7053830.5000000009</v>
      </c>
      <c r="D128" s="86">
        <f>SUM(D118:D127)</f>
        <v>366778.42000000004</v>
      </c>
      <c r="E128" s="86">
        <f>SUM(E118:E127)</f>
        <v>251401.76999999996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1564523.18</v>
      </c>
      <c r="G130" s="24" t="s">
        <v>288</v>
      </c>
    </row>
    <row r="131" spans="1:7" x14ac:dyDescent="0.2">
      <c r="A131" t="s">
        <v>229</v>
      </c>
      <c r="B131" s="32">
        <v>5110</v>
      </c>
      <c r="C131" s="95">
        <f>'DOE25'!L260</f>
        <v>665000</v>
      </c>
      <c r="D131" s="24" t="s">
        <v>288</v>
      </c>
      <c r="E131" s="129">
        <f>'DOE25'!L341</f>
        <v>0</v>
      </c>
      <c r="F131" s="24" t="s">
        <v>288</v>
      </c>
      <c r="G131" s="24" t="s">
        <v>288</v>
      </c>
    </row>
    <row r="132" spans="1:7" x14ac:dyDescent="0.2">
      <c r="A132" t="s">
        <v>230</v>
      </c>
      <c r="B132" s="32">
        <v>5120</v>
      </c>
      <c r="C132" s="95">
        <f>'DOE25'!L261</f>
        <v>236097.3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19221.43</v>
      </c>
      <c r="F134" s="95">
        <f>'DOE25'!K381</f>
        <v>0</v>
      </c>
      <c r="G134" s="95">
        <f>'DOE25'!K434</f>
        <v>200000</v>
      </c>
    </row>
    <row r="135" spans="1:7" x14ac:dyDescent="0.2">
      <c r="A135" t="s">
        <v>233</v>
      </c>
      <c r="B135" s="32" t="s">
        <v>234</v>
      </c>
      <c r="C135" s="95">
        <f>'DOE25'!L263</f>
        <v>3632.95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264523.18</v>
      </c>
      <c r="D137" s="24" t="s">
        <v>288</v>
      </c>
      <c r="E137" s="129">
        <f>'DOE25'!L346</f>
        <v>0</v>
      </c>
      <c r="F137" s="24" t="s">
        <v>288</v>
      </c>
      <c r="G137" s="24" t="s">
        <v>288</v>
      </c>
    </row>
    <row r="138" spans="1:7" x14ac:dyDescent="0.2">
      <c r="A138" t="s">
        <v>238</v>
      </c>
      <c r="B138" s="32">
        <v>5251</v>
      </c>
      <c r="C138" s="95">
        <f>'DOE25'!L393</f>
        <v>203008.17</v>
      </c>
      <c r="D138" s="24" t="s">
        <v>288</v>
      </c>
      <c r="E138" s="24" t="s">
        <v>288</v>
      </c>
      <c r="F138" s="24" t="s">
        <v>288</v>
      </c>
      <c r="G138" s="24" t="s">
        <v>288</v>
      </c>
    </row>
    <row r="139" spans="1:7" x14ac:dyDescent="0.2">
      <c r="A139" t="s">
        <v>239</v>
      </c>
      <c r="B139" s="32">
        <v>5252</v>
      </c>
      <c r="C139" s="95">
        <f>'DOE25'!L401</f>
        <v>51358.36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-4366.5300000000279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1419253.43</v>
      </c>
      <c r="D144" s="141">
        <f>SUM(D130:D143)</f>
        <v>0</v>
      </c>
      <c r="E144" s="141">
        <f>SUM(E130:E143)</f>
        <v>19221.43</v>
      </c>
      <c r="F144" s="141">
        <f>SUM(F130:F143)</f>
        <v>1564523.18</v>
      </c>
      <c r="G144" s="141">
        <f>SUM(G130:G143)</f>
        <v>200000</v>
      </c>
    </row>
    <row r="145" spans="1:9" ht="12.75" thickTop="1" thickBot="1" x14ac:dyDescent="0.25">
      <c r="A145" s="33" t="s">
        <v>244</v>
      </c>
      <c r="C145" s="86">
        <f>(C115+C128+C144)</f>
        <v>18744233.620000001</v>
      </c>
      <c r="D145" s="86">
        <f>(D115+D128+D144)</f>
        <v>366778.42000000004</v>
      </c>
      <c r="E145" s="86">
        <f>(E115+E128+E144)</f>
        <v>554829.9</v>
      </c>
      <c r="F145" s="86">
        <f>(F115+F128+F144)</f>
        <v>1564523.18</v>
      </c>
      <c r="G145" s="86">
        <f>(G115+G128+G144)</f>
        <v>200000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10</v>
      </c>
      <c r="D151" s="153">
        <f>'DOE25'!H490</f>
        <v>0</v>
      </c>
      <c r="E151" s="153">
        <f>'DOE25'!I490</f>
        <v>0</v>
      </c>
      <c r="F151" s="153">
        <f>'DOE25'!J490</f>
        <v>0</v>
      </c>
      <c r="G151" s="24" t="s">
        <v>288</v>
      </c>
    </row>
    <row r="152" spans="1:9" x14ac:dyDescent="0.2">
      <c r="A152" s="136" t="s">
        <v>28</v>
      </c>
      <c r="B152" s="152" t="str">
        <f>'DOE25'!F491</f>
        <v>08/15</v>
      </c>
      <c r="C152" s="152" t="str">
        <f>'DOE25'!G491</f>
        <v>08/18</v>
      </c>
      <c r="D152" s="152">
        <f>'DOE25'!H491</f>
        <v>0</v>
      </c>
      <c r="E152" s="152">
        <f>'DOE25'!I491</f>
        <v>0</v>
      </c>
      <c r="F152" s="152">
        <f>'DOE25'!J491</f>
        <v>0</v>
      </c>
      <c r="G152" s="24" t="s">
        <v>288</v>
      </c>
    </row>
    <row r="153" spans="1:9" x14ac:dyDescent="0.2">
      <c r="A153" s="136" t="s">
        <v>29</v>
      </c>
      <c r="B153" s="152" t="str">
        <f>'DOE25'!F492</f>
        <v>08/25</v>
      </c>
      <c r="C153" s="152" t="str">
        <f>'DOE25'!G492</f>
        <v>08/28</v>
      </c>
      <c r="D153" s="152">
        <f>'DOE25'!H492</f>
        <v>0</v>
      </c>
      <c r="E153" s="152">
        <f>'DOE25'!I492</f>
        <v>0</v>
      </c>
      <c r="F153" s="152">
        <f>'DOE25'!J492</f>
        <v>0</v>
      </c>
      <c r="G153" s="24" t="s">
        <v>288</v>
      </c>
    </row>
    <row r="154" spans="1:9" x14ac:dyDescent="0.2">
      <c r="A154" s="136" t="s">
        <v>30</v>
      </c>
      <c r="B154" s="137">
        <f>'DOE25'!F493</f>
        <v>12072350</v>
      </c>
      <c r="C154" s="137">
        <f>'DOE25'!G493</f>
        <v>1252419.8400000001</v>
      </c>
      <c r="D154" s="137">
        <f>'DOE25'!H493</f>
        <v>0</v>
      </c>
      <c r="E154" s="137">
        <f>'DOE25'!I493</f>
        <v>0</v>
      </c>
      <c r="F154" s="137">
        <f>'DOE25'!J493</f>
        <v>0</v>
      </c>
      <c r="G154" s="24" t="s">
        <v>288</v>
      </c>
    </row>
    <row r="155" spans="1:9" x14ac:dyDescent="0.2">
      <c r="A155" s="136" t="s">
        <v>31</v>
      </c>
      <c r="B155" s="137">
        <f>'DOE25'!F494</f>
        <v>4.13</v>
      </c>
      <c r="C155" s="137">
        <f>'DOE25'!G494</f>
        <v>2.57</v>
      </c>
      <c r="D155" s="137">
        <f>'DOE25'!H494</f>
        <v>0</v>
      </c>
      <c r="E155" s="137">
        <f>'DOE25'!I494</f>
        <v>0</v>
      </c>
      <c r="F155" s="137">
        <f>'DOE25'!J494</f>
        <v>0</v>
      </c>
      <c r="G155" s="24" t="s">
        <v>288</v>
      </c>
    </row>
    <row r="156" spans="1:9" x14ac:dyDescent="0.2">
      <c r="A156" s="22" t="s">
        <v>32</v>
      </c>
      <c r="B156" s="137">
        <f>'DOE25'!F495</f>
        <v>6195000</v>
      </c>
      <c r="C156" s="137">
        <f>'DOE25'!G495</f>
        <v>974600</v>
      </c>
      <c r="D156" s="137">
        <f>'DOE25'!H495</f>
        <v>0</v>
      </c>
      <c r="E156" s="137">
        <f>'DOE25'!I495</f>
        <v>0</v>
      </c>
      <c r="F156" s="137">
        <f>'DOE25'!J495</f>
        <v>0</v>
      </c>
      <c r="G156" s="138">
        <f>SUM(B156:F156)</f>
        <v>7169600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5530000</v>
      </c>
      <c r="C159" s="137">
        <f>'DOE25'!G498</f>
        <v>974600</v>
      </c>
      <c r="D159" s="137">
        <f>'DOE25'!H498</f>
        <v>0</v>
      </c>
      <c r="E159" s="137">
        <f>'DOE25'!I498</f>
        <v>0</v>
      </c>
      <c r="F159" s="137">
        <f>'DOE25'!J498</f>
        <v>0</v>
      </c>
      <c r="G159" s="138">
        <f t="shared" si="0"/>
        <v>6504600</v>
      </c>
    </row>
    <row r="160" spans="1:9" x14ac:dyDescent="0.2">
      <c r="A160" s="22" t="s">
        <v>36</v>
      </c>
      <c r="B160" s="137">
        <f>'DOE25'!F499</f>
        <v>600503.13</v>
      </c>
      <c r="C160" s="137">
        <f>'DOE25'!G499</f>
        <v>244407.30000000002</v>
      </c>
      <c r="D160" s="137">
        <f>'DOE25'!H499</f>
        <v>0</v>
      </c>
      <c r="E160" s="137">
        <f>'DOE25'!I499</f>
        <v>0</v>
      </c>
      <c r="F160" s="137">
        <f>'DOE25'!J499</f>
        <v>0</v>
      </c>
      <c r="G160" s="138">
        <f t="shared" si="0"/>
        <v>844910.43</v>
      </c>
    </row>
    <row r="161" spans="1:7" x14ac:dyDescent="0.2">
      <c r="A161" s="22" t="s">
        <v>37</v>
      </c>
      <c r="B161" s="137">
        <f>'DOE25'!F500</f>
        <v>6130503.1299999999</v>
      </c>
      <c r="C161" s="137">
        <f>'DOE25'!G500</f>
        <v>1219007.3</v>
      </c>
      <c r="D161" s="137">
        <f>'DOE25'!H500</f>
        <v>0</v>
      </c>
      <c r="E161" s="137">
        <f>'DOE25'!I500</f>
        <v>0</v>
      </c>
      <c r="F161" s="137">
        <f>'DOE25'!J500</f>
        <v>0</v>
      </c>
      <c r="G161" s="138">
        <f t="shared" si="0"/>
        <v>7349510.4299999997</v>
      </c>
    </row>
    <row r="162" spans="1:7" x14ac:dyDescent="0.2">
      <c r="A162" s="22" t="s">
        <v>38</v>
      </c>
      <c r="B162" s="137">
        <f>'DOE25'!F501</f>
        <v>695000</v>
      </c>
      <c r="C162" s="137">
        <f>'DOE25'!G501</f>
        <v>104600</v>
      </c>
      <c r="D162" s="137">
        <f>'DOE25'!H501</f>
        <v>0</v>
      </c>
      <c r="E162" s="137">
        <f>'DOE25'!I501</f>
        <v>0</v>
      </c>
      <c r="F162" s="137">
        <f>'DOE25'!J501</f>
        <v>0</v>
      </c>
      <c r="G162" s="138">
        <f t="shared" si="0"/>
        <v>799600</v>
      </c>
    </row>
    <row r="163" spans="1:7" x14ac:dyDescent="0.2">
      <c r="A163" s="22" t="s">
        <v>39</v>
      </c>
      <c r="B163" s="137">
        <f>'DOE25'!F502</f>
        <v>174717.88</v>
      </c>
      <c r="C163" s="137">
        <f>'DOE25'!G502</f>
        <v>47037.3</v>
      </c>
      <c r="D163" s="137">
        <f>'DOE25'!H502</f>
        <v>0</v>
      </c>
      <c r="E163" s="137">
        <f>'DOE25'!I502</f>
        <v>0</v>
      </c>
      <c r="F163" s="137">
        <f>'DOE25'!J502</f>
        <v>0</v>
      </c>
      <c r="G163" s="138">
        <f t="shared" si="0"/>
        <v>221755.18</v>
      </c>
    </row>
    <row r="164" spans="1:7" x14ac:dyDescent="0.2">
      <c r="A164" s="22" t="s">
        <v>246</v>
      </c>
      <c r="B164" s="137">
        <f>'DOE25'!F503</f>
        <v>869717.88</v>
      </c>
      <c r="C164" s="137">
        <f>'DOE25'!G503</f>
        <v>151637.29999999999</v>
      </c>
      <c r="D164" s="137">
        <f>'DOE25'!H503</f>
        <v>0</v>
      </c>
      <c r="E164" s="137">
        <f>'DOE25'!I503</f>
        <v>0</v>
      </c>
      <c r="F164" s="137">
        <f>'DOE25'!J503</f>
        <v>0</v>
      </c>
      <c r="G164" s="138">
        <f t="shared" si="0"/>
        <v>1021355.1799999999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Epping School District</v>
      </c>
    </row>
    <row r="3" spans="1:4" x14ac:dyDescent="0.2">
      <c r="B3" s="188" t="s">
        <v>1602</v>
      </c>
    </row>
    <row r="4" spans="1:4" x14ac:dyDescent="0.2">
      <c r="B4" t="s">
        <v>61</v>
      </c>
      <c r="C4" s="179">
        <f>IF('DOE25'!F665+'DOE25'!F670=0,0,ROUND('DOE25'!F672,0))</f>
        <v>16362</v>
      </c>
    </row>
    <row r="5" spans="1:4" x14ac:dyDescent="0.2">
      <c r="B5" t="s">
        <v>700</v>
      </c>
      <c r="C5" s="179">
        <f>IF('DOE25'!G665+'DOE25'!G670=0,0,ROUND('DOE25'!G672,0))</f>
        <v>17772</v>
      </c>
    </row>
    <row r="6" spans="1:4" x14ac:dyDescent="0.2">
      <c r="B6" t="s">
        <v>62</v>
      </c>
      <c r="C6" s="179">
        <f>IF('DOE25'!H665+'DOE25'!H670=0,0,ROUND('DOE25'!H672,0))</f>
        <v>20652</v>
      </c>
    </row>
    <row r="7" spans="1:4" x14ac:dyDescent="0.2">
      <c r="B7" t="s">
        <v>701</v>
      </c>
      <c r="C7" s="179">
        <f>IF('DOE25'!I665+'DOE25'!I670=0,0,ROUND('DOE25'!I672,0))</f>
        <v>17851</v>
      </c>
    </row>
    <row r="9" spans="1:4" x14ac:dyDescent="0.2">
      <c r="A9" s="187" t="s">
        <v>94</v>
      </c>
      <c r="B9" s="188" t="s">
        <v>1603</v>
      </c>
      <c r="C9" s="181" t="s">
        <v>720</v>
      </c>
      <c r="D9" s="181" t="s">
        <v>721</v>
      </c>
    </row>
    <row r="10" spans="1:4" x14ac:dyDescent="0.2">
      <c r="A10">
        <v>1100</v>
      </c>
      <c r="B10" t="s">
        <v>702</v>
      </c>
      <c r="C10" s="179">
        <f>ROUND('DOE25'!L197+'DOE25'!L215+'DOE25'!L233+'DOE25'!L276+'DOE25'!L295+'DOE25'!L314,0)</f>
        <v>6985136</v>
      </c>
      <c r="D10" s="182">
        <f>ROUND((C10/$C$28)*100,1)</f>
        <v>38.299999999999997</v>
      </c>
    </row>
    <row r="11" spans="1:4" x14ac:dyDescent="0.2">
      <c r="A11">
        <v>1200</v>
      </c>
      <c r="B11" t="s">
        <v>703</v>
      </c>
      <c r="C11" s="179">
        <f>ROUND('DOE25'!L198+'DOE25'!L216+'DOE25'!L234+'DOE25'!L277+'DOE25'!L296+'DOE25'!L315,0)</f>
        <v>3062844</v>
      </c>
      <c r="D11" s="182">
        <f>ROUND((C11/$C$28)*100,1)</f>
        <v>16.8</v>
      </c>
    </row>
    <row r="12" spans="1:4" x14ac:dyDescent="0.2">
      <c r="A12">
        <v>1300</v>
      </c>
      <c r="B12" t="s">
        <v>704</v>
      </c>
      <c r="C12" s="179">
        <f>ROUND('DOE25'!L199+'DOE25'!L217+'DOE25'!L235+'DOE25'!L278+'DOE25'!L297+'DOE25'!L316,0)</f>
        <v>127746</v>
      </c>
      <c r="D12" s="182">
        <f>ROUND((C12/$C$28)*100,1)</f>
        <v>0.7</v>
      </c>
    </row>
    <row r="13" spans="1:4" x14ac:dyDescent="0.2">
      <c r="A13">
        <v>1400</v>
      </c>
      <c r="B13" t="s">
        <v>705</v>
      </c>
      <c r="C13" s="179">
        <f>ROUND('DOE25'!L200+'DOE25'!L218+'DOE25'!L236+'DOE25'!L279+'DOE25'!L298+'DOE25'!L317,0)</f>
        <v>379630</v>
      </c>
      <c r="D13" s="182">
        <f>ROUND((C13/$C$28)*100,1)</f>
        <v>2.1</v>
      </c>
    </row>
    <row r="14" spans="1:4" x14ac:dyDescent="0.2">
      <c r="D14" s="182"/>
    </row>
    <row r="15" spans="1:4" x14ac:dyDescent="0.2">
      <c r="A15">
        <v>2100</v>
      </c>
      <c r="B15" t="s">
        <v>706</v>
      </c>
      <c r="C15" s="179">
        <f>ROUND('DOE25'!L202+'DOE25'!L220+'DOE25'!L238+'DOE25'!L281+'DOE25'!L300+'DOE25'!L319,0)</f>
        <v>1669711</v>
      </c>
      <c r="D15" s="182">
        <f t="shared" ref="D15:D27" si="0">ROUND((C15/$C$28)*100,1)</f>
        <v>9.1999999999999993</v>
      </c>
    </row>
    <row r="16" spans="1:4" x14ac:dyDescent="0.2">
      <c r="A16">
        <v>2200</v>
      </c>
      <c r="B16" t="s">
        <v>707</v>
      </c>
      <c r="C16" s="179">
        <f>ROUND('DOE25'!L203+'DOE25'!L221+'DOE25'!L239+'DOE25'!L282+'DOE25'!L301+'DOE25'!L320,0)</f>
        <v>1221294</v>
      </c>
      <c r="D16" s="182">
        <f t="shared" si="0"/>
        <v>6.7</v>
      </c>
    </row>
    <row r="17" spans="1:4" x14ac:dyDescent="0.2">
      <c r="A17" s="183" t="s">
        <v>723</v>
      </c>
      <c r="B17" t="s">
        <v>738</v>
      </c>
      <c r="C17" s="179">
        <f>ROUND('DOE25'!L204+'DOE25'!L209+'DOE25'!L222+'DOE25'!L227+'DOE25'!L240+'DOE25'!L245+'DOE25'!L283+'DOE25'!L288+'DOE25'!L302+'DOE25'!L307+'DOE25'!L321+'DOE25'!L326,0)</f>
        <v>927229</v>
      </c>
      <c r="D17" s="182">
        <f t="shared" si="0"/>
        <v>5.0999999999999996</v>
      </c>
    </row>
    <row r="18" spans="1:4" x14ac:dyDescent="0.2">
      <c r="A18">
        <v>2400</v>
      </c>
      <c r="B18" t="s">
        <v>711</v>
      </c>
      <c r="C18" s="179">
        <f>ROUND('DOE25'!L205+'DOE25'!L223+'DOE25'!L241+'DOE25'!L284+'DOE25'!L303+'DOE25'!L322,0)</f>
        <v>1147472</v>
      </c>
      <c r="D18" s="182">
        <f t="shared" si="0"/>
        <v>6.3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1699068</v>
      </c>
      <c r="D20" s="182">
        <f t="shared" si="0"/>
        <v>9.3000000000000007</v>
      </c>
    </row>
    <row r="21" spans="1:4" x14ac:dyDescent="0.2">
      <c r="A21">
        <v>2700</v>
      </c>
      <c r="B21" t="s">
        <v>710</v>
      </c>
      <c r="C21" s="179">
        <f>ROUND('DOE25'!L208+'DOE25'!L226+'DOE25'!L244+'DOE25'!L287+'DOE25'!L306+'DOE25'!L325,0)</f>
        <v>640458</v>
      </c>
      <c r="D21" s="182">
        <f t="shared" si="0"/>
        <v>3.5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236097</v>
      </c>
      <c r="D25" s="182">
        <f t="shared" si="0"/>
        <v>1.3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121107.82</v>
      </c>
      <c r="D27" s="182">
        <f t="shared" si="0"/>
        <v>0.7</v>
      </c>
    </row>
    <row r="28" spans="1:4" x14ac:dyDescent="0.2">
      <c r="B28" s="187" t="s">
        <v>719</v>
      </c>
      <c r="C28" s="180">
        <f>SUM(C10:C27)</f>
        <v>18217792.82</v>
      </c>
      <c r="D28" s="184">
        <f>ROUND(SUM(D10:D27),0)</f>
        <v>100</v>
      </c>
    </row>
    <row r="29" spans="1:4" x14ac:dyDescent="0.2">
      <c r="A29">
        <v>4000</v>
      </c>
      <c r="B29" t="s">
        <v>724</v>
      </c>
      <c r="C29" s="179">
        <f>ROUND('DOE25'!L255+'DOE25'!L336+'DOE25'!L374+'DOE25'!L375+'DOE25'!L376+'DOE25'!L377+'DOE25'!L378+'DOE25'!L379+'DOE25'!L380,0)</f>
        <v>1564523</v>
      </c>
    </row>
    <row r="30" spans="1:4" x14ac:dyDescent="0.2">
      <c r="B30" s="187" t="s">
        <v>725</v>
      </c>
      <c r="C30" s="180">
        <f>SUM(C28:C29)</f>
        <v>19782315.82</v>
      </c>
    </row>
    <row r="31" spans="1:4" x14ac:dyDescent="0.2">
      <c r="B31" s="33"/>
      <c r="C31" s="180"/>
    </row>
    <row r="32" spans="1:4" x14ac:dyDescent="0.2">
      <c r="A32">
        <v>5100</v>
      </c>
      <c r="B32" s="33" t="s">
        <v>726</v>
      </c>
      <c r="C32" s="180">
        <f>ROUND('DOE25'!L260+'DOE25'!L341,0)</f>
        <v>665000</v>
      </c>
    </row>
    <row r="34" spans="1:4" x14ac:dyDescent="0.2">
      <c r="A34" s="187" t="s">
        <v>94</v>
      </c>
      <c r="B34" s="188" t="s">
        <v>1604</v>
      </c>
      <c r="C34" s="181" t="s">
        <v>720</v>
      </c>
      <c r="D34" s="181" t="s">
        <v>721</v>
      </c>
    </row>
    <row r="35" spans="1:4" x14ac:dyDescent="0.2">
      <c r="A35">
        <v>1100</v>
      </c>
      <c r="B35" s="185" t="s">
        <v>727</v>
      </c>
      <c r="C35" s="179">
        <f>ROUND('DOE25'!F60+'DOE25'!G60+'DOE25'!H60+'DOE25'!I60+'DOE25'!J60,0)</f>
        <v>12324063</v>
      </c>
      <c r="D35" s="182">
        <f t="shared" ref="D35:D40" si="1">ROUND((C35/$C$41)*100,1)</f>
        <v>65.599999999999994</v>
      </c>
    </row>
    <row r="36" spans="1:4" x14ac:dyDescent="0.2">
      <c r="B36" s="185" t="s">
        <v>739</v>
      </c>
      <c r="C36" s="179">
        <f>SUM('DOE25'!F112:J112)-SUM('DOE25'!G97:G110)+('DOE25'!F174+'DOE25'!F175+'DOE25'!I174+'DOE25'!I175)-C35</f>
        <v>524072.39999999851</v>
      </c>
      <c r="D36" s="182">
        <f t="shared" si="1"/>
        <v>2.8</v>
      </c>
    </row>
    <row r="37" spans="1:4" x14ac:dyDescent="0.2">
      <c r="A37" s="183" t="s">
        <v>835</v>
      </c>
      <c r="B37" s="185" t="s">
        <v>728</v>
      </c>
      <c r="C37" s="179">
        <f>ROUND('DOE25'!F117+'DOE25'!F118,0)</f>
        <v>4753726</v>
      </c>
      <c r="D37" s="182">
        <f t="shared" si="1"/>
        <v>25.3</v>
      </c>
    </row>
    <row r="38" spans="1:4" x14ac:dyDescent="0.2">
      <c r="A38" s="183" t="s">
        <v>734</v>
      </c>
      <c r="B38" s="185" t="s">
        <v>729</v>
      </c>
      <c r="C38" s="179">
        <f>ROUND(SUM('DOE25'!F140:J140)-SUM('DOE25'!F117:F119),0)</f>
        <v>449165</v>
      </c>
      <c r="D38" s="182">
        <f t="shared" si="1"/>
        <v>2.4</v>
      </c>
    </row>
    <row r="39" spans="1:4" x14ac:dyDescent="0.2">
      <c r="A39">
        <v>4000</v>
      </c>
      <c r="B39" s="185" t="s">
        <v>730</v>
      </c>
      <c r="C39" s="179">
        <f>ROUND('DOE25'!F169+'DOE25'!G169+'DOE25'!H169+'DOE25'!I169,0)</f>
        <v>733670</v>
      </c>
      <c r="D39" s="182">
        <f t="shared" si="1"/>
        <v>3.9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18784696.399999999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3" sqref="C13:M13"/>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Epping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v>3</v>
      </c>
      <c r="B4" s="219">
        <v>24</v>
      </c>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t="s">
        <v>1615</v>
      </c>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1616</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t="s">
        <v>1617</v>
      </c>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t="s">
        <v>1618</v>
      </c>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t="s">
        <v>1619</v>
      </c>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t="s">
        <v>1620</v>
      </c>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t="s">
        <v>1621</v>
      </c>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t="s">
        <v>1622</v>
      </c>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2019-08-26T13:53:52Z</cp:lastPrinted>
  <dcterms:created xsi:type="dcterms:W3CDTF">1997-12-04T19:04:30Z</dcterms:created>
  <dcterms:modified xsi:type="dcterms:W3CDTF">2019-11-22T15:48:52Z</dcterms:modified>
</cp:coreProperties>
</file>