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11" i="1" s="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C20" i="10" s="1"/>
  <c r="L243" i="1"/>
  <c r="G15" i="13"/>
  <c r="H15" i="13"/>
  <c r="L208" i="1"/>
  <c r="L226" i="1"/>
  <c r="L244" i="1"/>
  <c r="H662"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90" i="1" s="1"/>
  <c r="L277" i="1"/>
  <c r="L278" i="1"/>
  <c r="L279" i="1"/>
  <c r="L281" i="1"/>
  <c r="L282" i="1"/>
  <c r="L283" i="1"/>
  <c r="L284" i="1"/>
  <c r="L285" i="1"/>
  <c r="E122" i="2" s="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H112" i="1" s="1"/>
  <c r="I111" i="1"/>
  <c r="I112" i="1" s="1"/>
  <c r="J111" i="1"/>
  <c r="F121" i="1"/>
  <c r="F136" i="1"/>
  <c r="G121" i="1"/>
  <c r="G136" i="1"/>
  <c r="H121" i="1"/>
  <c r="H136" i="1"/>
  <c r="I121" i="1"/>
  <c r="I136" i="1"/>
  <c r="J121" i="1"/>
  <c r="J136" i="1"/>
  <c r="F147" i="1"/>
  <c r="F162" i="1"/>
  <c r="F169" i="1" s="1"/>
  <c r="G147" i="1"/>
  <c r="G162" i="1"/>
  <c r="H147" i="1"/>
  <c r="H162" i="1"/>
  <c r="H169" i="1" s="1"/>
  <c r="I147" i="1"/>
  <c r="I162" i="1"/>
  <c r="C11" i="10"/>
  <c r="C12" i="10"/>
  <c r="C13" i="10"/>
  <c r="L250" i="1"/>
  <c r="C113" i="2" s="1"/>
  <c r="L332" i="1"/>
  <c r="L254" i="1"/>
  <c r="L268" i="1"/>
  <c r="C26" i="10" s="1"/>
  <c r="L269" i="1"/>
  <c r="L349" i="1"/>
  <c r="L350" i="1"/>
  <c r="I665" i="1"/>
  <c r="I670" i="1"/>
  <c r="G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K549" i="1" s="1"/>
  <c r="L532" i="1"/>
  <c r="H550" i="1" s="1"/>
  <c r="L533" i="1"/>
  <c r="H551" i="1" s="1"/>
  <c r="H552" i="1" s="1"/>
  <c r="L536" i="1"/>
  <c r="I549" i="1" s="1"/>
  <c r="L537" i="1"/>
  <c r="I550" i="1" s="1"/>
  <c r="L538" i="1"/>
  <c r="I551" i="1" s="1"/>
  <c r="L541" i="1"/>
  <c r="J549" i="1" s="1"/>
  <c r="L542" i="1"/>
  <c r="J550" i="1" s="1"/>
  <c r="L543" i="1"/>
  <c r="J551" i="1" s="1"/>
  <c r="E132" i="2"/>
  <c r="E131" i="2"/>
  <c r="K270" i="1"/>
  <c r="L270" i="1" s="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D18" i="2" s="1"/>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E113" i="2"/>
  <c r="C114" i="2"/>
  <c r="D115" i="2"/>
  <c r="F115" i="2"/>
  <c r="G115"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G624" i="1" s="1"/>
  <c r="I51" i="1"/>
  <c r="I52" i="1" s="1"/>
  <c r="H620" i="1" s="1"/>
  <c r="F177" i="1"/>
  <c r="F192" i="1" s="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G338" i="1" s="1"/>
  <c r="G352" i="1" s="1"/>
  <c r="H328" i="1"/>
  <c r="I328" i="1"/>
  <c r="F337" i="1"/>
  <c r="G337" i="1"/>
  <c r="H337" i="1"/>
  <c r="I337" i="1"/>
  <c r="J337" i="1"/>
  <c r="K337" i="1"/>
  <c r="K338" i="1" s="1"/>
  <c r="K352" i="1" s="1"/>
  <c r="F362" i="1"/>
  <c r="G362" i="1"/>
  <c r="H362" i="1"/>
  <c r="I362" i="1"/>
  <c r="G634" i="1" s="1"/>
  <c r="J362" i="1"/>
  <c r="K362" i="1"/>
  <c r="I368" i="1"/>
  <c r="I369" i="1" s="1"/>
  <c r="H634" i="1" s="1"/>
  <c r="F369" i="1"/>
  <c r="G369" i="1"/>
  <c r="H369" i="1"/>
  <c r="L381" i="1"/>
  <c r="F382" i="1"/>
  <c r="G382" i="1"/>
  <c r="H382" i="1"/>
  <c r="I382" i="1"/>
  <c r="J382" i="1"/>
  <c r="K382" i="1"/>
  <c r="F393" i="1"/>
  <c r="G393" i="1"/>
  <c r="G408" i="1" s="1"/>
  <c r="H645" i="1" s="1"/>
  <c r="H393" i="1"/>
  <c r="I393" i="1"/>
  <c r="F401" i="1"/>
  <c r="G401" i="1"/>
  <c r="H401" i="1"/>
  <c r="I401" i="1"/>
  <c r="F407" i="1"/>
  <c r="G407" i="1"/>
  <c r="H407" i="1"/>
  <c r="I407" i="1"/>
  <c r="F408" i="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H452" i="1"/>
  <c r="F460" i="1"/>
  <c r="G460" i="1"/>
  <c r="G461" i="1" s="1"/>
  <c r="H640" i="1" s="1"/>
  <c r="H460" i="1"/>
  <c r="F461" i="1"/>
  <c r="H639" i="1" s="1"/>
  <c r="H461" i="1"/>
  <c r="F470" i="1"/>
  <c r="G470" i="1"/>
  <c r="H470" i="1"/>
  <c r="I470" i="1"/>
  <c r="J470" i="1"/>
  <c r="F474" i="1"/>
  <c r="G474" i="1"/>
  <c r="H474" i="1"/>
  <c r="H476" i="1" s="1"/>
  <c r="H624" i="1" s="1"/>
  <c r="I474" i="1"/>
  <c r="I476" i="1" s="1"/>
  <c r="H625" i="1" s="1"/>
  <c r="J625" i="1" s="1"/>
  <c r="J474" i="1"/>
  <c r="K495" i="1"/>
  <c r="K496" i="1"/>
  <c r="K497" i="1"/>
  <c r="K498" i="1"/>
  <c r="K499" i="1"/>
  <c r="K501" i="1"/>
  <c r="K502" i="1"/>
  <c r="F517" i="1"/>
  <c r="G517" i="1"/>
  <c r="H517" i="1"/>
  <c r="I517" i="1"/>
  <c r="F524" i="1"/>
  <c r="G524" i="1"/>
  <c r="H524" i="1"/>
  <c r="I524" i="1"/>
  <c r="J524" i="1"/>
  <c r="K524" i="1"/>
  <c r="K545" i="1" s="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0" i="1"/>
  <c r="G622" i="1"/>
  <c r="G623" i="1"/>
  <c r="G625" i="1"/>
  <c r="H627" i="1"/>
  <c r="H628" i="1"/>
  <c r="H629" i="1"/>
  <c r="H630" i="1"/>
  <c r="H631" i="1"/>
  <c r="H632" i="1"/>
  <c r="H633" i="1"/>
  <c r="H635" i="1"/>
  <c r="H636" i="1"/>
  <c r="H637" i="1"/>
  <c r="H638" i="1"/>
  <c r="G641" i="1"/>
  <c r="H641" i="1"/>
  <c r="G643" i="1"/>
  <c r="H643" i="1"/>
  <c r="G644" i="1"/>
  <c r="G645" i="1"/>
  <c r="G650" i="1"/>
  <c r="G651" i="1"/>
  <c r="G652" i="1"/>
  <c r="H652" i="1"/>
  <c r="G653" i="1"/>
  <c r="H653" i="1"/>
  <c r="G654" i="1"/>
  <c r="H654" i="1"/>
  <c r="H655" i="1"/>
  <c r="L256" i="1"/>
  <c r="C91" i="2"/>
  <c r="D31" i="2"/>
  <c r="D50" i="2"/>
  <c r="F18" i="2"/>
  <c r="E103" i="2"/>
  <c r="D91" i="2"/>
  <c r="G62" i="2"/>
  <c r="E78" i="2"/>
  <c r="J641" i="1"/>
  <c r="K605" i="1"/>
  <c r="G648" i="1" s="1"/>
  <c r="J571" i="1"/>
  <c r="L419" i="1"/>
  <c r="I169" i="1"/>
  <c r="J643" i="1"/>
  <c r="G476" i="1"/>
  <c r="H623" i="1" s="1"/>
  <c r="J140" i="1"/>
  <c r="F571" i="1"/>
  <c r="G22" i="2"/>
  <c r="H140" i="1"/>
  <c r="L560" i="1"/>
  <c r="H192" i="1"/>
  <c r="F476" i="1" l="1"/>
  <c r="H622" i="1" s="1"/>
  <c r="J622" i="1" s="1"/>
  <c r="L614" i="1"/>
  <c r="L565" i="1"/>
  <c r="L571" i="1" s="1"/>
  <c r="J545" i="1"/>
  <c r="J552" i="1"/>
  <c r="I552" i="1"/>
  <c r="H545" i="1"/>
  <c r="G552" i="1"/>
  <c r="G545" i="1"/>
  <c r="L529" i="1"/>
  <c r="F552" i="1"/>
  <c r="G164" i="2"/>
  <c r="G156" i="2"/>
  <c r="J112" i="1"/>
  <c r="J193" i="1" s="1"/>
  <c r="G646" i="1" s="1"/>
  <c r="J640" i="1"/>
  <c r="H408" i="1"/>
  <c r="H644" i="1" s="1"/>
  <c r="J644" i="1" s="1"/>
  <c r="J476" i="1"/>
  <c r="H626" i="1" s="1"/>
  <c r="L393" i="1"/>
  <c r="C138" i="2" s="1"/>
  <c r="J645" i="1"/>
  <c r="J655" i="1"/>
  <c r="J651" i="1"/>
  <c r="K598" i="1"/>
  <c r="G647" i="1" s="1"/>
  <c r="J634" i="1"/>
  <c r="J257" i="1"/>
  <c r="F338" i="1"/>
  <c r="F352" i="1" s="1"/>
  <c r="C70" i="2"/>
  <c r="D62" i="2"/>
  <c r="D63" i="2" s="1"/>
  <c r="C119" i="2"/>
  <c r="K257" i="1"/>
  <c r="K271" i="1" s="1"/>
  <c r="F112" i="1"/>
  <c r="C36" i="10" s="1"/>
  <c r="L362" i="1"/>
  <c r="C27" i="10" s="1"/>
  <c r="H647" i="1"/>
  <c r="D15" i="13"/>
  <c r="C15" i="13" s="1"/>
  <c r="D6" i="13"/>
  <c r="C6" i="13" s="1"/>
  <c r="C121" i="2"/>
  <c r="H257" i="1"/>
  <c r="H271" i="1" s="1"/>
  <c r="L328" i="1"/>
  <c r="E118" i="2"/>
  <c r="E128" i="2" s="1"/>
  <c r="F257" i="1"/>
  <c r="F271" i="1" s="1"/>
  <c r="G661" i="1"/>
  <c r="C78" i="2"/>
  <c r="C81" i="2" s="1"/>
  <c r="I257" i="1"/>
  <c r="I271" i="1" s="1"/>
  <c r="F661" i="1"/>
  <c r="C18" i="10"/>
  <c r="L247" i="1"/>
  <c r="H660" i="1" s="1"/>
  <c r="E62" i="2"/>
  <c r="E63" i="2" s="1"/>
  <c r="J624" i="1"/>
  <c r="J623" i="1"/>
  <c r="H52" i="1"/>
  <c r="H619" i="1" s="1"/>
  <c r="C18" i="2"/>
  <c r="J617" i="1"/>
  <c r="J639" i="1"/>
  <c r="K551" i="1"/>
  <c r="I25" i="13"/>
  <c r="K550" i="1"/>
  <c r="J271"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G24" i="14" s="1"/>
  <c r="G4" i="14"/>
  <c r="H4" i="14" s="1"/>
  <c r="I4" i="14" s="1"/>
  <c r="F660" i="1"/>
  <c r="C16" i="13"/>
  <c r="L337" i="1"/>
  <c r="F62" i="2"/>
  <c r="F63" i="2" s="1"/>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I192" i="1"/>
  <c r="E91" i="2"/>
  <c r="D51" i="2"/>
  <c r="J654" i="1"/>
  <c r="J653" i="1"/>
  <c r="F144" i="2"/>
  <c r="F145" i="2" s="1"/>
  <c r="G21" i="2"/>
  <c r="G31" i="2" s="1"/>
  <c r="J32" i="1"/>
  <c r="L434" i="1"/>
  <c r="G638" i="1" s="1"/>
  <c r="J638" i="1" s="1"/>
  <c r="J434" i="1"/>
  <c r="F434" i="1"/>
  <c r="K434" i="1"/>
  <c r="G134" i="2" s="1"/>
  <c r="G144" i="2" s="1"/>
  <c r="G145" i="2" s="1"/>
  <c r="G31" i="13"/>
  <c r="G33" i="13" s="1"/>
  <c r="F104" i="2"/>
  <c r="H193" i="1"/>
  <c r="G629" i="1" s="1"/>
  <c r="J629" i="1" s="1"/>
  <c r="G169" i="1"/>
  <c r="C39" i="10" s="1"/>
  <c r="G140" i="1"/>
  <c r="F140" i="1"/>
  <c r="G63" i="2"/>
  <c r="J618" i="1"/>
  <c r="G42" i="2"/>
  <c r="J51" i="1"/>
  <c r="G16" i="2"/>
  <c r="G18" i="2" s="1"/>
  <c r="J19" i="1"/>
  <c r="G621" i="1" s="1"/>
  <c r="F545" i="1"/>
  <c r="H434" i="1"/>
  <c r="J620" i="1"/>
  <c r="J619" i="1"/>
  <c r="D103" i="2"/>
  <c r="D104" i="2" s="1"/>
  <c r="I140" i="1"/>
  <c r="I193" i="1" s="1"/>
  <c r="G630" i="1" s="1"/>
  <c r="J630" i="1" s="1"/>
  <c r="A22" i="12"/>
  <c r="G50" i="2"/>
  <c r="G51" i="2" s="1"/>
  <c r="H648" i="1"/>
  <c r="J648" i="1" s="1"/>
  <c r="J652" i="1"/>
  <c r="G571" i="1"/>
  <c r="I434" i="1"/>
  <c r="G434" i="1"/>
  <c r="E104" i="2"/>
  <c r="I663" i="1"/>
  <c r="L545" i="1" l="1"/>
  <c r="G104" i="2"/>
  <c r="L408" i="1"/>
  <c r="G637" i="1" s="1"/>
  <c r="J637" i="1" s="1"/>
  <c r="C141" i="2"/>
  <c r="C144" i="2" s="1"/>
  <c r="J647" i="1"/>
  <c r="L338" i="1"/>
  <c r="L352" i="1" s="1"/>
  <c r="G633" i="1" s="1"/>
  <c r="J633" i="1" s="1"/>
  <c r="F664" i="1"/>
  <c r="F672" i="1" s="1"/>
  <c r="C4" i="10" s="1"/>
  <c r="F193" i="1"/>
  <c r="G627" i="1" s="1"/>
  <c r="J627" i="1" s="1"/>
  <c r="G635" i="1"/>
  <c r="J635" i="1" s="1"/>
  <c r="E33" i="13"/>
  <c r="D35" i="13" s="1"/>
  <c r="C128" i="2"/>
  <c r="C63" i="2"/>
  <c r="C104" i="2" s="1"/>
  <c r="I661" i="1"/>
  <c r="H664" i="1"/>
  <c r="H667" i="1" s="1"/>
  <c r="C115" i="2"/>
  <c r="G36" i="14"/>
  <c r="H36" i="14" s="1"/>
  <c r="I36" i="14" s="1"/>
  <c r="E145" i="2"/>
  <c r="L257" i="1"/>
  <c r="L271" i="1" s="1"/>
  <c r="G632" i="1" s="1"/>
  <c r="J632" i="1" s="1"/>
  <c r="F51" i="2"/>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H646" i="1" l="1"/>
  <c r="J646" i="1" s="1"/>
  <c r="F667" i="1"/>
  <c r="C145" i="2"/>
  <c r="H672" i="1"/>
  <c r="C6" i="10" s="1"/>
  <c r="I660" i="1"/>
  <c r="I664" i="1" s="1"/>
  <c r="I672" i="1" s="1"/>
  <c r="C7" i="10" s="1"/>
  <c r="G672" i="1"/>
  <c r="C5"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<sst xmlns="http://schemas.openxmlformats.org/spreadsheetml/2006/main" count="5508" uniqueCount="1613">
  <si>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</si>
  <si>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</si>
  <si>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</si>
  <si>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</si>
  <si>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</si>
  <si>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</si>
  <si>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</si>
  <si>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</si>
  <si>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</si>
  <si>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</si>
  <si>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</si>
  <si>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</si>
  <si>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</si>
  <si>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</si>
  <si>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</si>
  <si>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</si>
  <si>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</si>
  <si>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</si>
  <si>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</si>
  <si>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</si>
  <si>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</si>
  <si>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</si>
  <si>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</si>
  <si>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</si>
  <si>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</si>
  <si>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</si>
  <si>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</si>
  <si>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</si>
  <si>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</si>
  <si>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</si>
  <si>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</si>
  <si>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</si>
  <si>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</si>
  <si>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</si>
  <si>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</si>
  <si>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</si>
  <si>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</si>
  <si>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</si>
  <si>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</si>
  <si>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</si>
  <si>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</si>
  <si>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</si>
  <si>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</si>
  <si>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</si>
  <si>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</si>
  <si>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</si>
  <si>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</si>
  <si>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</si>
  <si>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</si>
  <si>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</si>
  <si>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</si>
  <si>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</si>
  <si>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</si>
  <si>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</si>
  <si>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</si>
  <si>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</si>
  <si>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</si>
  <si>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</si>
  <si>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</si>
  <si>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</si>
  <si>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</si>
  <si>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</si>
  <si>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</si>
  <si>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</si>
  <si>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</si>
  <si>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</si>
  <si>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</si>
  <si>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</si>
  <si>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</si>
  <si>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</si>
  <si>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</si>
  <si>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</si>
  <si>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</si>
  <si>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</si>
  <si>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</si>
  <si>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</si>
  <si>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</si>
  <si>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</si>
  <si>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</si>
  <si>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</si>
  <si>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</si>
  <si>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</si>
  <si>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</si>
  <si>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</si>
  <si>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</si>
  <si>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</si>
  <si>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</si>
  <si>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</si>
  <si>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</si>
  <si>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</si>
  <si>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</si>
  <si>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</si>
  <si>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</si>
  <si>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</si>
  <si>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</si>
  <si>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</si>
  <si>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</si>
  <si>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</si>
  <si>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</si>
  <si>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</si>
  <si>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</si>
  <si>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</si>
  <si>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</si>
  <si>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</si>
  <si>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</si>
  <si>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</si>
  <si>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</si>
  <si>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</si>
  <si>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</si>
  <si>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</si>
  <si>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</si>
  <si>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</si>
  <si>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</si>
  <si>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</si>
  <si>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</si>
  <si>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</si>
  <si>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</si>
  <si>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</si>
  <si>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</si>
  <si>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</si>
  <si>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</si>
  <si>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</si>
  <si>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</si>
  <si>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</si>
  <si>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</si>
  <si>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</si>
  <si>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</si>
  <si>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</si>
  <si>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</si>
  <si>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</si>
  <si>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</si>
  <si>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</si>
  <si>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</si>
  <si>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</si>
  <si>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</si>
  <si>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</si>
  <si>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</si>
  <si>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</si>
  <si>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</si>
  <si>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</si>
  <si>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</si>
  <si>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</si>
  <si>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</si>
  <si>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</si>
  <si>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</si>
  <si>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</si>
  <si>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</si>
  <si>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</si>
  <si>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</si>
  <si>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</si>
  <si>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</si>
  <si>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</si>
  <si>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</si>
  <si>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</si>
  <si>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</si>
  <si>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</si>
  <si>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</si>
  <si>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</si>
  <si>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</si>
  <si>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</si>
  <si>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</si>
  <si>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</si>
  <si>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</si>
  <si>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</si>
  <si>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</si>
  <si>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</si>
  <si>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</si>
  <si>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</si>
  <si>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</si>
  <si>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</si>
  <si>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</si>
  <si>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</si>
  <si>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</si>
  <si>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</si>
  <si>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</si>
  <si>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</si>
  <si>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</si>
  <si>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</si>
  <si>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</si>
  <si>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</si>
  <si>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</si>
  <si>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</si>
  <si>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</si>
  <si>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</si>
  <si>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</si>
  <si>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</si>
  <si>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</si>
  <si>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</si>
  <si>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</si>
  <si>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</si>
  <si>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</si>
  <si>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</si>
  <si>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</si>
  <si>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</si>
  <si>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</si>
  <si>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</si>
  <si>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</si>
  <si>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</si>
  <si>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</si>
  <si>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</si>
  <si>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</si>
  <si>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</si>
  <si>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</si>
  <si>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</si>
  <si>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</si>
  <si>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</si>
  <si>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</si>
  <si>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</si>
  <si>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</si>
  <si>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</si>
  <si>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</si>
  <si>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</si>
  <si>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</si>
  <si>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</si>
  <si>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</si>
  <si>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</si>
  <si>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</si>
  <si>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</si>
  <si>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</si>
  <si>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</si>
  <si>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</si>
  <si>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</si>
  <si>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</si>
  <si>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</si>
  <si>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</si>
  <si>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</si>
  <si>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</si>
  <si>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</si>
  <si>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</si>
  <si>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</si>
  <si>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</si>
  <si>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</si>
  <si>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</si>
  <si>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</si>
  <si>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</si>
  <si>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</si>
  <si>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</si>
  <si>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</si>
  <si>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</si>
  <si>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</si>
  <si>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</si>
  <si>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</si>
  <si>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</si>
  <si>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</si>
  <si>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</si>
  <si>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</si>
  <si>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</si>
  <si>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</si>
  <si>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</si>
  <si>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</si>
  <si>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</si>
  <si>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</si>
  <si>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</si>
  <si>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</si>
  <si>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</si>
  <si>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</si>
  <si>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</si>
  <si>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</si>
  <si>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</si>
  <si>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</si>
  <si>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</si>
  <si>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</si>
  <si>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</si>
  <si>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</si>
  <si>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</si>
  <si>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</si>
  <si>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</si>
  <si>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</si>
  <si>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</si>
  <si>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</si>
  <si>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</si>
  <si>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</si>
  <si>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</si>
  <si>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</si>
  <si>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</si>
  <si>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</si>
  <si>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</si>
  <si>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</si>
  <si>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</si>
  <si>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</si>
  <si>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</si>
  <si>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</si>
  <si>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</si>
  <si>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</si>
  <si>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</si>
  <si>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</si>
  <si>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</si>
  <si>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</si>
  <si>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</si>
  <si>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</si>
  <si>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</si>
  <si>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</si>
  <si>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</si>
  <si>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</si>
  <si>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</si>
  <si>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</si>
  <si>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</si>
  <si>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</si>
  <si>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</si>
  <si>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</si>
  <si>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</si>
  <si>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</si>
  <si>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</si>
  <si>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</si>
  <si>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</si>
  <si>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</si>
  <si>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</si>
  <si>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</si>
  <si>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</si>
  <si>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</si>
  <si>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</si>
  <si>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</si>
  <si>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</si>
  <si>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</si>
  <si>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</si>
  <si>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</si>
  <si>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</si>
  <si>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</si>
  <si>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</si>
  <si>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</si>
  <si>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</si>
  <si>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</si>
  <si>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</si>
  <si>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</si>
  <si>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</si>
  <si>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</si>
  <si>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</si>
  <si>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</si>
  <si>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</si>
  <si>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</si>
  <si>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</si>
  <si>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</si>
  <si>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</si>
  <si>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</si>
  <si>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</si>
  <si>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</si>
  <si>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</si>
  <si>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</si>
  <si>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</si>
  <si>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</si>
  <si>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</si>
  <si>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</si>
  <si>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</si>
  <si>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</si>
  <si>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</si>
  <si>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</si>
  <si>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</si>
  <si>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</si>
  <si>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</si>
  <si>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</si>
  <si>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</si>
  <si>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</si>
  <si>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</si>
  <si>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</si>
  <si>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</si>
  <si>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</si>
  <si>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</si>
  <si>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</si>
  <si>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</si>
  <si>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</si>
  <si>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</si>
  <si>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</si>
  <si>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</si>
  <si>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</si>
  <si>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</si>
  <si>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</si>
  <si>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</si>
  <si>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</si>
  <si>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</si>
  <si>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</si>
  <si>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</si>
  <si>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</si>
  <si>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</si>
  <si>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</si>
  <si>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</si>
  <si>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</si>
  <si>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</si>
  <si>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</si>
  <si>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</si>
  <si>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</si>
  <si>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</si>
  <si>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</si>
  <si>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</si>
  <si>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</si>
  <si>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</si>
  <si>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</si>
  <si>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</si>
  <si>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</si>
  <si>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</si>
  <si>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</si>
  <si>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</si>
  <si>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</si>
  <si>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</si>
  <si>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</si>
  <si>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</si>
  <si>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</si>
  <si>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</si>
  <si>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</si>
  <si>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</si>
  <si>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</si>
  <si>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</si>
  <si>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</si>
  <si>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</si>
  <si>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</si>
  <si>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</si>
  <si>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</si>
  <si>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</si>
  <si>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</si>
  <si>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</si>
  <si>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</si>
  <si>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</si>
  <si>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</si>
  <si>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</si>
  <si>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</si>
  <si>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</si>
  <si>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</si>
  <si>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</si>
  <si>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</si>
  <si>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</si>
  <si>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</si>
  <si>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</si>
  <si>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</si>
  <si>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</si>
  <si>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</si>
  <si>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</si>
  <si>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</si>
  <si>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</si>
  <si>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</si>
  <si>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</si>
  <si>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</si>
  <si>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</si>
  <si>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</si>
  <si>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</si>
  <si>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</si>
  <si>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</si>
  <si>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</si>
  <si>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</si>
  <si>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</si>
  <si>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</si>
  <si>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</si>
  <si>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</si>
  <si>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</si>
  <si>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</si>
  <si>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</si>
  <si>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</si>
  <si>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</si>
  <si>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</si>
  <si>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</si>
  <si>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</si>
  <si>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</si>
  <si>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</si>
  <si>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</si>
  <si>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</si>
  <si>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</si>
  <si>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</si>
  <si>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</si>
  <si>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</si>
  <si>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</si>
  <si>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</si>
  <si>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</si>
  <si>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</si>
  <si>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</si>
  <si>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</si>
  <si>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</si>
  <si>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</si>
  <si>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</si>
  <si>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</si>
  <si>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</si>
  <si>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</si>
  <si>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</si>
  <si>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</si>
  <si>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</si>
  <si>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</si>
  <si>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</si>
  <si>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</si>
  <si>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</si>
  <si>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</si>
  <si>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</si>
  <si>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</si>
  <si>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</si>
  <si>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</si>
  <si>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</si>
  <si>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</si>
  <si>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</si>
  <si>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</si>
  <si>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</si>
  <si>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</si>
  <si>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</si>
  <si>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</si>
  <si>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</si>
  <si>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</si>
  <si>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</si>
  <si>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</si>
  <si>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</si>
  <si>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</si>
  <si>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</si>
  <si>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</si>
  <si>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</si>
  <si>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</si>
  <si>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</si>
  <si>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</si>
  <si>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</si>
  <si>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</si>
  <si>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</si>
  <si>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</si>
  <si>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</si>
  <si>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</si>
  <si>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</si>
  <si>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</si>
  <si>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</si>
  <si>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</si>
  <si>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</si>
  <si>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</si>
  <si>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</si>
  <si>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</si>
  <si>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</si>
  <si>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</si>
  <si>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</si>
  <si>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</si>
  <si>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</si>
  <si>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</si>
  <si>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</si>
  <si>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</si>
  <si>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</si>
  <si>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</si>
  <si>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</si>
  <si>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</si>
  <si>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</si>
  <si>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</si>
  <si>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</si>
  <si>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</si>
  <si>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</si>
  <si>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</si>
  <si>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</si>
  <si>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</si>
  <si>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</si>
  <si>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</si>
  <si>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</si>
  <si>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</si>
  <si>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</si>
  <si>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</si>
  <si>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</si>
  <si>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</si>
  <si>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</si>
  <si>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</si>
  <si>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</si>
  <si>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</si>
  <si>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</si>
  <si>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</si>
  <si>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</si>
  <si>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</si>
  <si>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</si>
  <si>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</si>
  <si>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</si>
  <si>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</si>
  <si>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</si>
  <si>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</si>
  <si>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</si>
  <si>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</si>
  <si>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</si>
  <si>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</si>
  <si>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</si>
  <si>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</si>
  <si>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</si>
  <si>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</si>
  <si>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</si>
  <si>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</si>
  <si>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</si>
  <si>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</si>
  <si>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</si>
  <si>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</si>
  <si>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</si>
  <si>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</si>
  <si>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</si>
  <si>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</si>
  <si>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</si>
  <si>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</si>
  <si>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</si>
  <si>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</si>
  <si>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</si>
  <si>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</si>
  <si>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</si>
  <si>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</si>
  <si>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</si>
  <si>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</si>
  <si>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</si>
  <si>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</si>
  <si>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</si>
  <si>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</si>
  <si>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</si>
  <si>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</si>
  <si>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</si>
  <si>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</si>
  <si>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</si>
  <si>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</si>
  <si>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</si>
  <si>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</si>
  <si>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</si>
  <si>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</si>
  <si>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</si>
  <si>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</si>
  <si>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</si>
  <si>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</si>
  <si>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</si>
  <si>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</si>
  <si>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</si>
  <si>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</si>
  <si>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</si>
  <si>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</si>
  <si>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</si>
  <si>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</si>
  <si>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</si>
  <si>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</si>
  <si>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</si>
  <si>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</si>
  <si>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</si>
  <si>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</si>
  <si>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</si>
  <si>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</si>
  <si>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</si>
  <si>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</si>
  <si>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</si>
  <si>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</si>
  <si>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</si>
  <si>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</si>
  <si>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</si>
  <si>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</si>
  <si>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</si>
  <si>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</si>
  <si>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</si>
  <si>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</si>
  <si>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</si>
  <si>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</si>
  <si>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</si>
  <si>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</si>
  <si>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</si>
  <si>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</si>
  <si>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</si>
  <si>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</si>
  <si>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</si>
  <si>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</si>
  <si>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</si>
  <si>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</si>
  <si>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</si>
  <si>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</si>
  <si>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</si>
  <si>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</si>
  <si>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</si>
  <si>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</si>
  <si>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</si>
  <si>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</si>
  <si>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</si>
  <si>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</si>
  <si>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</si>
  <si>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</si>
  <si>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</si>
  <si>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</si>
  <si>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</si>
  <si>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</si>
  <si>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</si>
  <si>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</si>
  <si>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</si>
  <si>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</si>
  <si>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</si>
  <si>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</si>
  <si>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</si>
  <si>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</si>
  <si>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</si>
  <si>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</si>
  <si>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</si>
  <si>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</si>
  <si>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</si>
  <si>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</si>
  <si>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</si>
  <si>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</si>
  <si>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</si>
  <si>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</si>
  <si>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</si>
  <si>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</si>
  <si>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</si>
  <si>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</si>
  <si>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</si>
  <si>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</si>
  <si>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</si>
  <si>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</si>
  <si>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</si>
  <si>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</si>
  <si>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</si>
  <si>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</si>
  <si>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</si>
  <si>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</si>
  <si>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</si>
  <si>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</si>
  <si>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</si>
  <si>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</si>
  <si>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</si>
  <si>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</si>
  <si>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</si>
  <si>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</si>
  <si>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</si>
  <si>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</si>
  <si>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</si>
  <si>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</si>
  <si>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</si>
  <si>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</si>
  <si>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</si>
  <si>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</si>
  <si>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</si>
  <si>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</si>
  <si>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</si>
  <si>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</si>
  <si>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</si>
  <si>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</si>
  <si>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</si>
  <si>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</si>
  <si>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</si>
  <si>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</si>
  <si>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</si>
  <si>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</si>
  <si>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</si>
  <si>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</si>
  <si>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</si>
  <si>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</si>
  <si>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</si>
  <si>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</si>
  <si>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</si>
  <si>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</si>
  <si>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</si>
  <si>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</si>
  <si>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</si>
  <si>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</si>
  <si>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</si>
  <si>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</si>
  <si>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</si>
  <si>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</si>
  <si>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</si>
  <si>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</si>
  <si>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</si>
  <si>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</si>
  <si>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</si>
  <si>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</si>
  <si>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</si>
  <si>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</si>
  <si>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</si>
  <si>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</si>
  <si>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</si>
  <si>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</si>
  <si>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</si>
  <si>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</si>
  <si>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</si>
  <si>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</si>
  <si>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</si>
  <si>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</si>
  <si>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</si>
  <si>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</si>
  <si>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</si>
  <si>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</si>
  <si>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</si>
  <si>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</si>
  <si>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</si>
  <si>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</si>
  <si>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</si>
  <si>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</si>
  <si>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</si>
  <si>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</si>
  <si>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</si>
  <si>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</si>
  <si>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</si>
  <si>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</si>
  <si>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</si>
  <si>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</si>
  <si>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</si>
  <si>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</si>
  <si>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</si>
  <si>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</si>
  <si>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</si>
  <si>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</si>
  <si>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</si>
  <si>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</si>
  <si>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</si>
  <si>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</si>
  <si>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</si>
  <si>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</si>
  <si>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</si>
  <si>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</si>
  <si>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</si>
  <si>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</si>
  <si>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</si>
  <si>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</si>
  <si>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</si>
  <si>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</si>
  <si>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</si>
  <si>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</si>
  <si>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</si>
  <si>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</si>
  <si>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</si>
  <si>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</si>
  <si>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</si>
  <si>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</si>
  <si>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</si>
  <si>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</si>
  <si>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</si>
  <si>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</si>
  <si>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</si>
  <si>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</si>
  <si>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</si>
  <si>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</si>
  <si>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</si>
  <si>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</si>
  <si>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</si>
  <si>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</si>
  <si>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</si>
  <si>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</si>
  <si>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</si>
  <si>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</si>
  <si>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</si>
  <si>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</si>
  <si>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</si>
  <si>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</si>
  <si>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</si>
  <si>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</si>
  <si>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</si>
  <si>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</si>
  <si>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</si>
  <si>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</si>
  <si>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</si>
  <si>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</si>
  <si>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</si>
  <si>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</si>
  <si>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</si>
  <si>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</si>
  <si>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</si>
  <si>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</si>
  <si>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</si>
  <si>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</si>
  <si>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</si>
  <si>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</si>
  <si>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</si>
  <si>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</si>
  <si>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</si>
  <si>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</si>
  <si>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</si>
  <si>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</si>
  <si>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</si>
  <si>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</si>
  <si>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</si>
  <si>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</si>
  <si>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</si>
  <si>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</si>
  <si>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</si>
  <si>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</si>
  <si>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</si>
  <si>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</si>
  <si>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</si>
  <si>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</si>
  <si>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</si>
  <si>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</si>
  <si>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</si>
  <si>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</si>
  <si>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</si>
  <si>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</si>
  <si>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</si>
  <si>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</si>
  <si>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</si>
  <si>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</si>
  <si>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</si>
  <si>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</si>
  <si>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</si>
  <si>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</si>
  <si>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</si>
  <si>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</si>
  <si>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</si>
  <si>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</si>
  <si>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</si>
  <si>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</si>
  <si>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</si>
  <si>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</si>
  <si>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</si>
  <si>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</si>
  <si>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</si>
  <si>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</si>
  <si>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</si>
  <si>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</si>
  <si>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</si>
  <si>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</si>
  <si>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</si>
  <si>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</si>
  <si>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</si>
  <si>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</si>
  <si>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</si>
  <si>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</si>
  <si>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</si>
  <si>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</si>
  <si>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</si>
  <si>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</si>
  <si>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</si>
  <si>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</si>
  <si>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</si>
  <si>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</si>
  <si>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</si>
  <si>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</si>
  <si>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</si>
  <si>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</si>
  <si>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</si>
  <si>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</si>
  <si>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</si>
  <si>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</si>
  <si>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</si>
  <si>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</si>
  <si>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</si>
  <si>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</si>
  <si>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</si>
  <si>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</si>
  <si>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</si>
  <si>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</si>
  <si>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</si>
  <si>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</si>
  <si>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</si>
  <si>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</si>
  <si>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</si>
  <si>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</si>
  <si>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</si>
  <si>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</si>
  <si>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</si>
  <si>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</si>
  <si>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</si>
  <si>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</si>
  <si>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</si>
  <si>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</si>
  <si>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</si>
  <si>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</si>
  <si>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</si>
  <si>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</si>
  <si>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</si>
  <si>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</si>
  <si>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</si>
  <si>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</si>
  <si>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</si>
  <si>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</si>
  <si>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</si>
  <si>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</si>
  <si>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</si>
  <si>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</si>
  <si>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</si>
  <si>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</si>
  <si>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</si>
  <si>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</si>
  <si>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</si>
  <si>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</si>
  <si>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</si>
  <si>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</si>
  <si>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</si>
  <si>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</si>
  <si>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</si>
  <si>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</si>
  <si>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</si>
  <si>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</si>
  <si>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</si>
  <si>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</si>
  <si>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</si>
  <si>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</si>
  <si>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</si>
  <si>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</si>
  <si>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</si>
  <si>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</si>
  <si>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</si>
  <si>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</si>
  <si>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</si>
  <si>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</si>
  <si>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</si>
  <si>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</si>
  <si>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</si>
  <si>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</si>
  <si>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</si>
  <si>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</si>
  <si>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</si>
  <si>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</si>
  <si>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</si>
  <si>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</si>
  <si>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</si>
  <si>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</si>
  <si>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</si>
  <si>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</si>
  <si>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</si>
  <si>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</si>
  <si>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</si>
  <si>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</si>
  <si>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</si>
  <si>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</si>
  <si>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</si>
  <si>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</si>
  <si>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</si>
  <si>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</si>
  <si>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</si>
  <si>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</si>
  <si>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</si>
  <si>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</si>
  <si>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</si>
  <si>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</si>
  <si>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</si>
  <si>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</si>
  <si>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</si>
  <si>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</si>
  <si>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</si>
  <si>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</si>
  <si>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</si>
  <si>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</si>
  <si>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</si>
  <si>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</si>
  <si>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</si>
  <si>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</si>
  <si>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</si>
  <si>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</si>
  <si>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</si>
  <si>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</si>
  <si>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</si>
  <si>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</si>
  <si>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</si>
  <si>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</si>
  <si>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</si>
  <si>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</si>
  <si>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</si>
  <si>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</si>
  <si>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</si>
  <si>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</si>
  <si>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</si>
  <si>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</si>
  <si>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</si>
  <si>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</si>
  <si>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</si>
  <si>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</si>
  <si>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</si>
  <si>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</si>
  <si>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</si>
  <si>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</si>
  <si>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</si>
  <si>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</si>
  <si>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</si>
  <si>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</si>
  <si>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</si>
  <si>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</si>
  <si>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</si>
  <si>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</si>
  <si>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</si>
  <si>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</si>
  <si>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</si>
  <si>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</si>
  <si>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</si>
  <si>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</si>
  <si>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</si>
  <si>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</si>
  <si>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</si>
  <si>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</si>
  <si>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</si>
  <si>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</si>
  <si>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</si>
  <si>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</si>
  <si>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</si>
  <si>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</si>
  <si>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</si>
  <si>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</si>
  <si>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</si>
  <si>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</si>
  <si>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</si>
  <si>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</si>
  <si>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</si>
  <si>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</si>
  <si>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</si>
  <si>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</si>
  <si>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</si>
  <si>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</si>
  <si>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</si>
  <si>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</si>
  <si>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</si>
  <si>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</si>
  <si>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</si>
  <si>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</si>
  <si>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</si>
  <si>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</si>
  <si>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</si>
  <si>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</si>
  <si>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</si>
  <si>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</si>
  <si>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</si>
  <si>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</si>
  <si>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</si>
  <si>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</si>
  <si>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</si>
  <si>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</si>
  <si>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</si>
  <si>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</si>
  <si>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</si>
  <si>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</si>
  <si>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</si>
  <si>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</si>
  <si>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</si>
  <si>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</si>
  <si>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</si>
  <si>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</si>
  <si>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</si>
  <si>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</si>
  <si>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</si>
  <si>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</si>
  <si>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</si>
  <si>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</si>
  <si>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</si>
  <si>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</si>
  <si>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</si>
  <si>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</si>
  <si>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</si>
  <si>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</si>
  <si>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</si>
  <si>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</si>
  <si>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</si>
  <si>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</si>
  <si>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</si>
  <si>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</si>
  <si>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</si>
  <si>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</si>
  <si>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</si>
  <si>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</si>
  <si>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</si>
  <si>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</si>
  <si>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</si>
  <si>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</si>
  <si>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</si>
  <si>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</si>
  <si>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</si>
  <si>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</si>
  <si>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</si>
  <si>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</si>
  <si>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</si>
  <si>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</si>
  <si>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</si>
  <si>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</si>
  <si>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</si>
  <si>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</si>
  <si>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</si>
  <si>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</si>
  <si>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</si>
  <si>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</si>
  <si>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</si>
  <si>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</si>
  <si>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</si>
  <si>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</si>
  <si>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</si>
  <si>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</si>
  <si>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</si>
  <si>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</si>
  <si>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</si>
  <si>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</si>
  <si>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</si>
  <si>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</si>
  <si>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</si>
  <si>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</si>
  <si>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</si>
  <si>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</si>
  <si>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</si>
  <si>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</si>
  <si>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</si>
  <si>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</si>
  <si>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</si>
  <si>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</si>
  <si>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</si>
  <si>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</si>
  <si>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</si>
  <si>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</si>
  <si>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</si>
  <si>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</si>
  <si>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</si>
  <si>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</si>
  <si>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</si>
  <si>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</si>
  <si>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</si>
  <si>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</si>
  <si>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</si>
  <si>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</si>
  <si>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</si>
  <si>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</si>
  <si>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</si>
  <si>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</si>
  <si>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</si>
  <si>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</si>
  <si>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</si>
  <si>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</si>
  <si>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</si>
  <si>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</si>
  <si>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</si>
  <si>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</si>
  <si>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</si>
  <si>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</si>
  <si>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</si>
  <si>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</si>
  <si>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</si>
  <si>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</si>
  <si>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</si>
  <si>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</si>
  <si>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</si>
  <si>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</si>
  <si>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</si>
  <si>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</si>
  <si>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</si>
  <si>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</si>
  <si>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</si>
  <si>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</si>
  <si>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</si>
  <si>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</si>
  <si>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</si>
  <si>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</si>
  <si>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</si>
  <si>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</si>
  <si>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</si>
  <si>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</si>
  <si>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</si>
  <si>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</si>
  <si>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</si>
  <si>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</si>
  <si>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</si>
  <si>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</si>
  <si>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</si>
  <si>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</si>
  <si>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</si>
  <si>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</si>
  <si>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</si>
  <si>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</si>
  <si>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</si>
  <si>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</si>
  <si>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</si>
  <si>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</si>
  <si>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</si>
  <si>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</si>
  <si>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</si>
  <si>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</si>
  <si>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</si>
  <si>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</si>
  <si>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</si>
  <si>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</si>
  <si>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</si>
  <si>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</si>
  <si>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</si>
  <si>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</si>
  <si>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</si>
  <si>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</si>
  <si>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</si>
  <si>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</si>
  <si>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</si>
  <si>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</si>
  <si>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</si>
  <si>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</si>
  <si>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</si>
  <si>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</si>
  <si>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</si>
  <si>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</si>
  <si>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</si>
  <si>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</si>
  <si>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</si>
  <si>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</si>
  <si>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</si>
  <si>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</si>
  <si>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</si>
  <si>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</si>
  <si>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</si>
  <si>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</si>
  <si>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</si>
  <si>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</si>
  <si>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</si>
  <si>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</si>
  <si>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</si>
  <si>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</si>
  <si>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</si>
  <si>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</si>
  <si>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</si>
  <si>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</si>
  <si>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</si>
  <si>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</si>
  <si>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</si>
  <si>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</si>
  <si>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</si>
  <si>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</si>
  <si>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</si>
  <si>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</si>
  <si>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</si>
  <si>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</si>
  <si>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</si>
  <si>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</si>
  <si>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</si>
  <si>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</si>
  <si>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</si>
  <si>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</si>
  <si>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</si>
  <si>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</si>
  <si>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</si>
  <si>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</si>
  <si>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</si>
  <si>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</si>
  <si>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</si>
  <si>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</si>
  <si>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</si>
  <si>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</si>
  <si>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</si>
  <si>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</si>
  <si>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</si>
  <si>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</si>
  <si>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</si>
  <si>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</si>
  <si>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</si>
  <si>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</si>
  <si>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</si>
  <si>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</si>
  <si>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</si>
  <si>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</si>
  <si>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</si>
  <si>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</si>
  <si>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</si>
  <si>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</si>
  <si>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</si>
  <si>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</si>
  <si>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</si>
  <si>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</si>
  <si>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</si>
  <si>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</si>
  <si>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</si>
  <si>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</si>
  <si>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</si>
  <si>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</si>
  <si>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</si>
  <si>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</si>
  <si>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</si>
  <si>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</si>
  <si>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</si>
  <si>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</si>
  <si>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</si>
  <si>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</si>
  <si>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</si>
  <si>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</si>
  <si>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</si>
  <si>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</si>
  <si>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</si>
  <si>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</si>
  <si>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</si>
  <si>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</si>
  <si>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</si>
  <si>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</si>
  <si>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</si>
  <si>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</si>
  <si>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</si>
  <si>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</si>
  <si>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</si>
  <si>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</si>
  <si>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</si>
  <si>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</si>
  <si>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</si>
  <si>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</si>
  <si>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</si>
  <si>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</si>
  <si>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</si>
  <si>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</si>
  <si>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</si>
  <si>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</si>
  <si>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</si>
  <si>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</si>
  <si>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</si>
  <si>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</si>
  <si>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</si>
  <si>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</si>
  <si>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</si>
  <si>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</si>
  <si>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</si>
  <si>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</si>
  <si>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</si>
  <si>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</si>
  <si>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</si>
  <si>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</si>
  <si>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</si>
  <si>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</si>
  <si>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</si>
  <si>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</si>
  <si>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</si>
  <si>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</si>
  <si>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</si>
  <si>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</si>
  <si>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</si>
  <si>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</si>
  <si>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</si>
  <si>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</si>
  <si>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</si>
  <si>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</si>
  <si>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</si>
  <si>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</si>
  <si>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</si>
  <si>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</si>
  <si>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</si>
  <si>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</si>
  <si>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</si>
  <si>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</si>
  <si>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</si>
  <si>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</si>
  <si>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</si>
  <si>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</si>
  <si>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</si>
  <si>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</si>
  <si>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</si>
  <si>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</si>
  <si>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</si>
  <si>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</si>
  <si>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</si>
  <si>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</si>
  <si>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</si>
  <si>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</si>
  <si>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</si>
  <si>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</si>
  <si>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</si>
  <si>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</si>
  <si>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</si>
  <si>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</si>
  <si>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</si>
  <si>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</si>
  <si>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</si>
  <si>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</si>
  <si>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</si>
  <si>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</si>
  <si>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</si>
  <si>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</si>
  <si>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</si>
  <si>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</si>
  <si>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</si>
  <si>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</si>
  <si>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</si>
  <si>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</si>
  <si>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</si>
  <si>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</si>
  <si>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</si>
  <si>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</si>
  <si>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</si>
  <si>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</si>
  <si>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</si>
  <si>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</si>
  <si>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</si>
  <si>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</si>
  <si>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</si>
  <si>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</si>
  <si>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</si>
  <si>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</si>
  <si>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</si>
  <si>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</si>
  <si>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</si>
  <si>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</si>
  <si>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</si>
  <si>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</si>
  <si>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</si>
  <si>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</si>
  <si>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</si>
  <si>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</si>
  <si>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</si>
  <si>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</si>
  <si>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</si>
  <si>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</si>
  <si>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</si>
  <si>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</si>
  <si>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</si>
  <si>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</si>
  <si>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</si>
  <si>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</si>
  <si>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</si>
  <si>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</si>
  <si>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</si>
  <si>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</si>
  <si>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</si>
  <si>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</si>
  <si>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</si>
  <si>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</si>
  <si>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</si>
  <si>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</si>
  <si>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</si>
  <si>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</si>
  <si>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</si>
  <si>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</si>
  <si>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</si>
  <si>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</si>
  <si>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</si>
  <si>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</si>
  <si>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</si>
  <si>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</si>
  <si>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</si>
  <si>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</si>
  <si>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</si>
  <si>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</si>
  <si>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</si>
  <si>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</si>
  <si>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</si>
  <si>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</si>
  <si>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</si>
  <si>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</si>
  <si>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</si>
  <si>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</si>
  <si>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</si>
  <si>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</si>
  <si>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</si>
  <si>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</si>
  <si>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</si>
  <si>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</si>
  <si>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</si>
  <si>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</si>
  <si>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</si>
  <si>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</si>
  <si>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</si>
  <si>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</si>
  <si>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</si>
  <si>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</si>
  <si>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</si>
  <si>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</si>
  <si>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</si>
  <si>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</si>
  <si>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</si>
  <si>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</si>
  <si>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</si>
  <si>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</si>
  <si>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</si>
  <si>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</si>
  <si>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</si>
  <si>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</si>
  <si>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</si>
  <si>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</si>
  <si>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</si>
  <si>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</si>
  <si>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</si>
  <si>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</si>
  <si>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</si>
  <si>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</si>
  <si>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</si>
  <si>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</si>
  <si>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</si>
  <si>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</si>
  <si>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</si>
  <si>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</si>
  <si>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</si>
  <si>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</si>
  <si>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</si>
  <si>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</si>
  <si>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</si>
  <si>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</si>
  <si>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</si>
  <si>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</si>
  <si>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</si>
  <si>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</si>
  <si>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</si>
  <si>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</si>
  <si>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</si>
  <si>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</si>
  <si>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</si>
  <si>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</si>
  <si>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</si>
  <si>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</si>
  <si>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</si>
  <si>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</si>
  <si>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</si>
  <si>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</si>
  <si>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</si>
  <si>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</si>
  <si>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</si>
  <si>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</si>
  <si>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</si>
  <si>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</si>
  <si>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</si>
  <si>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</si>
  <si>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</si>
  <si>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</si>
  <si>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</si>
  <si>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</si>
  <si>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</si>
  <si>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</si>
  <si>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</si>
  <si>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</si>
  <si>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</si>
  <si>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</si>
  <si>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</si>
  <si>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</si>
  <si>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</si>
  <si>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</si>
  <si>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</si>
  <si>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</si>
  <si>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</si>
  <si>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</si>
  <si>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</si>
  <si>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</si>
  <si>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</si>
  <si>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</si>
  <si>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</si>
  <si>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</si>
  <si>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</si>
  <si>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</si>
  <si>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</si>
  <si>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</si>
  <si>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</si>
  <si>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</si>
  <si>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</si>
  <si>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</si>
  <si>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</si>
  <si>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</si>
  <si>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</si>
  <si>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</si>
  <si>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</si>
  <si>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</si>
  <si>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</si>
  <si>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</si>
  <si>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</si>
  <si>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</si>
  <si>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</si>
  <si>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</si>
  <si>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</si>
  <si>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EXETER REGION COOPERATIVE SCHOOL DISTRICT</t>
  </si>
  <si>
    <t>8/03</t>
  </si>
  <si>
    <t>8/15/23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</si>
</sst>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5"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172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246729.59</v>
      </c>
      <c r="G9" s="18"/>
      <c r="H9" s="18">
        <v>367424.51</v>
      </c>
      <c r="I9" s="18"/>
      <c r="J9" s="67">
        <f>SUM(I439)</f>
        <v>2162300.4300000002</v>
      </c>
      <c r="K9" s="24" t="s">
        <v>288</v>
      </c>
      <c r="L9" s="24" t="s">
        <v>288</v>
      </c>
      <c r="M9" s="8"/>
      <c r="N9" s="266"/>
    </row>
    <row r="10" spans="1:14" s="3" customFormat="1" ht="12.2" customHeight="1" x14ac:dyDescent="0.15">
      <c r="A10" s="1" t="s">
        <v>562</v>
      </c>
      <c r="B10" s="2" t="s">
        <v>289</v>
      </c>
      <c r="C10" s="6">
        <v>2</v>
      </c>
      <c r="D10" s="2" t="s">
        <v>428</v>
      </c>
      <c r="E10" s="6">
        <v>110</v>
      </c>
      <c r="F10" s="18">
        <v>2787662.88</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281694.17</v>
      </c>
      <c r="G12" s="18">
        <v>431508.51</v>
      </c>
      <c r="H12" s="18">
        <v>120699.93</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271639.67999999999</v>
      </c>
      <c r="G13" s="18">
        <v>15592.73</v>
      </c>
      <c r="H13" s="18">
        <v>74567.520000000004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26484.2</v>
      </c>
      <c r="G14" s="18"/>
      <c r="H14" s="18">
        <v>2749.08</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58036.66</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3672247.18</v>
      </c>
      <c r="G19" s="41">
        <f>SUM(G9:G18)</f>
        <v>447101.24</v>
      </c>
      <c r="H19" s="41">
        <f>SUM(H9:H18)</f>
        <v>565441.03999999992</v>
      </c>
      <c r="I19" s="41">
        <f>SUM(I9:I18)</f>
        <v>0</v>
      </c>
      <c r="J19" s="41">
        <f>SUM(J9:J18)</f>
        <v>2162300.4300000002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552208.43999999994</v>
      </c>
      <c r="G22" s="18"/>
      <c r="H22" s="18">
        <v>74567.520000000004</v>
      </c>
      <c r="I22" s="18">
        <v>207126.65</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1007309.36</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87218.98</v>
      </c>
      <c r="G24" s="18">
        <v>6493.01</v>
      </c>
      <c r="H24" s="18">
        <v>800</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18569.68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32759.73</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41688.129999999997</v>
      </c>
      <c r="G31" s="18"/>
      <c r="H31" s="18">
        <v>1905.79</v>
      </c>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1706994.5899999996</v>
      </c>
      <c r="G32" s="41">
        <f>SUM(G22:G31)</f>
        <v>39252.74</v>
      </c>
      <c r="H32" s="41">
        <f>SUM(H22:H31)</f>
        <v>77273.31</v>
      </c>
      <c r="I32" s="41">
        <f>SUM(I22:I31)</f>
        <v>207126.65</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407848.5</v>
      </c>
      <c r="H48" s="18">
        <v>488167.73</v>
      </c>
      <c r="I48" s="18">
        <v>-207126.65</v>
      </c>
      <c r="J48" s="13">
        <f>SUM(I459)</f>
        <v>2162300.4300000002</v>
      </c>
      <c r="K48" s="24" t="s">
        <v>288</v>
      </c>
      <c r="L48" s="24" t="s">
        <v>288</v>
      </c>
      <c r="M48" s="8"/>
      <c r="N48" s="266"/>
    </row>
    <row r="49" spans="1:14" s="3" customFormat="1" ht="12.2" customHeight="1" x14ac:dyDescent="0.15">
      <c r="A49" s="1" t="s">
        <v>859</v>
      </c>
      <c r="B49" s="2" t="s">
        <v>289</v>
      </c>
      <c r="C49" s="6">
        <v>34</v>
      </c>
      <c r="D49" s="2"/>
      <c r="E49" s="6">
        <v>753</v>
      </c>
      <c r="F49" s="18">
        <v>459087.08</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1456165.51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1965252.59</v>
      </c>
      <c r="G51" s="41">
        <f>SUM(G35:G50)</f>
        <v>407848.5</v>
      </c>
      <c r="H51" s="41">
        <f>SUM(H35:H50)</f>
        <v>488167.73</v>
      </c>
      <c r="I51" s="41">
        <f>SUM(I35:I50)</f>
        <v>-207126.65</v>
      </c>
      <c r="J51" s="41">
        <f>SUM(J35:J50)</f>
        <v>2162300.4300000002</v>
      </c>
      <c r="K51" s="45" t="s">
        <v>288</v>
      </c>
      <c r="L51" s="45" t="s">
        <v>288</v>
      </c>
      <c r="N51" s="264"/>
    </row>
    <row r="52" spans="1:14" s="3" customFormat="1" ht="12.2" customHeight="1" thickTop="1" x14ac:dyDescent="0.15">
      <c r="A52" s="38" t="s">
        <v>455</v>
      </c>
      <c r="B52" s="39" t="s">
        <v>289</v>
      </c>
      <c r="C52" s="6">
        <v>37</v>
      </c>
      <c r="D52" s="39" t="s">
        <v>653</v>
      </c>
      <c r="E52" s="39"/>
      <c r="F52" s="41">
        <f>F51+F32</f>
        <v>3672247.1799999997</v>
      </c>
      <c r="G52" s="41">
        <f>G51+G32</f>
        <v>447101.24</v>
      </c>
      <c r="H52" s="41">
        <f>H51+H32</f>
        <v>565441.04</v>
      </c>
      <c r="I52" s="41">
        <f>I51+I32</f>
        <v>0</v>
      </c>
      <c r="J52" s="41">
        <f>J51+J32</f>
        <v>2162300.4300000002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37992470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37992470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81431.75</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925922.28</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1007354.03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114888.48</v>
      </c>
      <c r="G96" s="18">
        <v>1474.02</v>
      </c>
      <c r="H96" s="18"/>
      <c r="I96" s="18"/>
      <c r="J96" s="18">
        <v>16763.12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838787.57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944355.83</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v>53577.91</v>
      </c>
      <c r="H99" s="18">
        <v>9757</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105393.86</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v>474104.6</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121168.84</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140072.23000000001</v>
      </c>
      <c r="G110" s="18">
        <v>13.55</v>
      </c>
      <c r="H110" s="18">
        <v>700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481523.41000000003</v>
      </c>
      <c r="G111" s="41">
        <f>SUM(G96:G110)</f>
        <v>893853.05</v>
      </c>
      <c r="H111" s="41">
        <f>SUM(H96:H110)</f>
        <v>954812.83</v>
      </c>
      <c r="I111" s="41">
        <f>SUM(I96:I110)</f>
        <v>0</v>
      </c>
      <c r="J111" s="41">
        <f>SUM(J96:J110)</f>
        <v>490867.72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39481347.439999998</v>
      </c>
      <c r="G112" s="41">
        <f>G60+G111</f>
        <v>893853.05</v>
      </c>
      <c r="H112" s="41">
        <f>H60+H79+H94+H111</f>
        <v>954812.83</v>
      </c>
      <c r="I112" s="41">
        <f>I60+I111</f>
        <v>0</v>
      </c>
      <c r="J112" s="41">
        <f>J60+J111</f>
        <v>490867.72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6058105.79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6007187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32760.21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12098053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1109820.32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425451.51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1216678.44</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10757.06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67192</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2819142.27</v>
      </c>
      <c r="G136" s="41">
        <f>SUM(G123:G135)</f>
        <v>10757.06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14917195.27</v>
      </c>
      <c r="G140" s="41">
        <f>G121+SUM(G136:G137)</f>
        <v>10757.06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335849.35</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234468.97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332272.87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332272.87</v>
      </c>
      <c r="G162" s="41">
        <f>SUM(G150:G161)</f>
        <v>234468.97</v>
      </c>
      <c r="H162" s="41">
        <f>SUM(H150:H161)</f>
        <v>335849.35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332272.87</v>
      </c>
      <c r="G169" s="41">
        <f>G147+G162+SUM(G163:G168)</f>
        <v>234468.97</v>
      </c>
      <c r="H169" s="41">
        <f>H147+H162+SUM(H163:H168)</f>
        <v>335849.35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54730815.579999991</v>
      </c>
      <c r="G193" s="47">
        <f>G112+G140+G169+G192</f>
        <v>1139079.08</v>
      </c>
      <c r="H193" s="47">
        <f>H112+H140+H169+H192</f>
        <v>1290662.18</v>
      </c>
      <c r="I193" s="47">
        <f>I112+I140+I169+I192</f>
        <v>0</v>
      </c>
      <c r="J193" s="47">
        <f>J112+J140+J192</f>
        <v>540867.72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c r="I197" s="18"/>
      <c r="J197" s="18"/>
      <c r="K197" s="18"/>
      <c r="L197" s="19">
        <f>SUM(F197:K197)</f>
        <v>0</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c r="I204" s="18"/>
      <c r="J204" s="18"/>
      <c r="K204" s="18"/>
      <c r="L204" s="19">
        <f t="shared" si="0"/>
        <v>0</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c r="I208" s="18"/>
      <c r="J208" s="18"/>
      <c r="K208" s="18"/>
      <c r="L208" s="19">
        <f t="shared" si="0"/>
        <v>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0</v>
      </c>
      <c r="I211" s="41">
        <f t="shared" si="1"/>
        <v>0</v>
      </c>
      <c r="J211" s="41">
        <f t="shared" si="1"/>
        <v>0</v>
      </c>
      <c r="K211" s="41">
        <f t="shared" si="1"/>
        <v>0</v>
      </c>
      <c r="L211" s="41">
        <f t="shared" si="1"/>
        <v>0</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6899279.8200000003</v>
      </c>
      <c r="G215" s="18">
        <v>2989750.32</v>
      </c>
      <c r="H215" s="18">
        <v>15109.33</v>
      </c>
      <c r="I215" s="18">
        <v>114769.03</v>
      </c>
      <c r="J215" s="18">
        <v>21298.1</v>
      </c>
      <c r="K215" s="18"/>
      <c r="L215" s="19">
        <f>SUM(F215:K215)</f>
        <v>10040206.6</v>
      </c>
      <c r="M215" s="8"/>
      <c r="N215" s="266"/>
    </row>
    <row r="216" spans="1:14" s="3" customFormat="1" ht="12.2" customHeight="1" x14ac:dyDescent="0.15">
      <c r="A216" s="1" t="s">
        <v>439</v>
      </c>
      <c r="B216" s="2" t="s">
        <v>346</v>
      </c>
      <c r="C216" s="2" t="s">
        <v>291</v>
      </c>
      <c r="D216" s="2" t="s">
        <v>431</v>
      </c>
      <c r="E216" s="6">
        <v>1200</v>
      </c>
      <c r="F216" s="18">
        <v>2339946.2999999998</v>
      </c>
      <c r="G216" s="18">
        <v>1013997.89</v>
      </c>
      <c r="H216" s="18">
        <v>736312.69</v>
      </c>
      <c r="I216" s="18">
        <v>51936.95</v>
      </c>
      <c r="J216" s="18">
        <v>6178.24</v>
      </c>
      <c r="K216" s="18"/>
      <c r="L216" s="19">
        <f>SUM(F216:K216)</f>
        <v>4148372.0700000003</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171377.51</v>
      </c>
      <c r="G218" s="18">
        <v>74265.14</v>
      </c>
      <c r="H218" s="18">
        <v>19276</v>
      </c>
      <c r="I218" s="18">
        <v>15184.26</v>
      </c>
      <c r="J218" s="18"/>
      <c r="K218" s="18"/>
      <c r="L218" s="19">
        <f>SUM(F218:K218)</f>
        <v>280102.91000000003</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1167812.3400000001</v>
      </c>
      <c r="G220" s="18">
        <v>506062.58</v>
      </c>
      <c r="H220" s="18">
        <v>83182.86</v>
      </c>
      <c r="I220" s="18">
        <v>6153.76</v>
      </c>
      <c r="J220" s="18"/>
      <c r="K220" s="18"/>
      <c r="L220" s="19">
        <f t="shared" ref="L220:L226" si="2">SUM(F220:K220)</f>
        <v>1763211.5400000003</v>
      </c>
      <c r="M220" s="8"/>
      <c r="N220" s="266"/>
    </row>
    <row r="221" spans="1:14" s="3" customFormat="1" ht="12.2" customHeight="1" x14ac:dyDescent="0.15">
      <c r="A221" s="1" t="s">
        <v>443</v>
      </c>
      <c r="B221" s="2" t="s">
        <v>346</v>
      </c>
      <c r="C221" s="2" t="s">
        <v>295</v>
      </c>
      <c r="D221" s="2" t="s">
        <v>431</v>
      </c>
      <c r="E221" s="6">
        <v>2200</v>
      </c>
      <c r="F221" s="18">
        <v>469832.25</v>
      </c>
      <c r="G221" s="18">
        <v>203598.22</v>
      </c>
      <c r="H221" s="18">
        <v>90536.4</v>
      </c>
      <c r="I221" s="18">
        <v>153822.42000000001</v>
      </c>
      <c r="J221" s="18">
        <v>100099.05</v>
      </c>
      <c r="K221" s="18">
        <v>2027.5</v>
      </c>
      <c r="L221" s="19">
        <f t="shared" si="2"/>
        <v>1019915.8400000001</v>
      </c>
      <c r="M221" s="8"/>
      <c r="N221" s="266"/>
    </row>
    <row r="222" spans="1:14" s="3" customFormat="1" ht="12.2" customHeight="1" x14ac:dyDescent="0.15">
      <c r="A222" s="1" t="s">
        <v>444</v>
      </c>
      <c r="B222" s="2" t="s">
        <v>346</v>
      </c>
      <c r="C222" s="2" t="s">
        <v>296</v>
      </c>
      <c r="D222" s="2" t="s">
        <v>431</v>
      </c>
      <c r="E222" s="6">
        <v>2300</v>
      </c>
      <c r="F222" s="18">
        <v>6100</v>
      </c>
      <c r="G222" s="18">
        <v>2643.39</v>
      </c>
      <c r="H222" s="18">
        <v>623017.71</v>
      </c>
      <c r="I222" s="18"/>
      <c r="J222" s="18"/>
      <c r="K222" s="18"/>
      <c r="L222" s="19">
        <f t="shared" si="2"/>
        <v>631761.1</v>
      </c>
      <c r="M222" s="8"/>
      <c r="N222" s="266"/>
    </row>
    <row r="223" spans="1:14" s="3" customFormat="1" ht="12.2" customHeight="1" x14ac:dyDescent="0.15">
      <c r="A223" s="1" t="s">
        <v>445</v>
      </c>
      <c r="B223" s="2" t="s">
        <v>346</v>
      </c>
      <c r="C223" s="2" t="s">
        <v>297</v>
      </c>
      <c r="D223" s="2" t="s">
        <v>431</v>
      </c>
      <c r="E223" s="6">
        <v>2400</v>
      </c>
      <c r="F223" s="18">
        <v>647714.06999999995</v>
      </c>
      <c r="G223" s="18">
        <v>280681.96000000002</v>
      </c>
      <c r="H223" s="18">
        <v>68324.88</v>
      </c>
      <c r="I223" s="18">
        <v>10472.77</v>
      </c>
      <c r="J223" s="18">
        <v>7934.67</v>
      </c>
      <c r="K223" s="18">
        <v>3861.46</v>
      </c>
      <c r="L223" s="19">
        <f t="shared" si="2"/>
        <v>1018989.81</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647004.51</v>
      </c>
      <c r="G225" s="18">
        <v>280374.46999999997</v>
      </c>
      <c r="H225" s="18">
        <v>278053.11</v>
      </c>
      <c r="I225" s="18">
        <v>335235.7</v>
      </c>
      <c r="J225" s="18">
        <v>319.95999999999998</v>
      </c>
      <c r="K225" s="18"/>
      <c r="L225" s="19">
        <f t="shared" si="2"/>
        <v>1540987.7499999998</v>
      </c>
      <c r="M225" s="8"/>
      <c r="N225" s="266"/>
    </row>
    <row r="226" spans="1:14" s="3" customFormat="1" ht="12.2" customHeight="1" x14ac:dyDescent="0.15">
      <c r="A226" s="1" t="s">
        <v>448</v>
      </c>
      <c r="B226" s="2" t="s">
        <v>346</v>
      </c>
      <c r="C226" s="2" t="s">
        <v>300</v>
      </c>
      <c r="D226" s="2" t="s">
        <v>431</v>
      </c>
      <c r="E226" s="6">
        <v>2700</v>
      </c>
      <c r="F226" s="18">
        <v>24406.16</v>
      </c>
      <c r="G226" s="18">
        <v>10576.22</v>
      </c>
      <c r="H226" s="18">
        <v>976007.19</v>
      </c>
      <c r="I226" s="18"/>
      <c r="J226" s="18"/>
      <c r="K226" s="18"/>
      <c r="L226" s="19">
        <f t="shared" si="2"/>
        <v>1010989.57</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12373472.960000001</v>
      </c>
      <c r="G229" s="41">
        <f>SUM(G215:G228)</f>
        <v>5361950.1899999985</v>
      </c>
      <c r="H229" s="41">
        <f>SUM(H215:H228)</f>
        <v>2889820.1699999995</v>
      </c>
      <c r="I229" s="41">
        <f>SUM(I215:I228)</f>
        <v>687574.89000000013</v>
      </c>
      <c r="J229" s="41">
        <f>SUM(J215:J228)</f>
        <v>135830.01999999999</v>
      </c>
      <c r="K229" s="41">
        <f t="shared" si="3"/>
        <v>5888.96</v>
      </c>
      <c r="L229" s="41">
        <f t="shared" si="3"/>
        <v>21454537.190000001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7926521.3099999996</v>
      </c>
      <c r="G233" s="18">
        <v>3434897.58</v>
      </c>
      <c r="H233" s="18">
        <v>171085.99</v>
      </c>
      <c r="I233" s="18">
        <v>200970.12</v>
      </c>
      <c r="J233" s="18">
        <v>15652.68</v>
      </c>
      <c r="K233" s="18"/>
      <c r="L233" s="19">
        <f>SUM(F233:K233)</f>
        <v>11749127.68</v>
      </c>
      <c r="M233" s="8"/>
      <c r="N233" s="266"/>
    </row>
    <row r="234" spans="1:14" s="3" customFormat="1" ht="12.2" customHeight="1" x14ac:dyDescent="0.15">
      <c r="A234" s="1" t="s">
        <v>439</v>
      </c>
      <c r="B234" s="2" t="s">
        <v>350</v>
      </c>
      <c r="C234" s="2" t="s">
        <v>291</v>
      </c>
      <c r="D234" s="2" t="s">
        <v>431</v>
      </c>
      <c r="E234" s="6">
        <v>1200</v>
      </c>
      <c r="F234" s="18">
        <v>1991368.93</v>
      </c>
      <c r="G234" s="18">
        <v>882721.41</v>
      </c>
      <c r="H234" s="18">
        <v>1544657.82</v>
      </c>
      <c r="I234" s="18">
        <v>44769.47</v>
      </c>
      <c r="J234" s="18">
        <v>25400.07</v>
      </c>
      <c r="K234" s="18"/>
      <c r="L234" s="19">
        <f>SUM(F234:K234)</f>
        <v>4488917.7</v>
      </c>
      <c r="M234" s="8"/>
      <c r="N234" s="266"/>
    </row>
    <row r="235" spans="1:14" s="3" customFormat="1" ht="12.2" customHeight="1" x14ac:dyDescent="0.15">
      <c r="A235" s="1" t="s">
        <v>440</v>
      </c>
      <c r="B235" s="2" t="s">
        <v>350</v>
      </c>
      <c r="C235" s="2" t="s">
        <v>292</v>
      </c>
      <c r="D235" s="2" t="s">
        <v>431</v>
      </c>
      <c r="E235" s="6">
        <v>1300</v>
      </c>
      <c r="F235" s="18">
        <v>1720055.26</v>
      </c>
      <c r="G235" s="18">
        <v>751572.84</v>
      </c>
      <c r="H235" s="18">
        <v>41955.14</v>
      </c>
      <c r="I235" s="18">
        <v>103017.42</v>
      </c>
      <c r="J235" s="18">
        <v>19350.13</v>
      </c>
      <c r="K235" s="18">
        <v>3944</v>
      </c>
      <c r="L235" s="19">
        <f>SUM(F235:K235)</f>
        <v>2639894.79</v>
      </c>
      <c r="M235" s="8"/>
      <c r="N235" s="266"/>
    </row>
    <row r="236" spans="1:14" s="3" customFormat="1" ht="12.2" customHeight="1" x14ac:dyDescent="0.15">
      <c r="A236" s="1" t="s">
        <v>441</v>
      </c>
      <c r="B236" s="2" t="s">
        <v>350</v>
      </c>
      <c r="C236" s="2" t="s">
        <v>293</v>
      </c>
      <c r="D236" s="2" t="s">
        <v>431</v>
      </c>
      <c r="E236" s="6">
        <v>1400</v>
      </c>
      <c r="F236" s="18">
        <v>516662.25</v>
      </c>
      <c r="G236" s="18">
        <v>223891.65</v>
      </c>
      <c r="H236" s="18">
        <v>56149.87</v>
      </c>
      <c r="I236" s="18">
        <v>56420.800000000003</v>
      </c>
      <c r="J236" s="18">
        <v>2280.25</v>
      </c>
      <c r="K236" s="18">
        <v>9702.5</v>
      </c>
      <c r="L236" s="19">
        <f>SUM(F236:K236)</f>
        <v>865107.32000000007</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1712188.2</v>
      </c>
      <c r="G238" s="18">
        <v>741963.71</v>
      </c>
      <c r="H238" s="18">
        <v>108674.9</v>
      </c>
      <c r="I238" s="18">
        <v>18622.73</v>
      </c>
      <c r="J238" s="18">
        <v>1484</v>
      </c>
      <c r="K238" s="18"/>
      <c r="L238" s="19">
        <f t="shared" ref="L238:L244" si="4">SUM(F238:K238)</f>
        <v>2582933.54</v>
      </c>
      <c r="M238" s="8"/>
      <c r="N238" s="266"/>
    </row>
    <row r="239" spans="1:14" s="3" customFormat="1" ht="12.2" customHeight="1" x14ac:dyDescent="0.15">
      <c r="A239" s="1" t="s">
        <v>443</v>
      </c>
      <c r="B239" s="2" t="s">
        <v>350</v>
      </c>
      <c r="C239" s="2" t="s">
        <v>295</v>
      </c>
      <c r="D239" s="2" t="s">
        <v>431</v>
      </c>
      <c r="E239" s="6">
        <v>2200</v>
      </c>
      <c r="F239" s="18">
        <v>573347.28</v>
      </c>
      <c r="G239" s="18">
        <v>248455.67</v>
      </c>
      <c r="H239" s="18">
        <v>142500.6</v>
      </c>
      <c r="I239" s="18">
        <v>169996.13</v>
      </c>
      <c r="J239" s="18">
        <v>258736.57</v>
      </c>
      <c r="K239" s="18">
        <v>2027.5</v>
      </c>
      <c r="L239" s="19">
        <f t="shared" si="4"/>
        <v>1395063.7500000002</v>
      </c>
      <c r="M239" s="8"/>
      <c r="N239" s="266"/>
    </row>
    <row r="240" spans="1:14" s="3" customFormat="1" ht="12.2" customHeight="1" x14ac:dyDescent="0.15">
      <c r="A240" s="1" t="s">
        <v>444</v>
      </c>
      <c r="B240" s="2" t="s">
        <v>350</v>
      </c>
      <c r="C240" s="2" t="s">
        <v>296</v>
      </c>
      <c r="D240" s="2" t="s">
        <v>431</v>
      </c>
      <c r="E240" s="6">
        <v>2300</v>
      </c>
      <c r="F240" s="18">
        <v>43417</v>
      </c>
      <c r="G240" s="18">
        <v>18814.43</v>
      </c>
      <c r="H240" s="18">
        <v>616766.6</v>
      </c>
      <c r="I240" s="18">
        <v>996.47</v>
      </c>
      <c r="J240" s="18"/>
      <c r="K240" s="18"/>
      <c r="L240" s="19">
        <f t="shared" si="4"/>
        <v>679994.5</v>
      </c>
      <c r="M240" s="8"/>
      <c r="N240" s="266"/>
    </row>
    <row r="241" spans="1:14" s="3" customFormat="1" ht="12.2" customHeight="1" x14ac:dyDescent="0.15">
      <c r="A241" s="1" t="s">
        <v>445</v>
      </c>
      <c r="B241" s="2" t="s">
        <v>350</v>
      </c>
      <c r="C241" s="2" t="s">
        <v>297</v>
      </c>
      <c r="D241" s="2" t="s">
        <v>431</v>
      </c>
      <c r="E241" s="6">
        <v>2400</v>
      </c>
      <c r="F241" s="18">
        <v>785936.09</v>
      </c>
      <c r="G241" s="18">
        <v>340579.41</v>
      </c>
      <c r="H241" s="18">
        <v>78604.84</v>
      </c>
      <c r="I241" s="18">
        <v>60993.66</v>
      </c>
      <c r="J241" s="18"/>
      <c r="K241" s="18">
        <v>9755</v>
      </c>
      <c r="L241" s="19">
        <f t="shared" si="4"/>
        <v>1275869</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1196228.48</v>
      </c>
      <c r="G243" s="18">
        <v>518376.49</v>
      </c>
      <c r="H243" s="18">
        <v>904005.51</v>
      </c>
      <c r="I243" s="18">
        <v>1207997.25</v>
      </c>
      <c r="J243" s="18">
        <v>7088.99</v>
      </c>
      <c r="K243" s="18"/>
      <c r="L243" s="19">
        <f t="shared" si="4"/>
        <v>3833696.72</v>
      </c>
      <c r="M243" s="8"/>
      <c r="N243" s="266"/>
    </row>
    <row r="244" spans="1:14" s="3" customFormat="1" ht="12.2" customHeight="1" x14ac:dyDescent="0.15">
      <c r="A244" s="1" t="s">
        <v>448</v>
      </c>
      <c r="B244" s="2" t="s">
        <v>350</v>
      </c>
      <c r="C244" s="2" t="s">
        <v>300</v>
      </c>
      <c r="D244" s="2" t="s">
        <v>431</v>
      </c>
      <c r="E244" s="6">
        <v>2700</v>
      </c>
      <c r="F244" s="18">
        <v>24406.15</v>
      </c>
      <c r="G244" s="18">
        <v>10576.22</v>
      </c>
      <c r="H244" s="18">
        <v>1476866.29</v>
      </c>
      <c r="I244" s="18"/>
      <c r="J244" s="18"/>
      <c r="K244" s="18"/>
      <c r="L244" s="19">
        <f t="shared" si="4"/>
        <v>1511848.6600000001</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16490130.949999999</v>
      </c>
      <c r="G247" s="41">
        <f t="shared" si="5"/>
        <v>7171849.4100000001</v>
      </c>
      <c r="H247" s="41">
        <f t="shared" si="5"/>
        <v>5141267.5599999996</v>
      </c>
      <c r="I247" s="41">
        <f t="shared" si="5"/>
        <v>1863784.0499999998</v>
      </c>
      <c r="J247" s="41">
        <f t="shared" si="5"/>
        <v>329992.69</v>
      </c>
      <c r="K247" s="41">
        <f t="shared" si="5"/>
        <v>25429</v>
      </c>
      <c r="L247" s="41">
        <f t="shared" si="5"/>
        <v>31022453.659999996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v>110745.04</v>
      </c>
      <c r="G251" s="18">
        <v>47990.52</v>
      </c>
      <c r="H251" s="18"/>
      <c r="I251" s="18">
        <v>17324.86</v>
      </c>
      <c r="J251" s="18"/>
      <c r="K251" s="18"/>
      <c r="L251" s="19">
        <f t="shared" si="6"/>
        <v>176060.41999999998</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110745.04</v>
      </c>
      <c r="G256" s="41">
        <f t="shared" si="7"/>
        <v>47990.52</v>
      </c>
      <c r="H256" s="41">
        <f t="shared" si="7"/>
        <v>0</v>
      </c>
      <c r="I256" s="41">
        <f t="shared" si="7"/>
        <v>17324.86</v>
      </c>
      <c r="J256" s="41">
        <f t="shared" si="7"/>
        <v>0</v>
      </c>
      <c r="K256" s="41">
        <f t="shared" si="7"/>
        <v>0</v>
      </c>
      <c r="L256" s="41">
        <f>SUM(F256:K256)</f>
        <v>176060.41999999998</v>
      </c>
      <c r="M256" s="8"/>
      <c r="N256" s="266"/>
    </row>
    <row r="257" spans="1:14" s="3" customFormat="1" ht="12.2" customHeight="1" thickTop="1" x14ac:dyDescent="0.15">
      <c r="A257" s="38" t="s">
        <v>462</v>
      </c>
      <c r="B257" s="40">
        <v>10</v>
      </c>
      <c r="C257" s="40">
        <v>8</v>
      </c>
      <c r="D257" s="39" t="s">
        <v>431</v>
      </c>
      <c r="E257" s="40"/>
      <c r="F257" s="41">
        <f t="shared" ref="F257:L257" si="8">F211+F229+F247+F256</f>
        <v>28974348.949999999</v>
      </c>
      <c r="G257" s="41">
        <f t="shared" si="8"/>
        <v>12581790.119999997</v>
      </c>
      <c r="H257" s="41">
        <f t="shared" si="8"/>
        <v>8031087.7299999986</v>
      </c>
      <c r="I257" s="41">
        <f t="shared" si="8"/>
        <v>2568683.7999999998</v>
      </c>
      <c r="J257" s="41">
        <f t="shared" si="8"/>
        <v>465822.70999999996</v>
      </c>
      <c r="K257" s="41">
        <f t="shared" si="8"/>
        <v>31317.96</v>
      </c>
      <c r="L257" s="41">
        <f t="shared" si="8"/>
        <v>52653051.269999996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1647785.06</v>
      </c>
      <c r="L260" s="19">
        <f>SUM(F260:K260)</f>
        <v>1647785.06</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1524258.19</v>
      </c>
      <c r="L261" s="19">
        <f>SUM(F261:K261)</f>
        <v>1524258.19</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280000</v>
      </c>
      <c r="L268" s="19">
        <f t="shared" si="9"/>
        <v>280000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3502043.25</v>
      </c>
      <c r="L270" s="41">
        <f t="shared" si="9"/>
        <v>3502043.25</v>
      </c>
      <c r="N270" s="264"/>
    </row>
    <row r="271" spans="1:14" s="3" customFormat="1" ht="12.2" customHeight="1" thickTop="1" x14ac:dyDescent="0.2">
      <c r="A271" s="43" t="s">
        <v>464</v>
      </c>
      <c r="B271" s="40">
        <v>10</v>
      </c>
      <c r="C271" s="40">
        <v>18</v>
      </c>
      <c r="D271" s="39" t="s">
        <v>431</v>
      </c>
      <c r="E271" s="40"/>
      <c r="F271" s="42">
        <f t="shared" ref="F271:L271" si="11">F257+F270</f>
        <v>28974348.949999999</v>
      </c>
      <c r="G271" s="42">
        <f t="shared" si="11"/>
        <v>12581790.119999997</v>
      </c>
      <c r="H271" s="42">
        <f t="shared" si="11"/>
        <v>8031087.7299999986</v>
      </c>
      <c r="I271" s="42">
        <f t="shared" si="11"/>
        <v>2568683.7999999998</v>
      </c>
      <c r="J271" s="42">
        <f t="shared" si="11"/>
        <v>465822.70999999996</v>
      </c>
      <c r="K271" s="42">
        <f t="shared" si="11"/>
        <v>3533361.21</v>
      </c>
      <c r="L271" s="42">
        <f t="shared" si="11"/>
        <v>56155094.519999996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v>319036.48</v>
      </c>
      <c r="L300" s="19">
        <f t="shared" ref="L300:L306" si="14">SUM(F300:K300)</f>
        <v>319036.48</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319036.48</v>
      </c>
      <c r="L309" s="41">
        <f t="shared" si="15"/>
        <v>319036.48</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v>3375</v>
      </c>
      <c r="G316" s="18">
        <v>844.09</v>
      </c>
      <c r="H316" s="18"/>
      <c r="I316" s="18">
        <v>115404.52</v>
      </c>
      <c r="J316" s="18"/>
      <c r="K316" s="18"/>
      <c r="L316" s="19">
        <f>SUM(F316:K316)</f>
        <v>119623.61</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v>6968.12</v>
      </c>
      <c r="J319" s="18"/>
      <c r="K319" s="18">
        <v>500892.47</v>
      </c>
      <c r="L319" s="19">
        <f t="shared" ref="L319:L325" si="16">SUM(F319:K319)</f>
        <v>507860.58999999997</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3375</v>
      </c>
      <c r="G328" s="42">
        <f t="shared" si="17"/>
        <v>844.09</v>
      </c>
      <c r="H328" s="42">
        <f t="shared" si="17"/>
        <v>0</v>
      </c>
      <c r="I328" s="42">
        <f t="shared" si="17"/>
        <v>122372.64</v>
      </c>
      <c r="J328" s="42">
        <f t="shared" si="17"/>
        <v>0</v>
      </c>
      <c r="K328" s="42">
        <f t="shared" si="17"/>
        <v>500892.47</v>
      </c>
      <c r="L328" s="41">
        <f t="shared" si="17"/>
        <v>627484.19999999995</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v>250593.5</v>
      </c>
      <c r="G333" s="18">
        <v>47075.78</v>
      </c>
      <c r="H333" s="18">
        <v>14022.64</v>
      </c>
      <c r="I333" s="18">
        <v>16195.94</v>
      </c>
      <c r="J333" s="18">
        <v>4045.15</v>
      </c>
      <c r="K333" s="18">
        <v>5288.94</v>
      </c>
      <c r="L333" s="19">
        <f t="shared" si="18"/>
        <v>337221.95000000007</v>
      </c>
      <c r="M333" s="8"/>
      <c r="N333" s="266"/>
    </row>
    <row r="334" spans="1:14" s="3" customFormat="1" ht="12.2" customHeight="1" x14ac:dyDescent="0.15">
      <c r="A334" s="1" t="s">
        <v>582</v>
      </c>
      <c r="B334" s="6">
        <v>14</v>
      </c>
      <c r="C334" s="2" t="s">
        <v>315</v>
      </c>
      <c r="D334" s="2" t="s">
        <v>431</v>
      </c>
      <c r="E334" s="6">
        <v>1700</v>
      </c>
      <c r="F334" s="18">
        <v>0</v>
      </c>
      <c r="G334" s="18">
        <v>0</v>
      </c>
      <c r="H334" s="18">
        <v>3535.04</v>
      </c>
      <c r="I334" s="18">
        <v>3341.5</v>
      </c>
      <c r="J334" s="18">
        <v>29747.38</v>
      </c>
      <c r="K334" s="18"/>
      <c r="L334" s="19">
        <f t="shared" si="18"/>
        <v>36623.919999999998</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250593.5</v>
      </c>
      <c r="G337" s="41">
        <f t="shared" si="19"/>
        <v>47075.78</v>
      </c>
      <c r="H337" s="41">
        <f t="shared" si="19"/>
        <v>17557.68</v>
      </c>
      <c r="I337" s="41">
        <f t="shared" si="19"/>
        <v>19537.440000000002</v>
      </c>
      <c r="J337" s="41">
        <f t="shared" si="19"/>
        <v>33792.53</v>
      </c>
      <c r="K337" s="41">
        <f t="shared" si="19"/>
        <v>5288.94</v>
      </c>
      <c r="L337" s="41">
        <f t="shared" si="18"/>
        <v>373845.87000000005</v>
      </c>
      <c r="M337" s="8"/>
      <c r="N337" s="266"/>
    </row>
    <row r="338" spans="1:43" s="3" customFormat="1" ht="12.2" customHeight="1" thickTop="1" x14ac:dyDescent="0.15">
      <c r="A338" s="38" t="s">
        <v>468</v>
      </c>
      <c r="B338" s="40">
        <v>14</v>
      </c>
      <c r="C338" s="40">
        <v>7</v>
      </c>
      <c r="D338" s="39" t="s">
        <v>431</v>
      </c>
      <c r="E338" s="40"/>
      <c r="F338" s="41">
        <f t="shared" ref="F338:L338" si="20">F290+F309+F328+F337</f>
        <v>253968.5</v>
      </c>
      <c r="G338" s="41">
        <f t="shared" si="20"/>
        <v>47919.869999999995</v>
      </c>
      <c r="H338" s="41">
        <f t="shared" si="20"/>
        <v>17557.68</v>
      </c>
      <c r="I338" s="41">
        <f t="shared" si="20"/>
        <v>141910.08000000002</v>
      </c>
      <c r="J338" s="41">
        <f t="shared" si="20"/>
        <v>33792.53</v>
      </c>
      <c r="K338" s="41">
        <f t="shared" si="20"/>
        <v>825217.8899999999</v>
      </c>
      <c r="L338" s="41">
        <f t="shared" si="20"/>
        <v>1320366.55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253968.5</v>
      </c>
      <c r="G352" s="41">
        <f>G338</f>
        <v>47919.869999999995</v>
      </c>
      <c r="H352" s="41">
        <f>H338</f>
        <v>17557.68</v>
      </c>
      <c r="I352" s="41">
        <f>I338</f>
        <v>141910.08000000002</v>
      </c>
      <c r="J352" s="41">
        <f>J338</f>
        <v>33792.53</v>
      </c>
      <c r="K352" s="47">
        <f>K338+K351</f>
        <v>825217.8899999999</v>
      </c>
      <c r="L352" s="41">
        <f>L338+L351</f>
        <v>1320366.55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v>119748.82</v>
      </c>
      <c r="G359" s="18">
        <v>35438.15</v>
      </c>
      <c r="H359" s="18">
        <v>9499.33</v>
      </c>
      <c r="I359" s="18">
        <v>175527.67</v>
      </c>
      <c r="J359" s="18">
        <v>80788.009999999995</v>
      </c>
      <c r="K359" s="18">
        <v>427.67</v>
      </c>
      <c r="L359" s="19">
        <f>SUM(F359:K359)</f>
        <v>421429.64999999997</v>
      </c>
      <c r="M359" s="8"/>
      <c r="N359" s="266"/>
    </row>
    <row r="360" spans="1:22" s="3" customFormat="1" ht="12.2" customHeight="1" x14ac:dyDescent="0.15">
      <c r="A360" s="3" t="s">
        <v>543</v>
      </c>
      <c r="B360" s="2" t="s">
        <v>366</v>
      </c>
      <c r="C360" s="6">
        <v>3</v>
      </c>
      <c r="D360" s="2" t="s">
        <v>431</v>
      </c>
      <c r="E360" s="6"/>
      <c r="F360" s="18">
        <v>246146.16</v>
      </c>
      <c r="G360" s="18">
        <v>42796.78</v>
      </c>
      <c r="H360" s="18">
        <v>31151.34</v>
      </c>
      <c r="I360" s="18">
        <v>314453.89</v>
      </c>
      <c r="J360" s="18">
        <v>27350.080000000002</v>
      </c>
      <c r="K360" s="18">
        <v>2018.4</v>
      </c>
      <c r="L360" s="19">
        <f>SUM(F360:K360)</f>
        <v>663916.65</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365894.98</v>
      </c>
      <c r="G362" s="47">
        <f t="shared" si="22"/>
        <v>78234.929999999993</v>
      </c>
      <c r="H362" s="47">
        <f t="shared" si="22"/>
        <v>40650.67</v>
      </c>
      <c r="I362" s="47">
        <f t="shared" si="22"/>
        <v>489981.56000000006</v>
      </c>
      <c r="J362" s="47">
        <f t="shared" si="22"/>
        <v>108138.09</v>
      </c>
      <c r="K362" s="47">
        <f t="shared" si="22"/>
        <v>2446.0700000000002</v>
      </c>
      <c r="L362" s="47">
        <f t="shared" si="22"/>
        <v>1085346.3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v>161377.43</v>
      </c>
      <c r="H367" s="18">
        <v>285361.59000000003</v>
      </c>
      <c r="I367" s="56">
        <f>SUM(F367:H367)</f>
        <v>446739.02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v>14150.24</v>
      </c>
      <c r="H368" s="63">
        <v>29092.3</v>
      </c>
      <c r="I368" s="56">
        <f>SUM(F368:H368)</f>
        <v>43242.54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175527.66999999998</v>
      </c>
      <c r="H369" s="47">
        <f>SUM(H367:H368)</f>
        <v>314453.89</v>
      </c>
      <c r="I369" s="47">
        <f>SUM(I367:I368)</f>
        <v>489981.56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207126.65</v>
      </c>
      <c r="I376" s="18"/>
      <c r="J376" s="18"/>
      <c r="K376" s="18"/>
      <c r="L376" s="13">
        <f t="shared" si="23"/>
        <v>207126.65</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207126.65</v>
      </c>
      <c r="I382" s="41">
        <f t="shared" si="24"/>
        <v>0</v>
      </c>
      <c r="J382" s="47">
        <f t="shared" si="24"/>
        <v>0</v>
      </c>
      <c r="K382" s="47">
        <f t="shared" si="24"/>
        <v>0</v>
      </c>
      <c r="L382" s="47">
        <f t="shared" si="24"/>
        <v>207126.65</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v>4115.32</v>
      </c>
      <c r="I388" s="18"/>
      <c r="J388" s="24" t="s">
        <v>288</v>
      </c>
      <c r="K388" s="24" t="s">
        <v>288</v>
      </c>
      <c r="L388" s="56">
        <f t="shared" si="25"/>
        <v>4115.32</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v>50000</v>
      </c>
      <c r="H391" s="18">
        <v>1627.99</v>
      </c>
      <c r="I391" s="18"/>
      <c r="J391" s="24" t="s">
        <v>288</v>
      </c>
      <c r="K391" s="24" t="s">
        <v>288</v>
      </c>
      <c r="L391" s="56">
        <f t="shared" si="25"/>
        <v>51627.99</v>
      </c>
      <c r="M391" s="8"/>
      <c r="N391" s="266"/>
    </row>
    <row r="392" spans="1:14" s="3" customFormat="1" ht="12.2" customHeight="1" thickBot="1" x14ac:dyDescent="0.2">
      <c r="A392" s="79" t="s">
        <v>555</v>
      </c>
      <c r="B392" s="2" t="s">
        <v>381</v>
      </c>
      <c r="C392" s="6">
        <v>6</v>
      </c>
      <c r="D392" s="2" t="s">
        <v>432</v>
      </c>
      <c r="E392" s="6"/>
      <c r="F392" s="18"/>
      <c r="G392" s="18"/>
      <c r="H392" s="18">
        <v>466.04</v>
      </c>
      <c r="I392" s="18">
        <v>474104.6</v>
      </c>
      <c r="J392" s="24" t="s">
        <v>288</v>
      </c>
      <c r="K392" s="24" t="s">
        <v>288</v>
      </c>
      <c r="L392" s="56">
        <f t="shared" si="25"/>
        <v>474570.63999999996</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50000</v>
      </c>
      <c r="H393" s="139">
        <f>SUM(H387:H392)</f>
        <v>6209.3499999999995</v>
      </c>
      <c r="I393" s="65">
        <f>SUM(I387:I392)</f>
        <v>474104.6</v>
      </c>
      <c r="J393" s="45" t="s">
        <v>288</v>
      </c>
      <c r="K393" s="45" t="s">
        <v>288</v>
      </c>
      <c r="L393" s="47">
        <f>SUM(L387:L392)</f>
        <v>530313.94999999995</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5257.5</v>
      </c>
      <c r="I396" s="18"/>
      <c r="J396" s="24" t="s">
        <v>288</v>
      </c>
      <c r="K396" s="24" t="s">
        <v>288</v>
      </c>
      <c r="L396" s="56">
        <f t="shared" si="26"/>
        <v>5257.5</v>
      </c>
      <c r="M396" s="8"/>
      <c r="N396" s="266"/>
    </row>
    <row r="397" spans="1:14" s="3" customFormat="1" ht="12.2" customHeight="1" x14ac:dyDescent="0.15">
      <c r="A397" s="79" t="s">
        <v>515</v>
      </c>
      <c r="B397" s="2" t="s">
        <v>381</v>
      </c>
      <c r="C397" s="6">
        <v>10</v>
      </c>
      <c r="D397" s="2" t="s">
        <v>432</v>
      </c>
      <c r="E397" s="6"/>
      <c r="F397" s="18"/>
      <c r="G397" s="18"/>
      <c r="H397" s="18">
        <v>5296.27</v>
      </c>
      <c r="I397" s="18"/>
      <c r="J397" s="24" t="s">
        <v>288</v>
      </c>
      <c r="K397" s="24" t="s">
        <v>288</v>
      </c>
      <c r="L397" s="56">
        <f t="shared" si="26"/>
        <v>5296.27</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10553.77</v>
      </c>
      <c r="I401" s="47">
        <f>SUM(I395:I400)</f>
        <v>0</v>
      </c>
      <c r="J401" s="45" t="s">
        <v>288</v>
      </c>
      <c r="K401" s="45" t="s">
        <v>288</v>
      </c>
      <c r="L401" s="47">
        <f>SUM(L395:L400)</f>
        <v>10553.77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16763.12</v>
      </c>
      <c r="I408" s="47">
        <f>I393+I401+I407</f>
        <v>474104.6</v>
      </c>
      <c r="J408" s="24" t="s">
        <v>288</v>
      </c>
      <c r="K408" s="24" t="s">
        <v>288</v>
      </c>
      <c r="L408" s="47">
        <f>L393+L401+L407</f>
        <v>540867.72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v>10194.209999999999</v>
      </c>
      <c r="L418" s="56">
        <f t="shared" si="27"/>
        <v>10194.209999999999</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10194.209999999999</v>
      </c>
      <c r="L419" s="47">
        <f t="shared" si="28"/>
        <v>10194.209999999999</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10194.209999999999</v>
      </c>
      <c r="L434" s="47">
        <f t="shared" si="32"/>
        <v>10194.209999999999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408663.67</v>
      </c>
      <c r="G439" s="18">
        <v>1753636.76</v>
      </c>
      <c r="H439" s="18"/>
      <c r="I439" s="56">
        <f t="shared" ref="I439:I445" si="33">SUM(F439:H439)</f>
        <v>2162300.4300000002</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408663.67</v>
      </c>
      <c r="G446" s="13">
        <f>SUM(G439:G445)</f>
        <v>1753636.76</v>
      </c>
      <c r="H446" s="13">
        <f>SUM(H439:H445)</f>
        <v>0</v>
      </c>
      <c r="I446" s="13">
        <f>SUM(I439:I445)</f>
        <v>2162300.4300000002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408663.67</v>
      </c>
      <c r="G459" s="18">
        <v>1753636.76</v>
      </c>
      <c r="H459" s="18"/>
      <c r="I459" s="56">
        <f t="shared" si="34"/>
        <v>2162300.4300000002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408663.67</v>
      </c>
      <c r="G460" s="83">
        <f>SUM(G454:G459)</f>
        <v>1753636.76</v>
      </c>
      <c r="H460" s="83">
        <f>SUM(H454:H459)</f>
        <v>0</v>
      </c>
      <c r="I460" s="83">
        <f>SUM(I454:I459)</f>
        <v>2162300.4300000002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408663.67</v>
      </c>
      <c r="G461" s="42">
        <f>G452+G460</f>
        <v>1753636.76</v>
      </c>
      <c r="H461" s="42">
        <f>H452+H460</f>
        <v>0</v>
      </c>
      <c r="I461" s="42">
        <f>I452+I460</f>
        <v>2162300.4300000002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3389531.53</v>
      </c>
      <c r="G465" s="18">
        <v>354115.72</v>
      </c>
      <c r="H465" s="18">
        <v>517872.1</v>
      </c>
      <c r="I465" s="18">
        <v>0</v>
      </c>
      <c r="J465" s="18">
        <v>1631626.92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54730815.579999998</v>
      </c>
      <c r="G468" s="18">
        <v>1139079.08</v>
      </c>
      <c r="H468" s="18">
        <v>1290662.18</v>
      </c>
      <c r="I468" s="18"/>
      <c r="J468" s="18">
        <v>540867.72</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54730815.579999998</v>
      </c>
      <c r="G470" s="53">
        <f>SUM(G468:G469)</f>
        <v>1139079.08</v>
      </c>
      <c r="H470" s="53">
        <f>SUM(H468:H469)</f>
        <v>1290662.18</v>
      </c>
      <c r="I470" s="53">
        <f>SUM(I468:I469)</f>
        <v>0</v>
      </c>
      <c r="J470" s="53">
        <f>SUM(J468:J469)</f>
        <v>540867.72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56155094.520000003</v>
      </c>
      <c r="G472" s="18">
        <v>1085346.3</v>
      </c>
      <c r="H472" s="18">
        <v>1320366.55</v>
      </c>
      <c r="I472" s="18">
        <v>207126.65</v>
      </c>
      <c r="J472" s="18">
        <v>10194.209999999999</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56155094.520000003</v>
      </c>
      <c r="G474" s="53">
        <f>SUM(G472:G473)</f>
        <v>1085346.3</v>
      </c>
      <c r="H474" s="53">
        <f>SUM(H472:H473)</f>
        <v>1320366.55</v>
      </c>
      <c r="I474" s="53">
        <f>SUM(I472:I473)</f>
        <v>207126.65</v>
      </c>
      <c r="J474" s="53">
        <f>SUM(J472:J473)</f>
        <v>10194.209999999999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1965252.5899999961</v>
      </c>
      <c r="G476" s="53">
        <f>(G465+G470)- G474</f>
        <v>407848.5</v>
      </c>
      <c r="H476" s="53">
        <f>(H465+H470)- H474</f>
        <v>488167.72999999975</v>
      </c>
      <c r="I476" s="53">
        <f>(I465+I470)- I474</f>
        <v>-207126.65</v>
      </c>
      <c r="J476" s="53">
        <f>(J465+J470)- J474</f>
        <v>2162300.4299999997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42695000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3.7</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8841086.4199999999</v>
      </c>
      <c r="G495" s="18"/>
      <c r="H495" s="18"/>
      <c r="I495" s="18"/>
      <c r="J495" s="18"/>
      <c r="K495" s="53">
        <f>SUM(F495:J495)</f>
        <v>8841086.4199999999</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1647785.06</v>
      </c>
      <c r="G497" s="18"/>
      <c r="H497" s="18"/>
      <c r="I497" s="18"/>
      <c r="J497" s="18"/>
      <c r="K497" s="53">
        <f t="shared" si="35"/>
        <v>1647785.06</v>
      </c>
      <c r="L497" s="24" t="s">
        <v>288</v>
      </c>
      <c r="N497" s="265"/>
    </row>
    <row r="498" spans="1:14" s="52" customFormat="1" ht="12.2" customHeight="1" x14ac:dyDescent="0.2">
      <c r="A498" s="200" t="s">
        <v>622</v>
      </c>
      <c r="B498" s="201">
        <v>20</v>
      </c>
      <c r="C498" s="202">
        <v>9</v>
      </c>
      <c r="D498" s="203" t="s">
        <v>432</v>
      </c>
      <c r="E498" s="202"/>
      <c r="F498" s="204">
        <v>7193301.3600000003</v>
      </c>
      <c r="G498" s="204"/>
      <c r="H498" s="204"/>
      <c r="I498" s="204"/>
      <c r="J498" s="204"/>
      <c r="K498" s="205">
        <f t="shared" si="35"/>
        <v>7193301.3600000003</v>
      </c>
      <c r="L498" s="206" t="s">
        <v>288</v>
      </c>
      <c r="N498" s="265"/>
    </row>
    <row r="499" spans="1:14" s="52" customFormat="1" ht="12.2" customHeight="1" thickBot="1" x14ac:dyDescent="0.25">
      <c r="A499" s="22" t="s">
        <v>623</v>
      </c>
      <c r="B499" s="75">
        <v>20</v>
      </c>
      <c r="C499" s="115">
        <v>10</v>
      </c>
      <c r="D499" s="2" t="s">
        <v>432</v>
      </c>
      <c r="E499" s="115"/>
      <c r="F499" s="18">
        <v>8672090.3900000006</v>
      </c>
      <c r="G499" s="18"/>
      <c r="H499" s="18"/>
      <c r="I499" s="18"/>
      <c r="J499" s="18"/>
      <c r="K499" s="53">
        <f t="shared" si="35"/>
        <v>8672090.3900000006</v>
      </c>
      <c r="L499" s="24" t="s">
        <v>288</v>
      </c>
      <c r="N499" s="265"/>
    </row>
    <row r="500" spans="1:14" s="52" customFormat="1" ht="12.2" customHeight="1" thickTop="1" x14ac:dyDescent="0.2">
      <c r="A500" s="139" t="s">
        <v>624</v>
      </c>
      <c r="B500" s="44">
        <v>20</v>
      </c>
      <c r="C500" s="195">
        <v>11</v>
      </c>
      <c r="D500" s="39" t="s">
        <v>432</v>
      </c>
      <c r="E500" s="195"/>
      <c r="F500" s="42">
        <f>SUM(F498:F499)</f>
        <v>15865391.75</v>
      </c>
      <c r="G500" s="42">
        <f>SUM(G498:G499)</f>
        <v>0</v>
      </c>
      <c r="H500" s="42">
        <f>SUM(H498:H499)</f>
        <v>0</v>
      </c>
      <c r="I500" s="42">
        <f>SUM(I498:I499)</f>
        <v>0</v>
      </c>
      <c r="J500" s="42">
        <f>SUM(J498:J499)</f>
        <v>0</v>
      </c>
      <c r="K500" s="42">
        <f t="shared" si="35"/>
        <v>15865391.75</v>
      </c>
      <c r="L500" s="45" t="s">
        <v>288</v>
      </c>
      <c r="N500" s="265"/>
    </row>
    <row r="501" spans="1:14" s="52" customFormat="1" ht="12.2" customHeight="1" x14ac:dyDescent="0.2">
      <c r="A501" s="200" t="s">
        <v>651</v>
      </c>
      <c r="B501" s="201">
        <v>20</v>
      </c>
      <c r="C501" s="202">
        <v>12</v>
      </c>
      <c r="D501" s="203" t="s">
        <v>432</v>
      </c>
      <c r="E501" s="202"/>
      <c r="F501" s="204">
        <v>1574146.21</v>
      </c>
      <c r="G501" s="204"/>
      <c r="H501" s="204"/>
      <c r="I501" s="204"/>
      <c r="J501" s="204"/>
      <c r="K501" s="205">
        <f t="shared" si="35"/>
        <v>1574146.21</v>
      </c>
      <c r="L501" s="206" t="s">
        <v>288</v>
      </c>
      <c r="N501" s="265"/>
    </row>
    <row r="502" spans="1:14" s="52" customFormat="1" ht="12.2" customHeight="1" thickBot="1" x14ac:dyDescent="0.25">
      <c r="A502" s="22" t="s">
        <v>625</v>
      </c>
      <c r="B502" s="75">
        <v>20</v>
      </c>
      <c r="C502" s="115">
        <v>13</v>
      </c>
      <c r="D502" s="2" t="s">
        <v>432</v>
      </c>
      <c r="E502" s="115"/>
      <c r="F502" s="18">
        <v>1592212.54</v>
      </c>
      <c r="G502" s="18"/>
      <c r="H502" s="18"/>
      <c r="I502" s="18"/>
      <c r="J502" s="18"/>
      <c r="K502" s="53">
        <f t="shared" si="35"/>
        <v>1592212.54</v>
      </c>
      <c r="L502" s="24" t="s">
        <v>288</v>
      </c>
      <c r="N502" s="265"/>
    </row>
    <row r="503" spans="1:14" s="52" customFormat="1" ht="12.2" customHeight="1" thickTop="1" x14ac:dyDescent="0.2">
      <c r="A503" s="139" t="s">
        <v>626</v>
      </c>
      <c r="B503" s="44">
        <v>20</v>
      </c>
      <c r="C503" s="195">
        <v>14</v>
      </c>
      <c r="D503" s="39" t="s">
        <v>432</v>
      </c>
      <c r="E503" s="195"/>
      <c r="F503" s="42">
        <f>SUM(F501:F502)</f>
        <v>3166358.75</v>
      </c>
      <c r="G503" s="42">
        <f>SUM(G501:G502)</f>
        <v>0</v>
      </c>
      <c r="H503" s="42">
        <f>SUM(H501:H502)</f>
        <v>0</v>
      </c>
      <c r="I503" s="42">
        <f>SUM(I501:I502)</f>
        <v>0</v>
      </c>
      <c r="J503" s="42">
        <f>SUM(J501:J502)</f>
        <v>0</v>
      </c>
      <c r="K503" s="42">
        <f t="shared" si="35"/>
        <v>3166358.75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v>2089544.7</v>
      </c>
      <c r="G522" s="18">
        <v>906325.2</v>
      </c>
      <c r="H522" s="18">
        <v>736312.69</v>
      </c>
      <c r="I522" s="18">
        <v>51936.95</v>
      </c>
      <c r="J522" s="18">
        <v>6178.24</v>
      </c>
      <c r="K522" s="18"/>
      <c r="L522" s="88">
        <f>SUM(F522:K522)</f>
        <v>3790297.7800000003</v>
      </c>
      <c r="N522" s="265"/>
    </row>
    <row r="523" spans="1:14" s="52" customFormat="1" ht="12.2" customHeight="1" thickBot="1" x14ac:dyDescent="0.25">
      <c r="A523" s="22" t="s">
        <v>635</v>
      </c>
      <c r="B523" s="105">
        <v>21</v>
      </c>
      <c r="C523" s="115">
        <v>3</v>
      </c>
      <c r="D523" s="2" t="s">
        <v>432</v>
      </c>
      <c r="E523" s="115"/>
      <c r="F523" s="18">
        <v>1821288.26</v>
      </c>
      <c r="G523" s="18">
        <v>809586.72</v>
      </c>
      <c r="H523" s="18">
        <v>1544657.82</v>
      </c>
      <c r="I523" s="18">
        <v>44769.47</v>
      </c>
      <c r="J523" s="18">
        <v>25400.07</v>
      </c>
      <c r="K523" s="18"/>
      <c r="L523" s="88">
        <f>SUM(F523:K523)</f>
        <v>4245702.34</v>
      </c>
      <c r="N523" s="265"/>
    </row>
    <row r="524" spans="1:14" s="52" customFormat="1" ht="12.2" customHeight="1" thickTop="1" x14ac:dyDescent="0.2">
      <c r="A524" s="139" t="s">
        <v>63</v>
      </c>
      <c r="B524" s="107">
        <v>21</v>
      </c>
      <c r="C524" s="195">
        <v>4</v>
      </c>
      <c r="D524" s="196" t="s">
        <v>432</v>
      </c>
      <c r="E524" s="195"/>
      <c r="F524" s="108">
        <f>SUM(F521:F523)</f>
        <v>3910832.96</v>
      </c>
      <c r="G524" s="108">
        <f t="shared" ref="G524:L524" si="36">SUM(G521:G523)</f>
        <v>1715911.92</v>
      </c>
      <c r="H524" s="108">
        <f t="shared" si="36"/>
        <v>2280970.5099999998</v>
      </c>
      <c r="I524" s="108">
        <f t="shared" si="36"/>
        <v>96706.42</v>
      </c>
      <c r="J524" s="108">
        <f t="shared" si="36"/>
        <v>31578.309999999998</v>
      </c>
      <c r="K524" s="108">
        <f t="shared" si="36"/>
        <v>0</v>
      </c>
      <c r="L524" s="89">
        <f t="shared" si="36"/>
        <v>8036000.1200000001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v>1167812.3400000001</v>
      </c>
      <c r="G527" s="18">
        <v>506062.58</v>
      </c>
      <c r="H527" s="18">
        <v>83182.86</v>
      </c>
      <c r="I527" s="18">
        <v>6153.76</v>
      </c>
      <c r="J527" s="18"/>
      <c r="K527" s="18"/>
      <c r="L527" s="88">
        <f>SUM(F527:K527)</f>
        <v>1763211.5400000003</v>
      </c>
      <c r="M527" s="8"/>
      <c r="N527" s="266"/>
    </row>
    <row r="528" spans="1:14" s="3" customFormat="1" ht="12.2" customHeight="1" thickBot="1" x14ac:dyDescent="0.2">
      <c r="A528" s="22" t="s">
        <v>635</v>
      </c>
      <c r="B528" s="118">
        <v>21</v>
      </c>
      <c r="C528" s="118">
        <v>7</v>
      </c>
      <c r="D528" s="2" t="s">
        <v>432</v>
      </c>
      <c r="E528" s="118"/>
      <c r="F528" s="18">
        <v>1712188.2</v>
      </c>
      <c r="G528" s="18">
        <v>741963.71</v>
      </c>
      <c r="H528" s="18">
        <v>108674.9</v>
      </c>
      <c r="I528" s="18">
        <v>18622.73</v>
      </c>
      <c r="J528" s="18">
        <v>1484</v>
      </c>
      <c r="K528" s="18"/>
      <c r="L528" s="88">
        <f>SUM(F528:K528)</f>
        <v>2582933.54</v>
      </c>
      <c r="M528" s="8"/>
      <c r="N528" s="266"/>
    </row>
    <row r="529" spans="1:14" s="3" customFormat="1" ht="12.2" customHeight="1" thickTop="1" x14ac:dyDescent="0.15">
      <c r="A529" s="139" t="s">
        <v>65</v>
      </c>
      <c r="B529" s="107">
        <v>21</v>
      </c>
      <c r="C529" s="107">
        <v>8</v>
      </c>
      <c r="D529" s="158" t="s">
        <v>432</v>
      </c>
      <c r="E529" s="107"/>
      <c r="F529" s="89">
        <f>SUM(F526:F528)</f>
        <v>2880000.54</v>
      </c>
      <c r="G529" s="89">
        <f t="shared" ref="G529:L529" si="37">SUM(G526:G528)</f>
        <v>1248026.29</v>
      </c>
      <c r="H529" s="89">
        <f t="shared" si="37"/>
        <v>191857.76</v>
      </c>
      <c r="I529" s="89">
        <f t="shared" si="37"/>
        <v>24776.489999999998</v>
      </c>
      <c r="J529" s="89">
        <f t="shared" si="37"/>
        <v>1484</v>
      </c>
      <c r="K529" s="89">
        <f t="shared" si="37"/>
        <v>0</v>
      </c>
      <c r="L529" s="89">
        <f t="shared" si="37"/>
        <v>4346145.08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v>250401.6</v>
      </c>
      <c r="G532" s="18">
        <v>107672.69</v>
      </c>
      <c r="H532" s="18"/>
      <c r="I532" s="18"/>
      <c r="J532" s="18"/>
      <c r="K532" s="18"/>
      <c r="L532" s="88">
        <f>SUM(F532:K532)</f>
        <v>358074.29000000004</v>
      </c>
      <c r="M532" s="8"/>
      <c r="N532" s="266"/>
    </row>
    <row r="533" spans="1:14" s="3" customFormat="1" ht="12.2" customHeight="1" thickBot="1" x14ac:dyDescent="0.2">
      <c r="A533" s="22" t="s">
        <v>635</v>
      </c>
      <c r="B533" s="105">
        <v>21</v>
      </c>
      <c r="C533" s="105">
        <v>11</v>
      </c>
      <c r="D533" s="2" t="s">
        <v>432</v>
      </c>
      <c r="E533" s="105"/>
      <c r="F533" s="18">
        <v>170080.67</v>
      </c>
      <c r="G533" s="18">
        <v>73134.69</v>
      </c>
      <c r="H533" s="18"/>
      <c r="I533" s="18"/>
      <c r="J533" s="18"/>
      <c r="K533" s="18"/>
      <c r="L533" s="88">
        <f>SUM(F533:K533)</f>
        <v>243215.36000000002</v>
      </c>
      <c r="M533" s="8"/>
      <c r="N533" s="266"/>
    </row>
    <row r="534" spans="1:14" s="3" customFormat="1" ht="12.2" customHeight="1" thickTop="1" x14ac:dyDescent="0.15">
      <c r="A534" s="139" t="s">
        <v>67</v>
      </c>
      <c r="B534" s="107">
        <v>21</v>
      </c>
      <c r="C534" s="107">
        <v>12</v>
      </c>
      <c r="D534" s="158" t="s">
        <v>432</v>
      </c>
      <c r="E534" s="107"/>
      <c r="F534" s="89">
        <f>SUM(F531:F533)</f>
        <v>420482.27</v>
      </c>
      <c r="G534" s="89">
        <f t="shared" ref="G534:L534" si="38">SUM(G531:G533)</f>
        <v>180807.38</v>
      </c>
      <c r="H534" s="89">
        <f t="shared" si="38"/>
        <v>0</v>
      </c>
      <c r="I534" s="89">
        <f t="shared" si="38"/>
        <v>0</v>
      </c>
      <c r="J534" s="89">
        <f t="shared" si="38"/>
        <v>0</v>
      </c>
      <c r="K534" s="89">
        <f t="shared" si="38"/>
        <v>0</v>
      </c>
      <c r="L534" s="89">
        <f t="shared" si="38"/>
        <v>601289.65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v>4597.08</v>
      </c>
      <c r="I537" s="18"/>
      <c r="J537" s="18"/>
      <c r="K537" s="18"/>
      <c r="L537" s="88">
        <f>SUM(F537:K537)</f>
        <v>4597.08</v>
      </c>
      <c r="M537" s="8"/>
      <c r="N537" s="266"/>
    </row>
    <row r="538" spans="1:14" s="3" customFormat="1" ht="12.2" customHeight="1" thickBot="1" x14ac:dyDescent="0.2">
      <c r="A538" s="22" t="s">
        <v>635</v>
      </c>
      <c r="B538" s="105">
        <v>21</v>
      </c>
      <c r="C538" s="105">
        <v>15</v>
      </c>
      <c r="D538" s="2" t="s">
        <v>432</v>
      </c>
      <c r="E538" s="105"/>
      <c r="F538" s="18"/>
      <c r="G538" s="18"/>
      <c r="H538" s="18">
        <v>5322.3</v>
      </c>
      <c r="I538" s="18"/>
      <c r="J538" s="18"/>
      <c r="K538" s="18"/>
      <c r="L538" s="88">
        <f>SUM(F538:K538)</f>
        <v>5322.3</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9919.380000000001</v>
      </c>
      <c r="I539" s="89">
        <f t="shared" si="39"/>
        <v>0</v>
      </c>
      <c r="J539" s="89">
        <f t="shared" si="39"/>
        <v>0</v>
      </c>
      <c r="K539" s="89">
        <f t="shared" si="39"/>
        <v>0</v>
      </c>
      <c r="L539" s="89">
        <f t="shared" si="39"/>
        <v>9919.380000000001</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v>255225.5</v>
      </c>
      <c r="I542" s="18"/>
      <c r="J542" s="18"/>
      <c r="K542" s="18"/>
      <c r="L542" s="88">
        <f>SUM(F542:K542)</f>
        <v>255225.5</v>
      </c>
      <c r="M542" s="8"/>
      <c r="N542" s="266"/>
    </row>
    <row r="543" spans="1:14" s="3" customFormat="1" ht="12.2" customHeight="1" thickBot="1" x14ac:dyDescent="0.2">
      <c r="A543" s="22" t="s">
        <v>635</v>
      </c>
      <c r="B543" s="105">
        <v>21</v>
      </c>
      <c r="C543" s="105">
        <v>19</v>
      </c>
      <c r="D543" s="2" t="s">
        <v>432</v>
      </c>
      <c r="E543" s="105"/>
      <c r="F543" s="18"/>
      <c r="G543" s="18"/>
      <c r="H543" s="18">
        <v>572357.31999999995</v>
      </c>
      <c r="I543" s="18"/>
      <c r="J543" s="18"/>
      <c r="K543" s="18"/>
      <c r="L543" s="88">
        <f>SUM(F543:K543)</f>
        <v>572357.31999999995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827582.82</v>
      </c>
      <c r="I544" s="193">
        <f t="shared" si="40"/>
        <v>0</v>
      </c>
      <c r="J544" s="193">
        <f t="shared" si="40"/>
        <v>0</v>
      </c>
      <c r="K544" s="193">
        <f t="shared" si="40"/>
        <v>0</v>
      </c>
      <c r="L544" s="193">
        <f t="shared" si="40"/>
        <v>827582.82</v>
      </c>
      <c r="M544" s="8"/>
      <c r="N544" s="266"/>
    </row>
    <row r="545" spans="1:14" s="3" customFormat="1" ht="12.2" customHeight="1" thickTop="1" x14ac:dyDescent="0.15">
      <c r="A545" s="98" t="s">
        <v>72</v>
      </c>
      <c r="B545" s="107">
        <v>21</v>
      </c>
      <c r="C545" s="107">
        <v>21</v>
      </c>
      <c r="D545" s="158" t="s">
        <v>432</v>
      </c>
      <c r="E545" s="107"/>
      <c r="F545" s="89">
        <f>F524+F529+F534+F539+F544</f>
        <v>7211315.7699999996</v>
      </c>
      <c r="G545" s="89">
        <f t="shared" ref="G545:L545" si="41">G524+G529+G534+G539+G544</f>
        <v>3144745.59</v>
      </c>
      <c r="H545" s="89">
        <f t="shared" si="41"/>
        <v>3310330.4699999993</v>
      </c>
      <c r="I545" s="89">
        <f t="shared" si="41"/>
        <v>121482.91</v>
      </c>
      <c r="J545" s="89">
        <f t="shared" si="41"/>
        <v>33062.31</v>
      </c>
      <c r="K545" s="89">
        <f t="shared" si="41"/>
        <v>0</v>
      </c>
      <c r="L545" s="89">
        <f t="shared" si="41"/>
        <v>13820937.050000001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0</v>
      </c>
      <c r="J549" s="87">
        <f>L541</f>
        <v>0</v>
      </c>
      <c r="K549" s="87">
        <f>SUM(F549:J549)</f>
        <v>0</v>
      </c>
      <c r="L549" s="24" t="s">
        <v>288</v>
      </c>
      <c r="M549" s="8"/>
      <c r="N549" s="266"/>
    </row>
    <row r="550" spans="1:14" s="3" customFormat="1" ht="12.2" customHeight="1" x14ac:dyDescent="0.15">
      <c r="A550" s="22" t="s">
        <v>634</v>
      </c>
      <c r="B550" s="75">
        <v>21</v>
      </c>
      <c r="C550" s="75">
        <v>23</v>
      </c>
      <c r="D550" s="2" t="s">
        <v>432</v>
      </c>
      <c r="E550" s="75"/>
      <c r="F550" s="87">
        <f>L522</f>
        <v>3790297.7800000003</v>
      </c>
      <c r="G550" s="87">
        <f>L527</f>
        <v>1763211.5400000003</v>
      </c>
      <c r="H550" s="87">
        <f>L532</f>
        <v>358074.29000000004</v>
      </c>
      <c r="I550" s="87">
        <f>L537</f>
        <v>4597.08</v>
      </c>
      <c r="J550" s="87">
        <f>L542</f>
        <v>255225.5</v>
      </c>
      <c r="K550" s="87">
        <f>SUM(F550:J550)</f>
        <v>6171406.1900000004</v>
      </c>
      <c r="L550" s="24" t="s">
        <v>288</v>
      </c>
      <c r="M550" s="8"/>
      <c r="N550" s="266"/>
    </row>
    <row r="551" spans="1:14" s="3" customFormat="1" ht="12.2" customHeight="1" thickBot="1" x14ac:dyDescent="0.2">
      <c r="A551" s="22" t="s">
        <v>635</v>
      </c>
      <c r="B551" s="75">
        <v>21</v>
      </c>
      <c r="C551" s="75">
        <v>24</v>
      </c>
      <c r="D551" s="2" t="s">
        <v>432</v>
      </c>
      <c r="E551" s="75"/>
      <c r="F551" s="87">
        <f>L523</f>
        <v>4245702.34</v>
      </c>
      <c r="G551" s="87">
        <f>L528</f>
        <v>2582933.54</v>
      </c>
      <c r="H551" s="87">
        <f>L533</f>
        <v>243215.36000000002</v>
      </c>
      <c r="I551" s="87">
        <f>L538</f>
        <v>5322.3</v>
      </c>
      <c r="J551" s="87">
        <f>L543</f>
        <v>572357.31999999995</v>
      </c>
      <c r="K551" s="87">
        <f>SUM(F551:J551)</f>
        <v>7649530.8600000003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8036000.1200000001</v>
      </c>
      <c r="G552" s="89">
        <f t="shared" si="42"/>
        <v>4346145.08</v>
      </c>
      <c r="H552" s="89">
        <f t="shared" si="42"/>
        <v>601289.65</v>
      </c>
      <c r="I552" s="89">
        <f t="shared" si="42"/>
        <v>9919.380000000001</v>
      </c>
      <c r="J552" s="89">
        <f t="shared" si="42"/>
        <v>827582.82</v>
      </c>
      <c r="K552" s="89">
        <f t="shared" si="42"/>
        <v>13820937.050000001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v>47373.55</v>
      </c>
      <c r="G563" s="18">
        <v>20370.63</v>
      </c>
      <c r="H563" s="18"/>
      <c r="I563" s="18"/>
      <c r="J563" s="18"/>
      <c r="K563" s="18"/>
      <c r="L563" s="88">
        <f>SUM(F563:K563)</f>
        <v>67744.180000000008</v>
      </c>
      <c r="M563" s="8"/>
      <c r="N563" s="266"/>
    </row>
    <row r="564" spans="1:14" s="3" customFormat="1" ht="12.2" customHeight="1" thickBot="1" x14ac:dyDescent="0.2">
      <c r="A564" s="22" t="s">
        <v>635</v>
      </c>
      <c r="B564" s="105">
        <v>22</v>
      </c>
      <c r="C564" s="118">
        <v>7</v>
      </c>
      <c r="D564" s="2" t="s">
        <v>432</v>
      </c>
      <c r="E564" s="118"/>
      <c r="F564" s="18">
        <v>16874.259999999998</v>
      </c>
      <c r="G564" s="18">
        <v>7255.93</v>
      </c>
      <c r="H564" s="18"/>
      <c r="I564" s="18"/>
      <c r="J564" s="18"/>
      <c r="K564" s="18"/>
      <c r="L564" s="88">
        <f>SUM(F564:K564)</f>
        <v>24130.19</v>
      </c>
      <c r="M564" s="8"/>
      <c r="N564" s="266"/>
    </row>
    <row r="565" spans="1:14" s="3" customFormat="1" ht="12.2" customHeight="1" thickTop="1" x14ac:dyDescent="0.15">
      <c r="A565" s="139" t="s">
        <v>65</v>
      </c>
      <c r="B565" s="107">
        <v>22</v>
      </c>
      <c r="C565" s="107">
        <v>8</v>
      </c>
      <c r="D565" s="196" t="s">
        <v>432</v>
      </c>
      <c r="E565" s="107"/>
      <c r="F565" s="89">
        <f t="shared" ref="F565:L565" si="44">SUM(F562:F564)</f>
        <v>64247.81</v>
      </c>
      <c r="G565" s="89">
        <f t="shared" si="44"/>
        <v>27626.560000000001</v>
      </c>
      <c r="H565" s="89">
        <f t="shared" si="44"/>
        <v>0</v>
      </c>
      <c r="I565" s="89">
        <f t="shared" si="44"/>
        <v>0</v>
      </c>
      <c r="J565" s="89">
        <f t="shared" si="44"/>
        <v>0</v>
      </c>
      <c r="K565" s="89">
        <f t="shared" si="44"/>
        <v>0</v>
      </c>
      <c r="L565" s="89">
        <f t="shared" si="44"/>
        <v>91874.37000000001</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64247.81</v>
      </c>
      <c r="G571" s="89">
        <f t="shared" ref="G571:L571" si="46">G560+G565+G570</f>
        <v>27626.560000000001</v>
      </c>
      <c r="H571" s="89">
        <f t="shared" si="46"/>
        <v>0</v>
      </c>
      <c r="I571" s="89">
        <f t="shared" si="46"/>
        <v>0</v>
      </c>
      <c r="J571" s="89">
        <f t="shared" si="46"/>
        <v>0</v>
      </c>
      <c r="K571" s="89">
        <f t="shared" si="46"/>
        <v>0</v>
      </c>
      <c r="L571" s="89">
        <f t="shared" si="46"/>
        <v>91874.37000000001</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25661.4</v>
      </c>
      <c r="I579" s="87">
        <f t="shared" si="47"/>
        <v>25661.4</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477064.73</v>
      </c>
      <c r="H582" s="18">
        <v>1154123.07</v>
      </c>
      <c r="I582" s="87">
        <f t="shared" si="47"/>
        <v>1631187.8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v>83877.440000000002</v>
      </c>
      <c r="H583" s="18"/>
      <c r="I583" s="87">
        <f t="shared" si="47"/>
        <v>83877.440000000002</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v>691383.74</v>
      </c>
      <c r="J591" s="18">
        <v>720184.61</v>
      </c>
      <c r="K591" s="104">
        <f t="shared" ref="K591:K597" si="48">SUM(H591:J591)</f>
        <v>1411568.35</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v>255225.5</v>
      </c>
      <c r="J592" s="18">
        <v>572357.31999999995</v>
      </c>
      <c r="K592" s="104">
        <f t="shared" si="48"/>
        <v>827582.82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97697.68</v>
      </c>
      <c r="K593" s="104">
        <f t="shared" si="48"/>
        <v>97697.68</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19222.169999999998</v>
      </c>
      <c r="J594" s="18">
        <v>121609.05</v>
      </c>
      <c r="K594" s="104">
        <f t="shared" si="48"/>
        <v>140831.22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v>45158.16</v>
      </c>
      <c r="J597" s="18"/>
      <c r="K597" s="104">
        <f t="shared" si="48"/>
        <v>45158.16</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0</v>
      </c>
      <c r="I598" s="108">
        <f>SUM(I591:I597)</f>
        <v>1010989.5700000001</v>
      </c>
      <c r="J598" s="108">
        <f>SUM(J591:J597)</f>
        <v>1511848.66</v>
      </c>
      <c r="K598" s="108">
        <f>SUM(K591:K597)</f>
        <v>2522838.2300000004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v>135830.01999999999</v>
      </c>
      <c r="J604" s="18">
        <v>363785.22</v>
      </c>
      <c r="K604" s="104">
        <f>SUM(H604:J604)</f>
        <v>499615.24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135830.01999999999</v>
      </c>
      <c r="J605" s="108">
        <f>SUM(J602:J604)</f>
        <v>363785.22</v>
      </c>
      <c r="K605" s="108">
        <f>SUM(K602:K604)</f>
        <v>499615.24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v>38997.019999999997</v>
      </c>
      <c r="G612" s="18">
        <v>16768.72</v>
      </c>
      <c r="H612" s="18"/>
      <c r="I612" s="18"/>
      <c r="J612" s="18"/>
      <c r="K612" s="18"/>
      <c r="L612" s="88">
        <f>SUM(F612:K612)</f>
        <v>55765.74</v>
      </c>
      <c r="M612" s="8"/>
      <c r="N612" s="266"/>
    </row>
    <row r="613" spans="1:14" s="3" customFormat="1" ht="12.2" customHeight="1" thickBot="1" x14ac:dyDescent="0.2">
      <c r="A613" s="22" t="s">
        <v>645</v>
      </c>
      <c r="B613" s="75">
        <v>23</v>
      </c>
      <c r="C613" s="75">
        <v>15</v>
      </c>
      <c r="D613" s="2" t="s">
        <v>432</v>
      </c>
      <c r="E613" s="75"/>
      <c r="F613" s="18">
        <v>71484.95</v>
      </c>
      <c r="G613" s="18">
        <v>30738.53</v>
      </c>
      <c r="H613" s="18">
        <v>539.04</v>
      </c>
      <c r="I613" s="18"/>
      <c r="J613" s="18"/>
      <c r="K613" s="18"/>
      <c r="L613" s="88">
        <f>SUM(F613:K613)</f>
        <v>102762.51999999999</v>
      </c>
      <c r="M613" s="8"/>
      <c r="N613" s="266"/>
    </row>
    <row r="614" spans="1:14" s="3" customFormat="1" ht="12.2" customHeight="1" thickTop="1" x14ac:dyDescent="0.15">
      <c r="A614" s="98" t="s">
        <v>340</v>
      </c>
      <c r="B614" s="107">
        <v>23</v>
      </c>
      <c r="C614" s="107">
        <v>16</v>
      </c>
      <c r="D614" s="39" t="s">
        <v>432</v>
      </c>
      <c r="E614" s="107"/>
      <c r="F614" s="108">
        <f t="shared" ref="F614:L614" si="49">SUM(F611:F613)</f>
        <v>110481.97</v>
      </c>
      <c r="G614" s="108">
        <f t="shared" si="49"/>
        <v>47507.25</v>
      </c>
      <c r="H614" s="108">
        <f t="shared" si="49"/>
        <v>539.04</v>
      </c>
      <c r="I614" s="108">
        <f t="shared" si="49"/>
        <v>0</v>
      </c>
      <c r="J614" s="108">
        <f t="shared" si="49"/>
        <v>0</v>
      </c>
      <c r="K614" s="108">
        <f t="shared" si="49"/>
        <v>0</v>
      </c>
      <c r="L614" s="89">
        <f t="shared" si="49"/>
        <v>158528.25999999998</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3672247.18</v>
      </c>
      <c r="H617" s="109">
        <f>SUM(F52)</f>
        <v>3672247.1799999997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447101.24</v>
      </c>
      <c r="H618" s="109">
        <f>SUM(G52)</f>
        <v>447101.24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565441.03999999992</v>
      </c>
      <c r="H619" s="109">
        <f>SUM(H52)</f>
        <v>565441.04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2162300.4300000002</v>
      </c>
      <c r="H621" s="109">
        <f>SUM(J52)</f>
        <v>2162300.4300000002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1965252.59</v>
      </c>
      <c r="H622" s="109">
        <f>F476</f>
        <v>1965252.5899999961</v>
      </c>
      <c r="I622" s="121" t="s">
        <v>101</v>
      </c>
      <c r="J622" s="109">
        <f t="shared" ref="J622:J655" si="50">G622-H622</f>
        <v>3.9581209421157837E-9</v>
      </c>
      <c r="K622" s="109"/>
      <c r="L622" s="109"/>
      <c r="M622" s="8"/>
    </row>
    <row r="623" spans="1:14" s="3" customFormat="1" ht="12.2" customHeight="1" x14ac:dyDescent="0.15">
      <c r="A623" s="97"/>
      <c r="B623" s="105"/>
      <c r="C623" s="119"/>
      <c r="D623" s="119"/>
      <c r="E623" s="119"/>
      <c r="F623" s="119" t="s">
        <v>866</v>
      </c>
      <c r="G623" s="109">
        <f>G51</f>
        <v>407848.5</v>
      </c>
      <c r="H623" s="109">
        <f>G476</f>
        <v>407848.5</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488167.73</v>
      </c>
      <c r="H624" s="109">
        <f>H476</f>
        <v>488167.72999999975</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-207126.65</v>
      </c>
      <c r="H625" s="109">
        <f>I476</f>
        <v>-207126.65</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2162300.4300000002</v>
      </c>
      <c r="H626" s="109">
        <f>J476</f>
        <v>2162300.4299999997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54730815.579999991</v>
      </c>
      <c r="H627" s="104">
        <f>SUM(F468)</f>
        <v>54730815.579999998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1139079.08</v>
      </c>
      <c r="H628" s="104">
        <f>SUM(G468)</f>
        <v>1139079.08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1290662.18</v>
      </c>
      <c r="H629" s="104">
        <f>SUM(H468)</f>
        <v>1290662.18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540867.72</v>
      </c>
      <c r="H631" s="104">
        <f>SUM(J468)</f>
        <v>540867.72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56155094.519999996</v>
      </c>
      <c r="H632" s="104">
        <f>SUM(F472)</f>
        <v>56155094.520000003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1320366.55</v>
      </c>
      <c r="H633" s="104">
        <f>SUM(H472)</f>
        <v>1320366.55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489981.56000000006</v>
      </c>
      <c r="H634" s="104">
        <f>I369</f>
        <v>489981.56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1085346.3</v>
      </c>
      <c r="H635" s="104">
        <f>SUM(G472)</f>
        <v>1085346.3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207126.65</v>
      </c>
      <c r="H636" s="104">
        <f>SUM(I472)</f>
        <v>207126.65</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540867.72</v>
      </c>
      <c r="H637" s="164">
        <f>SUM(J468)</f>
        <v>540867.72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10194.209999999999</v>
      </c>
      <c r="H638" s="164">
        <f>SUM(J472)</f>
        <v>10194.209999999999</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408663.67</v>
      </c>
      <c r="H639" s="104">
        <f>SUM(F461)</f>
        <v>408663.67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1753636.76</v>
      </c>
      <c r="H640" s="104">
        <f>SUM(G461)</f>
        <v>1753636.76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2162300.4300000002</v>
      </c>
      <c r="H642" s="104">
        <f>SUM(I461)</f>
        <v>2162300.4300000002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16763.12</v>
      </c>
      <c r="H644" s="104">
        <f>H408</f>
        <v>16763.12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540867.72</v>
      </c>
      <c r="H646" s="104">
        <f>L408</f>
        <v>540867.72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2522838.2300000004</v>
      </c>
      <c r="H647" s="104">
        <f>L208+L226+L244</f>
        <v>2522838.23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499615.24</v>
      </c>
      <c r="H648" s="104">
        <f>(J257+J338)-(J255+J336)</f>
        <v>499615.24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0</v>
      </c>
      <c r="H649" s="104">
        <f>H598</f>
        <v>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1010989.57</v>
      </c>
      <c r="H650" s="104">
        <f>I598</f>
        <v>1010989.5700000001</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1511848.6600000001</v>
      </c>
      <c r="H651" s="104">
        <f>J598</f>
        <v>1511848.66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0</v>
      </c>
      <c r="G660" s="19">
        <f>(L229+L309+L359)</f>
        <v>22195003.32</v>
      </c>
      <c r="H660" s="19">
        <f>(L247+L328+L360)</f>
        <v>32313854.509999994</v>
      </c>
      <c r="I660" s="19">
        <f>SUM(F660:H660)</f>
        <v>54508857.829999998</v>
      </c>
      <c r="J660" s="13"/>
      <c r="K660" s="13"/>
      <c r="L660" s="13"/>
      <c r="M660" s="9"/>
    </row>
    <row r="661" spans="1:13" s="3" customFormat="1" ht="12.2" customHeight="1" x14ac:dyDescent="0.2">
      <c r="A661" s="1" t="s">
        <v>127</v>
      </c>
      <c r="F661" s="19">
        <f>(L358/IF(SUM(L358:L360)=0,1,SUM(L358:L360))*(SUM(G97:G110)))</f>
        <v>0</v>
      </c>
      <c r="G661" s="19">
        <f>(L359/IF(SUM(L358:L360)=0,1,SUM(L358:L360))*(SUM(G97:G110)))</f>
        <v>346502.29358154116</v>
      </c>
      <c r="H661" s="19">
        <f>(L360/IF(SUM(L358:L360)=0,1,SUM(L358:L360))*(SUM(G97:G110)))</f>
        <v>545876.73641845887</v>
      </c>
      <c r="I661" s="19">
        <f>SUM(F661:H661)</f>
        <v>892379.03</v>
      </c>
      <c r="J661"/>
      <c r="K661" s="13"/>
      <c r="L661" s="13"/>
      <c r="M661" s="9"/>
    </row>
    <row r="662" spans="1:13" s="3" customFormat="1" ht="12.2" customHeight="1" x14ac:dyDescent="0.2">
      <c r="A662" s="1" t="s">
        <v>128</v>
      </c>
      <c r="F662" s="19">
        <f>(L208+L287)-(J208+J287)</f>
        <v>0</v>
      </c>
      <c r="G662" s="19">
        <f>(L226+L306)-(J226+J306)</f>
        <v>1010989.57</v>
      </c>
      <c r="H662" s="19">
        <f>(L244+L325)-(J244+J325)</f>
        <v>1511848.6600000001</v>
      </c>
      <c r="I662" s="19">
        <f>SUM(F662:H662)</f>
        <v>2522838.23</v>
      </c>
      <c r="J662"/>
      <c r="K662" s="13"/>
      <c r="L662" s="13"/>
      <c r="M662" s="8"/>
    </row>
    <row r="663" spans="1:13" s="3" customFormat="1" ht="12.2" customHeight="1" x14ac:dyDescent="0.15">
      <c r="A663" s="198" t="s">
        <v>129</v>
      </c>
      <c r="B663" s="169"/>
      <c r="C663" s="169"/>
      <c r="D663" s="169"/>
      <c r="E663" s="169"/>
      <c r="F663" s="199">
        <f>SUM(F575:F587)+SUM(H602:H604)+SUM(L611)</f>
        <v>0</v>
      </c>
      <c r="G663" s="199">
        <f>SUM(G575:G587)+SUM(I602:I604)+L612</f>
        <v>752537.92999999993</v>
      </c>
      <c r="H663" s="199">
        <f>SUM(H575:H587)+SUM(J602:J604)+L613</f>
        <v>1646332.21</v>
      </c>
      <c r="I663" s="19">
        <f>SUM(F663:H663)</f>
        <v>2398870.1399999997</v>
      </c>
      <c r="J663" s="13"/>
      <c r="K663" s="13"/>
      <c r="L663" s="13"/>
      <c r="M663" s="9"/>
    </row>
    <row r="664" spans="1:13" s="3" customFormat="1" ht="12.2" customHeight="1" x14ac:dyDescent="0.15">
      <c r="A664" s="1" t="s">
        <v>130</v>
      </c>
      <c r="F664" s="19">
        <f>F660-SUM(F661:F663)</f>
        <v>0</v>
      </c>
      <c r="G664" s="19">
        <f>G660-SUM(G661:G663)</f>
        <v>20084973.526418459</v>
      </c>
      <c r="H664" s="19">
        <f>H660-SUM(H661:H663)</f>
        <v>28609796.903581537</v>
      </c>
      <c r="I664" s="19">
        <f>I660-SUM(I661:I663)</f>
        <v>48694770.43</v>
      </c>
      <c r="J664" s="13"/>
      <c r="K664" s="13"/>
      <c r="L664" s="13"/>
      <c r="M664" s="9"/>
    </row>
    <row r="665" spans="1:13" s="3" customFormat="1" ht="12.2" customHeight="1" x14ac:dyDescent="0.2">
      <c r="A665" s="1" t="s">
        <v>131</v>
      </c>
      <c r="F665" s="246"/>
      <c r="G665" s="247">
        <v>1213.6400000000001</v>
      </c>
      <c r="H665" s="247">
        <v>1649.76</v>
      </c>
      <c r="I665" s="19">
        <f>SUM(F665:H665)</f>
        <v>2863.4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f>ROUND(G664/G665,2)</f>
        <v>16549.37</v>
      </c>
      <c r="H667" s="19">
        <f>ROUND(H664/H665,2)</f>
        <v>17341.79</v>
      </c>
      <c r="I667" s="19">
        <f>ROUND(I664/I665,2)</f>
        <v>17005.93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119.78</v>
      </c>
      <c r="I670" s="19">
        <f>SUM(F670:H670)</f>
        <v>119.78</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f>ROUND((G664+G669)/(G665+G670),2)</f>
        <v>16549.37</v>
      </c>
      <c r="H672" s="19">
        <f>ROUND((H664+H669)/(H665+H670),2)</f>
        <v>16167.93</v>
      </c>
      <c r="I672" s="19">
        <f>ROUND((I664+I669)/(I665+I670),2)</f>
        <v>16323.11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EXETER REGION COOPERATIVE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14825801.129999999</v>
      </c>
      <c r="C9" s="229">
        <f>'DOE25'!G197+'DOE25'!G215+'DOE25'!G233+'DOE25'!G276+'DOE25'!G295+'DOE25'!G314</f>
        <v>6424647.9000000004</v>
      </c>
    </row>
    <row r="10" spans="1:3" x14ac:dyDescent="0.2">
      <c r="A10" t="s">
        <v>775</v>
      </c>
      <c r="B10" s="240">
        <v>13958245.35</v>
      </c>
      <c r="C10" s="240">
        <v>6039169.0300000003</v>
      </c>
    </row>
    <row r="11" spans="1:3" x14ac:dyDescent="0.2">
      <c r="A11" t="s">
        <v>776</v>
      </c>
      <c r="B11" s="240">
        <v>365299.34</v>
      </c>
      <c r="C11" s="240">
        <v>160616.20000000001</v>
      </c>
    </row>
    <row r="12" spans="1:3" x14ac:dyDescent="0.2">
      <c r="A12" t="s">
        <v>777</v>
      </c>
      <c r="B12" s="240">
        <v>502256.44</v>
      </c>
      <c r="C12" s="240">
        <v>224862.67</v>
      </c>
    </row>
    <row r="13" spans="1:3" x14ac:dyDescent="0.2">
      <c r="A13" t="str">
        <f>IF(B9=B13,IF(C9=C13,"Check Total OK","Check Total Error"),"Check Total Error")</f>
        <v>Check Total OK</v>
      </c>
      <c r="B13" s="231">
        <f>SUM(B10:B12)</f>
        <v>14825801.129999999</v>
      </c>
      <c r="C13" s="231">
        <f>SUM(C10:C12)</f>
        <v>6424647.9000000004</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4331315.2299999995</v>
      </c>
      <c r="C18" s="229">
        <f>'DOE25'!G198+'DOE25'!G216+'DOE25'!G234+'DOE25'!G277+'DOE25'!G296+'DOE25'!G315</f>
        <v>1896719.3</v>
      </c>
    </row>
    <row r="19" spans="1:3" x14ac:dyDescent="0.2">
      <c r="A19" t="s">
        <v>775</v>
      </c>
      <c r="B19" s="240">
        <v>2217208.7599999998</v>
      </c>
      <c r="C19" s="240">
        <v>967326.84</v>
      </c>
    </row>
    <row r="20" spans="1:3" x14ac:dyDescent="0.2">
      <c r="A20" t="s">
        <v>776</v>
      </c>
      <c r="B20" s="240">
        <v>1664118.85</v>
      </c>
      <c r="C20" s="240">
        <v>720753.33</v>
      </c>
    </row>
    <row r="21" spans="1:3" x14ac:dyDescent="0.2">
      <c r="A21" t="s">
        <v>777</v>
      </c>
      <c r="B21" s="240">
        <v>449987.62</v>
      </c>
      <c r="C21" s="240">
        <v>208639.13</v>
      </c>
    </row>
    <row r="22" spans="1:3" x14ac:dyDescent="0.2">
      <c r="A22" t="str">
        <f>IF(B18=B22,IF(C18=C22,"Check Total OK","Check Total Error"),"Check Total Error")</f>
        <v>Check Total OK</v>
      </c>
      <c r="B22" s="231">
        <f>SUM(B19:B21)</f>
        <v>4331315.2299999995</v>
      </c>
      <c r="C22" s="231">
        <f>SUM(C19:C21)</f>
        <v>1896719.2999999998</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1723430.26</v>
      </c>
      <c r="C27" s="234">
        <f>'DOE25'!G199+'DOE25'!G217+'DOE25'!G235+'DOE25'!G278+'DOE25'!G297+'DOE25'!G316</f>
        <v>752416.92999999993</v>
      </c>
    </row>
    <row r="28" spans="1:3" x14ac:dyDescent="0.2">
      <c r="A28" t="s">
        <v>775</v>
      </c>
      <c r="B28" s="240">
        <v>1208820.69</v>
      </c>
      <c r="C28" s="240">
        <v>526945.07999999996</v>
      </c>
    </row>
    <row r="29" spans="1:3" x14ac:dyDescent="0.2">
      <c r="A29" t="s">
        <v>776</v>
      </c>
      <c r="B29" s="240">
        <v>147841.06</v>
      </c>
      <c r="C29" s="240">
        <v>67641.55</v>
      </c>
    </row>
    <row r="30" spans="1:3" x14ac:dyDescent="0.2">
      <c r="A30" t="s">
        <v>777</v>
      </c>
      <c r="B30" s="240">
        <v>366768.51</v>
      </c>
      <c r="C30" s="240">
        <v>157830.29999999999</v>
      </c>
    </row>
    <row r="31" spans="1:3" x14ac:dyDescent="0.2">
      <c r="A31" t="str">
        <f>IF(B27=B31,IF(C27=C31,"Check Total OK","Check Total Error"),"Check Total Error")</f>
        <v>Check Total OK</v>
      </c>
      <c r="B31" s="231">
        <f>SUM(B28:B30)</f>
        <v>1723430.26</v>
      </c>
      <c r="C31" s="231">
        <f>SUM(C28:C30)</f>
        <v>752416.92999999993</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688039.76</v>
      </c>
      <c r="C36" s="235">
        <f>'DOE25'!G200+'DOE25'!G218+'DOE25'!G236+'DOE25'!G279+'DOE25'!G298+'DOE25'!G317</f>
        <v>298156.78999999998</v>
      </c>
    </row>
    <row r="37" spans="1:3" x14ac:dyDescent="0.2">
      <c r="A37" t="s">
        <v>775</v>
      </c>
      <c r="B37" s="240">
        <v>688039.76</v>
      </c>
      <c r="C37" s="240">
        <v>298156.78999999998</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688039.76</v>
      </c>
      <c r="C40" s="231">
        <f>SUM(C37:C39)</f>
        <v>298156.78999999998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5" sqref="F25"/>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EXETER REGION COOPERATIVE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34211729.07</v>
      </c>
      <c r="D5" s="20">
        <f>SUM('DOE25'!L197:L200)+SUM('DOE25'!L215:L218)+SUM('DOE25'!L233:L236)-F5-G5-H5</f>
        <v>34107923.100000001</v>
      </c>
      <c r="E5" s="243"/>
      <c r="F5" s="244"/>
      <c r="G5" s="53">
        <f>SUM('DOE25'!J197:J200)+SUM('DOE25'!J215:J218)+SUM('DOE25'!J233:J236)</f>
        <v>90159.47</v>
      </c>
      <c r="H5" s="53">
        <f>SUM('DOE25'!K197:K200)+SUM('DOE25'!K215:K218)+SUM('DOE25'!K233:K236)</f>
        <v>13646.5</v>
      </c>
      <c r="I5" s="256"/>
    </row>
    <row r="6" spans="1:9" x14ac:dyDescent="0.2">
      <c r="A6" s="32">
        <v>2100</v>
      </c>
      <c r="B6" t="s">
        <v>796</v>
      </c>
      <c r="C6" s="276">
        <f t="shared" si="0"/>
        <v>4346145.08</v>
      </c>
      <c r="D6" s="20">
        <f>'DOE25'!L202+'DOE25'!L220+'DOE25'!L238-F6-G6-H6</f>
        <v>4271990.84</v>
      </c>
      <c r="E6" s="243"/>
      <c r="F6" s="244">
        <v>72670.240000000005</v>
      </c>
      <c r="G6" s="53">
        <f>'DOE25'!J202+'DOE25'!J220+'DOE25'!J238</f>
        <v>1484</v>
      </c>
      <c r="H6" s="53">
        <f>'DOE25'!K202+'DOE25'!K220+'DOE25'!K238</f>
        <v>0</v>
      </c>
      <c r="I6" s="256"/>
    </row>
    <row r="7" spans="1:9" x14ac:dyDescent="0.2">
      <c r="A7" s="32">
        <v>2200</v>
      </c>
      <c r="B7" t="s">
        <v>821</v>
      </c>
      <c r="C7" s="276">
        <f t="shared" si="0"/>
        <v>2414979.5900000003</v>
      </c>
      <c r="D7" s="20">
        <f>'DOE25'!L203+'DOE25'!L221+'DOE25'!L239-F7-G7-H7</f>
        <v>2050022.6600000001</v>
      </c>
      <c r="E7" s="243"/>
      <c r="F7" s="244">
        <v>2066.31</v>
      </c>
      <c r="G7" s="53">
        <f>'DOE25'!J203+'DOE25'!J221+'DOE25'!J239</f>
        <v>358835.62</v>
      </c>
      <c r="H7" s="53">
        <f>'DOE25'!K203+'DOE25'!K221+'DOE25'!K239</f>
        <v>4055</v>
      </c>
      <c r="I7" s="256"/>
    </row>
    <row r="8" spans="1:9" x14ac:dyDescent="0.2">
      <c r="A8" s="32">
        <v>2300</v>
      </c>
      <c r="B8" t="s">
        <v>797</v>
      </c>
      <c r="C8" s="276">
        <f t="shared" si="0"/>
        <v>946689.65</v>
      </c>
      <c r="D8" s="243"/>
      <c r="E8" s="20">
        <f>'DOE25'!L204+'DOE25'!L222+'DOE25'!L240-F8-G8-H8-D9-D11</f>
        <v>946689.65</v>
      </c>
      <c r="F8" s="244"/>
      <c r="G8" s="53">
        <f>'DOE25'!J204+'DOE25'!J222+'DOE25'!J240</f>
        <v>0</v>
      </c>
      <c r="H8" s="53">
        <f>'DOE25'!K204+'DOE25'!K222+'DOE25'!K240</f>
        <v>0</v>
      </c>
      <c r="I8" s="256"/>
    </row>
    <row r="9" spans="1:9" ht="14.25" x14ac:dyDescent="0.2">
      <c r="A9" s="32">
        <v>2310</v>
      </c>
      <c r="B9" s="185" t="s">
        <v>890</v>
      </c>
      <c r="C9" s="276">
        <f t="shared" si="0"/>
        <v>87791.31</v>
      </c>
      <c r="D9" s="244">
        <v>87791.31</v>
      </c>
      <c r="E9" s="243"/>
      <c r="F9" s="253"/>
      <c r="G9" s="253"/>
      <c r="H9" s="253"/>
      <c r="I9" s="256"/>
    </row>
    <row r="10" spans="1:9" ht="14.25" x14ac:dyDescent="0.2">
      <c r="A10" s="32">
        <v>2317</v>
      </c>
      <c r="B10" s="185" t="s">
        <v>891</v>
      </c>
      <c r="C10" s="276">
        <f t="shared" si="0"/>
        <v>20750</v>
      </c>
      <c r="D10" s="243"/>
      <c r="E10" s="244">
        <v>20750</v>
      </c>
      <c r="F10" s="253"/>
      <c r="G10" s="253"/>
      <c r="H10" s="253"/>
      <c r="I10" s="256"/>
    </row>
    <row r="11" spans="1:9" ht="14.25" x14ac:dyDescent="0.2">
      <c r="A11" s="32">
        <v>2321</v>
      </c>
      <c r="B11" s="185" t="s">
        <v>892</v>
      </c>
      <c r="C11" s="276">
        <f t="shared" si="0"/>
        <v>277274.64</v>
      </c>
      <c r="D11" s="244">
        <v>277274.64</v>
      </c>
      <c r="E11" s="243"/>
      <c r="F11" s="253"/>
      <c r="G11" s="253"/>
      <c r="H11" s="253"/>
      <c r="I11" s="256"/>
    </row>
    <row r="12" spans="1:9" x14ac:dyDescent="0.2">
      <c r="A12" s="32">
        <v>2400</v>
      </c>
      <c r="B12" t="s">
        <v>711</v>
      </c>
      <c r="C12" s="276">
        <f t="shared" si="0"/>
        <v>2294858.81</v>
      </c>
      <c r="D12" s="20">
        <f>'DOE25'!L205+'DOE25'!L223+'DOE25'!L241-F12-G12-H12</f>
        <v>2273307.6800000002</v>
      </c>
      <c r="E12" s="243"/>
      <c r="F12" s="244"/>
      <c r="G12" s="53">
        <f>'DOE25'!J205+'DOE25'!J223+'DOE25'!J241</f>
        <v>7934.67</v>
      </c>
      <c r="H12" s="53">
        <f>'DOE25'!K205+'DOE25'!K223+'DOE25'!K241</f>
        <v>13616.46</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5374684.4699999997</v>
      </c>
      <c r="D14" s="20">
        <f>'DOE25'!L207+'DOE25'!L225+'DOE25'!L243-F14-G14-H14</f>
        <v>5285750.55</v>
      </c>
      <c r="E14" s="243"/>
      <c r="F14" s="244">
        <v>81524.97</v>
      </c>
      <c r="G14" s="53">
        <f>'DOE25'!J207+'DOE25'!J225+'DOE25'!J243</f>
        <v>7408.95</v>
      </c>
      <c r="H14" s="53">
        <f>'DOE25'!K207+'DOE25'!K225+'DOE25'!K243</f>
        <v>0</v>
      </c>
      <c r="I14" s="256"/>
    </row>
    <row r="15" spans="1:9" x14ac:dyDescent="0.2">
      <c r="A15" s="32">
        <v>2700</v>
      </c>
      <c r="B15" t="s">
        <v>799</v>
      </c>
      <c r="C15" s="276">
        <f t="shared" si="0"/>
        <v>2522838.23</v>
      </c>
      <c r="D15" s="20">
        <f>'DOE25'!L208+'DOE25'!L226+'DOE25'!L244-F15-G15-H15</f>
        <v>214186.91999999993</v>
      </c>
      <c r="E15" s="243"/>
      <c r="F15" s="244">
        <v>2308651.31</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176060.41999999998</v>
      </c>
      <c r="D17" s="20">
        <f>'DOE25'!L251-F17-G17-H17</f>
        <v>176060.41999999998</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3172043.25</v>
      </c>
      <c r="D25" s="243"/>
      <c r="E25" s="243"/>
      <c r="F25" s="255"/>
      <c r="G25" s="253"/>
      <c r="H25" s="253"/>
      <c r="I25" s="254">
        <f>'DOE25'!L260+'DOE25'!L261+'DOE25'!L341+'DOE25'!L342</f>
        <v>3172043.25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638607.28</v>
      </c>
      <c r="D29" s="284">
        <f>'DOE25'!L358+'DOE25'!L359+'DOE25'!L360-'DOE25'!I367-F29-G29-H29</f>
        <v>528023.12000000011</v>
      </c>
      <c r="E29" s="243"/>
      <c r="F29" s="244"/>
      <c r="G29" s="53">
        <f>'DOE25'!J358+'DOE25'!J359+'DOE25'!J360</f>
        <v>108138.09</v>
      </c>
      <c r="H29" s="53">
        <f>'DOE25'!K358+'DOE25'!K359+'DOE25'!K360</f>
        <v>2446.0700000000002</v>
      </c>
      <c r="I29" s="256"/>
    </row>
    <row r="30" spans="1:9" x14ac:dyDescent="0.2">
      <c r="A30" s="32"/>
      <c r="C30" s="277"/>
      <c r="D30" s="20"/>
      <c r="E30" s="281"/>
      <c r="F30" s="271"/>
      <c r="G30" s="53"/>
      <c r="H30" s="53"/>
      <c r="I30" s="256"/>
    </row>
    <row r="31" spans="1:9" x14ac:dyDescent="0.2">
      <c r="A31" s="32" t="s">
        <v>818</v>
      </c>
      <c r="B31" t="s">
        <v>817</v>
      </c>
      <c r="C31" s="276">
        <f>SUM(D31:I31)</f>
        <v>1320366.5499999998</v>
      </c>
      <c r="D31" s="20">
        <f>'DOE25'!L290+'DOE25'!L309+'DOE25'!L328+'DOE25'!L333+'DOE25'!L334+'DOE25'!L335-F31-G31-H31</f>
        <v>461356.12999999989</v>
      </c>
      <c r="E31" s="243"/>
      <c r="F31" s="244"/>
      <c r="G31" s="53">
        <f>'DOE25'!J290+'DOE25'!J309+'DOE25'!J328+'DOE25'!J333+'DOE25'!J334+'DOE25'!J335</f>
        <v>33792.53</v>
      </c>
      <c r="H31" s="53">
        <f>'DOE25'!K290+'DOE25'!K309+'DOE25'!K328+'DOE25'!K333+'DOE25'!K334+'DOE25'!K335</f>
        <v>825217.8899999999</v>
      </c>
      <c r="I31" s="256"/>
    </row>
    <row r="32" spans="1:9" ht="12" thickBot="1" x14ac:dyDescent="0.25">
      <c r="C32" s="277"/>
      <c r="G32" s="251"/>
      <c r="H32" s="251"/>
      <c r="I32" s="258"/>
    </row>
    <row r="33" spans="1:9" ht="12" thickTop="1" x14ac:dyDescent="0.2">
      <c r="B33" t="s">
        <v>809</v>
      </c>
      <c r="D33" s="245">
        <f t="shared" ref="D33:I33" si="1">SUM(D5:D31)</f>
        <v>49733687.369999997</v>
      </c>
      <c r="E33" s="245">
        <f t="shared" si="1"/>
        <v>967439.65</v>
      </c>
      <c r="F33" s="245">
        <f t="shared" si="1"/>
        <v>2464912.83</v>
      </c>
      <c r="G33" s="245">
        <f t="shared" si="1"/>
        <v>607753.32999999996</v>
      </c>
      <c r="H33" s="245">
        <f t="shared" si="1"/>
        <v>858981.91999999993</v>
      </c>
      <c r="I33" s="245">
        <f t="shared" si="1"/>
        <v>3172043.25</v>
      </c>
    </row>
    <row r="35" spans="1:9" ht="12" thickBot="1" x14ac:dyDescent="0.25">
      <c r="B35" s="251" t="s">
        <v>831</v>
      </c>
      <c r="D35" s="252">
        <f>E33</f>
        <v>967439.65</v>
      </c>
      <c r="E35" s="248"/>
    </row>
    <row r="36" spans="1:9" ht="12" thickTop="1" x14ac:dyDescent="0.2">
      <c r="B36" t="s">
        <v>810</v>
      </c>
      <c r="D36" s="20">
        <f>D33</f>
        <v>49733687.369999997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0" sqref="E30"/>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EXETER REGION COOPERATIVE SCHOOL DISTRICT</v>
      </c>
      <c r="B2" s="126">
        <f>'DOE25'!B2</f>
        <v>172</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0</v>
      </c>
      <c r="G4" s="303">
        <f>'DOE25'!L211+'DOE25'!L290</f>
        <v>0</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21773573.670000002</v>
      </c>
      <c r="G24" s="303">
        <f>'DOE25'!L229+'DOE25'!L309</f>
        <v>21773573.670000002</v>
      </c>
      <c r="H24" s="304">
        <f>F24-G24</f>
        <v>0</v>
      </c>
      <c r="I24" s="310" t="str">
        <f>IF(H24=0,"","Does not match DOE25 page 8 and 12 Totals!!")</f>
        <v/>
      </c>
      <c r="N24"/>
    </row>
    <row r="25" spans="1:14" x14ac:dyDescent="0.2">
      <c r="A25" s="21" t="s">
        <v>1045</v>
      </c>
      <c r="B25" s="305">
        <f>IFERROR(VLOOKUP(A25,'School Tables'!$I$3:$J$80,2,FALSE),"")</f>
        <v>20590</v>
      </c>
      <c r="C25" s="297" t="str">
        <f t="array" ref="C25">IFERROR(INDEX('School Tables'!$H$3:$H$80,MATCH('School Level Expenditures'!B25,'School Tables'!$J$3:$J$80,0)),"")</f>
        <v>Exeter Region Cooperative</v>
      </c>
      <c r="D25" s="294">
        <v>21773573.670000002</v>
      </c>
      <c r="E25" s="294"/>
      <c r="F25" s="308">
        <f>D25+E25</f>
        <v>21773573.670000002</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31649937.859999999</v>
      </c>
      <c r="G36" s="303">
        <f>'DOE25'!L247+'DOE25'!L328</f>
        <v>31649937.859999996</v>
      </c>
      <c r="H36" s="304">
        <f>F36-G36</f>
        <v>0</v>
      </c>
      <c r="I36" s="310" t="str">
        <f>IF(H36=0,"","Does not match DOE25 page 9 and 13 Totals!!")</f>
        <v/>
      </c>
      <c r="N36"/>
    </row>
    <row r="37" spans="1:14" x14ac:dyDescent="0.2">
      <c r="A37" s="21" t="s">
        <v>1046</v>
      </c>
      <c r="B37" s="305">
        <f>IFERROR(VLOOKUP(A37,'School Tables'!$O$3:$P$122,2,FALSE),"")</f>
        <v>20600</v>
      </c>
      <c r="C37" s="297" t="str">
        <f t="array" ref="C37">IFERROR(INDEX('School Tables'!$N$3:$N$122,MATCH('School Level Expenditures'!B37,'School Tables'!$P$3:$P$122,0)),"")</f>
        <v>Exeter Region Cooperative</v>
      </c>
      <c r="D37" s="294">
        <v>31649937.859999999</v>
      </c>
      <c r="E37" s="294"/>
      <c r="F37" s="308">
        <f>D37+E37</f>
        <v>31649937.859999999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EXETER REGION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246729.59</v>
      </c>
      <c r="D8" s="95">
        <f>'DOE25'!G9</f>
        <v>0</v>
      </c>
      <c r="E8" s="95">
        <f>'DOE25'!H9</f>
        <v>367424.51</v>
      </c>
      <c r="F8" s="95">
        <f>'DOE25'!I9</f>
        <v>0</v>
      </c>
      <c r="G8" s="95">
        <f>'DOE25'!J9</f>
        <v>2162300.4300000002</v>
      </c>
      <c r="H8" s="124"/>
      <c r="I8" s="124"/>
    </row>
    <row r="9" spans="1:9" x14ac:dyDescent="0.2">
      <c r="A9" s="1" t="s">
        <v>140</v>
      </c>
      <c r="B9" s="6">
        <v>110</v>
      </c>
      <c r="C9" s="95">
        <f>'DOE25'!F10</f>
        <v>2787662.88</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281694.17</v>
      </c>
      <c r="D11" s="95">
        <f>'DOE25'!G12</f>
        <v>431508.51</v>
      </c>
      <c r="E11" s="95">
        <f>'DOE25'!H12</f>
        <v>120699.93</v>
      </c>
      <c r="F11" s="95">
        <f>'DOE25'!I12</f>
        <v>0</v>
      </c>
      <c r="G11" s="95">
        <f>'DOE25'!J12</f>
        <v>0</v>
      </c>
      <c r="H11" s="124"/>
      <c r="I11" s="124"/>
    </row>
    <row r="12" spans="1:9" x14ac:dyDescent="0.2">
      <c r="A12" s="1" t="s">
        <v>143</v>
      </c>
      <c r="B12" s="6">
        <v>140</v>
      </c>
      <c r="C12" s="95">
        <f>'DOE25'!F13</f>
        <v>271639.67999999999</v>
      </c>
      <c r="D12" s="95">
        <f>'DOE25'!G13</f>
        <v>15592.73</v>
      </c>
      <c r="E12" s="95">
        <f>'DOE25'!H13</f>
        <v>74567.520000000004</v>
      </c>
      <c r="F12" s="95">
        <f>'DOE25'!I13</f>
        <v>0</v>
      </c>
      <c r="G12" s="95">
        <f>'DOE25'!J13</f>
        <v>0</v>
      </c>
      <c r="H12" s="124"/>
      <c r="I12" s="124"/>
    </row>
    <row r="13" spans="1:9" x14ac:dyDescent="0.2">
      <c r="A13" s="1" t="s">
        <v>144</v>
      </c>
      <c r="B13" s="6">
        <v>150</v>
      </c>
      <c r="C13" s="95">
        <f>'DOE25'!F14</f>
        <v>26484.2</v>
      </c>
      <c r="D13" s="95">
        <f>'DOE25'!G14</f>
        <v>0</v>
      </c>
      <c r="E13" s="95">
        <f>'DOE25'!H14</f>
        <v>2749.08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58036.66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3672247.18</v>
      </c>
      <c r="D18" s="41">
        <f>SUM(D8:D17)</f>
        <v>447101.24</v>
      </c>
      <c r="E18" s="41">
        <f>SUM(E8:E17)</f>
        <v>565441.03999999992</v>
      </c>
      <c r="F18" s="41">
        <f>SUM(F8:F17)</f>
        <v>0</v>
      </c>
      <c r="G18" s="41">
        <f>SUM(G8:G17)</f>
        <v>2162300.4300000002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552208.43999999994</v>
      </c>
      <c r="D21" s="95">
        <f>'DOE25'!G22</f>
        <v>0</v>
      </c>
      <c r="E21" s="95">
        <f>'DOE25'!H22</f>
        <v>74567.520000000004</v>
      </c>
      <c r="F21" s="95">
        <f>'DOE25'!I22</f>
        <v>207126.65</v>
      </c>
      <c r="G21" s="95">
        <f>'DOE25'!J22</f>
        <v>0</v>
      </c>
      <c r="H21" s="124"/>
      <c r="I21" s="124"/>
    </row>
    <row r="22" spans="1:9" x14ac:dyDescent="0.2">
      <c r="A22" s="1" t="s">
        <v>151</v>
      </c>
      <c r="B22" s="6">
        <v>410</v>
      </c>
      <c r="C22" s="95">
        <f>'DOE25'!F23</f>
        <v>1007309.36</v>
      </c>
      <c r="D22" s="95">
        <f>'DOE25'!G23</f>
        <v>0</v>
      </c>
      <c r="E22" s="95">
        <f>'DOE25'!H23</f>
        <v>0</v>
      </c>
      <c r="F22" s="95">
        <f>'DOE25'!I23</f>
        <v>0</v>
      </c>
      <c r="G22" s="95">
        <f>'DOE25'!J23</f>
        <v>0</v>
      </c>
      <c r="H22" s="124"/>
      <c r="I22" s="124"/>
    </row>
    <row r="23" spans="1:9" x14ac:dyDescent="0.2">
      <c r="A23" s="1" t="s">
        <v>152</v>
      </c>
      <c r="B23" s="6">
        <v>420</v>
      </c>
      <c r="C23" s="95">
        <f>'DOE25'!F24</f>
        <v>87218.98</v>
      </c>
      <c r="D23" s="95">
        <f>'DOE25'!G24</f>
        <v>6493.01</v>
      </c>
      <c r="E23" s="95">
        <f>'DOE25'!H24</f>
        <v>800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18569.68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32759.73</v>
      </c>
      <c r="E29" s="95">
        <f>'DOE25'!H30</f>
        <v>0</v>
      </c>
      <c r="F29" s="95">
        <f>'DOE25'!I30</f>
        <v>0</v>
      </c>
      <c r="G29" s="24" t="s">
        <v>288</v>
      </c>
      <c r="H29" s="124"/>
      <c r="I29" s="124"/>
    </row>
    <row r="30" spans="1:9" ht="12" thickBot="1" x14ac:dyDescent="0.25">
      <c r="A30" s="1" t="s">
        <v>159</v>
      </c>
      <c r="B30" s="71">
        <v>490</v>
      </c>
      <c r="C30" s="95">
        <f>'DOE25'!F31</f>
        <v>41688.129999999997</v>
      </c>
      <c r="D30" s="95">
        <f>'DOE25'!G31</f>
        <v>0</v>
      </c>
      <c r="E30" s="95">
        <f>'DOE25'!H31</f>
        <v>1905.79</v>
      </c>
      <c r="F30" s="95">
        <f>'DOE25'!I31</f>
        <v>0</v>
      </c>
      <c r="G30" s="95">
        <f>'DOE25'!J31</f>
        <v>0</v>
      </c>
      <c r="H30" s="124"/>
      <c r="I30" s="124"/>
    </row>
    <row r="31" spans="1:9" ht="12" thickTop="1" x14ac:dyDescent="0.2">
      <c r="A31" s="38" t="s">
        <v>160</v>
      </c>
      <c r="B31" s="2"/>
      <c r="C31" s="41">
        <f>SUM(C21:C30)</f>
        <v>1706994.5899999996</v>
      </c>
      <c r="D31" s="41">
        <f>SUM(D21:D30)</f>
        <v>39252.74</v>
      </c>
      <c r="E31" s="41">
        <f>SUM(E21:E30)</f>
        <v>77273.31</v>
      </c>
      <c r="F31" s="41">
        <f>SUM(F21:F30)</f>
        <v>207126.65</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407848.5</v>
      </c>
      <c r="E47" s="95">
        <f>'DOE25'!H48</f>
        <v>488167.73</v>
      </c>
      <c r="F47" s="95">
        <f>'DOE25'!I48</f>
        <v>-207126.65</v>
      </c>
      <c r="G47" s="95">
        <f>'DOE25'!J48</f>
        <v>2162300.4300000002</v>
      </c>
      <c r="H47" s="124"/>
      <c r="I47" s="124"/>
    </row>
    <row r="48" spans="1:9" x14ac:dyDescent="0.2">
      <c r="A48" s="1" t="s">
        <v>882</v>
      </c>
      <c r="B48" s="6">
        <v>753</v>
      </c>
      <c r="C48" s="95">
        <f>'DOE25'!F49</f>
        <v>459087.08</v>
      </c>
      <c r="D48" s="95">
        <f>'DOE25'!G49</f>
        <v>0</v>
      </c>
      <c r="E48" s="95">
        <f>'DOE25'!H49</f>
        <v>0</v>
      </c>
      <c r="F48" s="95">
        <f>'DOE25'!I49</f>
        <v>0</v>
      </c>
      <c r="G48" s="95">
        <f>'DOE25'!J49</f>
        <v>0</v>
      </c>
      <c r="H48" s="124"/>
      <c r="I48" s="124"/>
    </row>
    <row r="49" spans="1:9" ht="12" thickBot="1" x14ac:dyDescent="0.25">
      <c r="A49" s="29" t="s">
        <v>883</v>
      </c>
      <c r="B49" s="71">
        <v>770</v>
      </c>
      <c r="C49" s="95">
        <f>'DOE25'!F50</f>
        <v>1456165.51</v>
      </c>
      <c r="D49" s="24" t="s">
        <v>288</v>
      </c>
      <c r="E49" s="24" t="s">
        <v>288</v>
      </c>
      <c r="F49" s="24" t="s">
        <v>288</v>
      </c>
      <c r="G49" s="24" t="s">
        <v>288</v>
      </c>
      <c r="H49" s="124"/>
      <c r="I49" s="124"/>
    </row>
    <row r="50" spans="1:9" ht="12.75" thickTop="1" thickBot="1" x14ac:dyDescent="0.25">
      <c r="A50" s="38" t="s">
        <v>884</v>
      </c>
      <c r="B50" s="48"/>
      <c r="C50" s="41">
        <f>SUM(C34:C49)</f>
        <v>1965252.59</v>
      </c>
      <c r="D50" s="41">
        <f>SUM(D34:D49)</f>
        <v>407848.5</v>
      </c>
      <c r="E50" s="41">
        <f>SUM(E34:E49)</f>
        <v>488167.73</v>
      </c>
      <c r="F50" s="41">
        <f>SUM(F34:F49)</f>
        <v>-207126.65</v>
      </c>
      <c r="G50" s="41">
        <f>SUM(G34:G49)</f>
        <v>2162300.4300000002</v>
      </c>
      <c r="H50" s="124"/>
      <c r="I50" s="124"/>
    </row>
    <row r="51" spans="1:9" ht="12" thickTop="1" x14ac:dyDescent="0.2">
      <c r="A51" s="38" t="s">
        <v>885</v>
      </c>
      <c r="B51" s="2"/>
      <c r="C51" s="41">
        <f>C50+C31</f>
        <v>3672247.1799999997</v>
      </c>
      <c r="D51" s="41">
        <f>D50+D31</f>
        <v>447101.24</v>
      </c>
      <c r="E51" s="41">
        <f>E50+E31</f>
        <v>565441.04</v>
      </c>
      <c r="F51" s="41">
        <f>F50+F31</f>
        <v>0</v>
      </c>
      <c r="G51" s="41">
        <f>G50+G31</f>
        <v>2162300.4300000002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37992470</v>
      </c>
      <c r="D56" s="95">
        <f>'DOE25'!G60</f>
        <v>0</v>
      </c>
      <c r="E56" s="95">
        <f>'DOE25'!H60</f>
        <v>0</v>
      </c>
      <c r="F56" s="95">
        <f>'DOE25'!I60</f>
        <v>0</v>
      </c>
      <c r="G56" s="95">
        <f>'DOE25'!J60</f>
        <v>0</v>
      </c>
      <c r="H56"/>
      <c r="I56"/>
    </row>
    <row r="57" spans="1:9" x14ac:dyDescent="0.2">
      <c r="A57" s="1" t="s">
        <v>164</v>
      </c>
      <c r="B57" s="6" t="s">
        <v>165</v>
      </c>
      <c r="C57" s="95">
        <f>'DOE25'!F79</f>
        <v>1007354.03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114888.48</v>
      </c>
      <c r="D59" s="95">
        <f>'DOE25'!G96</f>
        <v>1474.02</v>
      </c>
      <c r="E59" s="95">
        <f>'DOE25'!H96</f>
        <v>0</v>
      </c>
      <c r="F59" s="95">
        <f>'DOE25'!I96</f>
        <v>0</v>
      </c>
      <c r="G59" s="95">
        <f>'DOE25'!J96</f>
        <v>16763.12</v>
      </c>
      <c r="H59"/>
      <c r="I59"/>
    </row>
    <row r="60" spans="1:9" x14ac:dyDescent="0.2">
      <c r="A60" s="1" t="s">
        <v>170</v>
      </c>
      <c r="B60" s="118" t="s">
        <v>171</v>
      </c>
      <c r="C60" s="24" t="s">
        <v>288</v>
      </c>
      <c r="D60" s="95">
        <f>'DOE25'!G97</f>
        <v>838787.57</v>
      </c>
      <c r="E60" s="24" t="s">
        <v>288</v>
      </c>
      <c r="F60" s="24" t="s">
        <v>288</v>
      </c>
      <c r="G60" s="24" t="s">
        <v>288</v>
      </c>
      <c r="H60"/>
      <c r="I60"/>
    </row>
    <row r="61" spans="1:9" ht="12" thickBot="1" x14ac:dyDescent="0.25">
      <c r="A61" s="1" t="s">
        <v>172</v>
      </c>
      <c r="B61" s="118" t="s">
        <v>173</v>
      </c>
      <c r="C61" s="95">
        <f>SUM('DOE25'!F98:F110)</f>
        <v>366634.93000000005</v>
      </c>
      <c r="D61" s="95">
        <f>SUM('DOE25'!G98:G110)</f>
        <v>53591.460000000006</v>
      </c>
      <c r="E61" s="95">
        <f>SUM('DOE25'!H98:H110)</f>
        <v>954812.83</v>
      </c>
      <c r="F61" s="95">
        <f>SUM('DOE25'!I98:I110)</f>
        <v>0</v>
      </c>
      <c r="G61" s="95">
        <f>SUM('DOE25'!J98:J110)</f>
        <v>474104.6</v>
      </c>
      <c r="H61"/>
      <c r="I61"/>
    </row>
    <row r="62" spans="1:9" ht="12.75" thickTop="1" thickBot="1" x14ac:dyDescent="0.25">
      <c r="A62" s="29" t="s">
        <v>174</v>
      </c>
      <c r="B62" s="6"/>
      <c r="C62" s="130">
        <f>SUM(C57:C61)</f>
        <v>1488877.44</v>
      </c>
      <c r="D62" s="130">
        <f>SUM(D57:D61)</f>
        <v>893853.04999999993</v>
      </c>
      <c r="E62" s="130">
        <f>SUM(E57:E61)</f>
        <v>954812.83</v>
      </c>
      <c r="F62" s="130">
        <f>SUM(F57:F61)</f>
        <v>0</v>
      </c>
      <c r="G62" s="130">
        <f>SUM(G57:G61)</f>
        <v>490867.72</v>
      </c>
      <c r="H62"/>
      <c r="I62"/>
    </row>
    <row r="63" spans="1:9" ht="12" thickTop="1" x14ac:dyDescent="0.2">
      <c r="A63" s="29" t="s">
        <v>175</v>
      </c>
      <c r="B63" s="6"/>
      <c r="C63" s="22">
        <f>C56+C62</f>
        <v>39481347.439999998</v>
      </c>
      <c r="D63" s="22">
        <f>D56+D62</f>
        <v>893853.04999999993</v>
      </c>
      <c r="E63" s="22">
        <f>E56+E62</f>
        <v>954812.83</v>
      </c>
      <c r="F63" s="22">
        <f>F56+F62</f>
        <v>0</v>
      </c>
      <c r="G63" s="22">
        <f>G56+G62</f>
        <v>490867.72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6058105.79</v>
      </c>
      <c r="D66" s="24" t="s">
        <v>288</v>
      </c>
      <c r="E66" s="24" t="s">
        <v>288</v>
      </c>
      <c r="F66" s="24" t="s">
        <v>288</v>
      </c>
      <c r="G66" s="24" t="s">
        <v>288</v>
      </c>
      <c r="H66"/>
      <c r="I66"/>
    </row>
    <row r="67" spans="1:9" x14ac:dyDescent="0.2">
      <c r="A67" s="1" t="s">
        <v>770</v>
      </c>
      <c r="B67" s="6">
        <v>3112</v>
      </c>
      <c r="C67" s="95">
        <f>'DOE25'!F118</f>
        <v>6007187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32760.21</v>
      </c>
      <c r="D69" s="95">
        <f>'DOE25'!G120</f>
        <v>0</v>
      </c>
      <c r="E69" s="95">
        <f>'DOE25'!H120</f>
        <v>0</v>
      </c>
      <c r="F69" s="95">
        <f>'DOE25'!I120</f>
        <v>0</v>
      </c>
      <c r="G69" s="95">
        <f>'DOE25'!J120</f>
        <v>0</v>
      </c>
      <c r="H69"/>
      <c r="I69"/>
    </row>
    <row r="70" spans="1:9" ht="12" thickTop="1" x14ac:dyDescent="0.2">
      <c r="A70" s="29" t="s">
        <v>252</v>
      </c>
      <c r="B70" s="2"/>
      <c r="C70" s="139">
        <f>SUM(C66:C69)</f>
        <v>12098053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1109820.32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425451.51</v>
      </c>
      <c r="D75" s="24" t="s">
        <v>288</v>
      </c>
      <c r="E75" s="24" t="s">
        <v>288</v>
      </c>
      <c r="F75" s="24" t="s">
        <v>288</v>
      </c>
      <c r="G75" s="24" t="s">
        <v>288</v>
      </c>
      <c r="H75"/>
      <c r="I75"/>
    </row>
    <row r="76" spans="1:9" x14ac:dyDescent="0.2">
      <c r="A76" s="1" t="s">
        <v>257</v>
      </c>
      <c r="B76" s="6" t="s">
        <v>179</v>
      </c>
      <c r="C76" s="95">
        <f>SUM('DOE25'!F127:F130)</f>
        <v>1216678.44</v>
      </c>
      <c r="D76" s="24" t="s">
        <v>288</v>
      </c>
      <c r="E76" s="95">
        <f>SUM('DOE25'!H127:H130)</f>
        <v>0</v>
      </c>
      <c r="F76" s="95">
        <f>SUM('DOE25'!I127:I130)</f>
        <v>0</v>
      </c>
      <c r="G76" s="24" t="s">
        <v>288</v>
      </c>
      <c r="H76"/>
      <c r="I76"/>
    </row>
    <row r="77" spans="1:9" ht="12" thickBot="1" x14ac:dyDescent="0.25">
      <c r="A77" s="1" t="s">
        <v>258</v>
      </c>
      <c r="B77" s="6" t="s">
        <v>180</v>
      </c>
      <c r="C77" s="95">
        <f>SUM('DOE25'!F131:F135)</f>
        <v>67192</v>
      </c>
      <c r="D77" s="95">
        <f>SUM('DOE25'!G131:G135)</f>
        <v>10757.06</v>
      </c>
      <c r="E77" s="95">
        <f>SUM('DOE25'!H131:H135)</f>
        <v>0</v>
      </c>
      <c r="F77" s="95">
        <f>SUM('DOE25'!I131:I135)</f>
        <v>0</v>
      </c>
      <c r="G77" s="95">
        <f>SUM('DOE25'!J131:J135)</f>
        <v>0</v>
      </c>
      <c r="H77"/>
      <c r="I77"/>
    </row>
    <row r="78" spans="1:9" ht="12.75" thickTop="1" thickBot="1" x14ac:dyDescent="0.25">
      <c r="A78" s="29" t="s">
        <v>259</v>
      </c>
      <c r="B78" s="6"/>
      <c r="C78" s="130">
        <f>SUM(C72:C77)</f>
        <v>2819142.27</v>
      </c>
      <c r="D78" s="130">
        <f>SUM(D72:D77)</f>
        <v>10757.06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14917195.27</v>
      </c>
      <c r="D81" s="130">
        <f>SUM(D79:D80)+D78+D70</f>
        <v>10757.06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332272.87</v>
      </c>
      <c r="D88" s="95">
        <f>SUM('DOE25'!G153:G161)</f>
        <v>234468.97</v>
      </c>
      <c r="E88" s="95">
        <f>SUM('DOE25'!H153:H161)</f>
        <v>335849.35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332272.87</v>
      </c>
      <c r="D91" s="131">
        <f>SUM(D85:D90)</f>
        <v>234468.97</v>
      </c>
      <c r="E91" s="131">
        <f>SUM(E85:E90)</f>
        <v>335849.35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54730815.579999991</v>
      </c>
      <c r="D104" s="86">
        <f>D63+D81+D91+D103</f>
        <v>1139079.08</v>
      </c>
      <c r="E104" s="86">
        <f>E63+E81+E91+E103</f>
        <v>1290662.18</v>
      </c>
      <c r="F104" s="86">
        <f>F63+F81+F91+F103</f>
        <v>0</v>
      </c>
      <c r="G104" s="86">
        <f>G63+G81+G103</f>
        <v>540867.72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21789334.280000001</v>
      </c>
      <c r="D109" s="24" t="s">
        <v>288</v>
      </c>
      <c r="E109" s="95">
        <f>('DOE25'!L276)+('DOE25'!L295)+('DOE25'!L314)</f>
        <v>0</v>
      </c>
      <c r="F109" s="24" t="s">
        <v>288</v>
      </c>
      <c r="G109" s="24" t="s">
        <v>288</v>
      </c>
    </row>
    <row r="110" spans="1:7" x14ac:dyDescent="0.2">
      <c r="A110" t="s">
        <v>198</v>
      </c>
      <c r="B110" s="32" t="s">
        <v>199</v>
      </c>
      <c r="C110" s="95">
        <f>('DOE25'!L198)+('DOE25'!L216)+('DOE25'!L234)</f>
        <v>8637289.7699999996</v>
      </c>
      <c r="D110" s="24" t="s">
        <v>288</v>
      </c>
      <c r="E110" s="95">
        <f>('DOE25'!L277)+('DOE25'!L296)+('DOE25'!L315)</f>
        <v>0</v>
      </c>
      <c r="F110" s="24" t="s">
        <v>288</v>
      </c>
      <c r="G110" s="24" t="s">
        <v>288</v>
      </c>
    </row>
    <row r="111" spans="1:7" x14ac:dyDescent="0.2">
      <c r="A111" t="s">
        <v>200</v>
      </c>
      <c r="B111" s="32" t="s">
        <v>165</v>
      </c>
      <c r="C111" s="95">
        <f>('DOE25'!L199)+('DOE25'!L217)+('DOE25'!L235)</f>
        <v>2639894.79</v>
      </c>
      <c r="D111" s="24" t="s">
        <v>288</v>
      </c>
      <c r="E111" s="95">
        <f>('DOE25'!L278)+('DOE25'!L297)+('DOE25'!L316)</f>
        <v>119623.61</v>
      </c>
      <c r="F111" s="24" t="s">
        <v>288</v>
      </c>
      <c r="G111" s="24" t="s">
        <v>288</v>
      </c>
    </row>
    <row r="112" spans="1:7" x14ac:dyDescent="0.2">
      <c r="A112" t="s">
        <v>201</v>
      </c>
      <c r="B112" s="32" t="s">
        <v>167</v>
      </c>
      <c r="C112" s="95">
        <f>('DOE25'!L200)+('DOE25'!L218)+('DOE25'!L236)</f>
        <v>1145210.23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176060.41999999998</v>
      </c>
      <c r="D114" s="24" t="s">
        <v>288</v>
      </c>
      <c r="E114" s="95">
        <f>+ SUM('DOE25'!L333:L335)</f>
        <v>373845.87000000005</v>
      </c>
      <c r="F114" s="24" t="s">
        <v>288</v>
      </c>
      <c r="G114" s="24" t="s">
        <v>288</v>
      </c>
    </row>
    <row r="115" spans="1:7" ht="12.75" thickTop="1" thickBot="1" x14ac:dyDescent="0.25">
      <c r="A115" s="33" t="s">
        <v>205</v>
      </c>
      <c r="C115" s="86">
        <f>SUM(C109:C114)</f>
        <v>34387789.490000002</v>
      </c>
      <c r="D115" s="86">
        <f>SUM(D109:D114)</f>
        <v>0</v>
      </c>
      <c r="E115" s="86">
        <f>SUM(E109:E114)</f>
        <v>493469.48000000004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4346145.08</v>
      </c>
      <c r="D118" s="24" t="s">
        <v>288</v>
      </c>
      <c r="E118" s="95">
        <f>+('DOE25'!L281)+('DOE25'!L300)+('DOE25'!L319)</f>
        <v>826897.07</v>
      </c>
      <c r="F118" s="24" t="s">
        <v>288</v>
      </c>
      <c r="G118" s="24" t="s">
        <v>288</v>
      </c>
    </row>
    <row r="119" spans="1:7" x14ac:dyDescent="0.2">
      <c r="A119" t="s">
        <v>208</v>
      </c>
      <c r="B119" s="32" t="s">
        <v>209</v>
      </c>
      <c r="C119" s="95">
        <f>('DOE25'!L203)+('DOE25'!L221)+('DOE25'!L239)</f>
        <v>2414979.5900000003</v>
      </c>
      <c r="D119" s="24" t="s">
        <v>288</v>
      </c>
      <c r="E119" s="95">
        <f>+('DOE25'!L282)+('DOE25'!L301)+('DOE25'!L320)</f>
        <v>0</v>
      </c>
      <c r="F119" s="24" t="s">
        <v>288</v>
      </c>
      <c r="G119" s="24" t="s">
        <v>288</v>
      </c>
    </row>
    <row r="120" spans="1:7" x14ac:dyDescent="0.2">
      <c r="A120" t="s">
        <v>210</v>
      </c>
      <c r="B120" s="32" t="s">
        <v>211</v>
      </c>
      <c r="C120" s="95">
        <f>('DOE25'!L204)+('DOE25'!L222)+('DOE25'!L240)</f>
        <v>1311755.6000000001</v>
      </c>
      <c r="D120" s="24" t="s">
        <v>288</v>
      </c>
      <c r="E120" s="95">
        <f>+('DOE25'!L283)+('DOE25'!L302)+('DOE25'!L321)</f>
        <v>0</v>
      </c>
      <c r="F120" s="24" t="s">
        <v>288</v>
      </c>
      <c r="G120" s="24" t="s">
        <v>288</v>
      </c>
    </row>
    <row r="121" spans="1:7" x14ac:dyDescent="0.2">
      <c r="A121" t="s">
        <v>212</v>
      </c>
      <c r="B121" s="32" t="s">
        <v>213</v>
      </c>
      <c r="C121" s="95">
        <f>('DOE25'!L205)+('DOE25'!L223)+('DOE25'!L241)</f>
        <v>2294858.81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5374684.4699999997</v>
      </c>
      <c r="D123" s="24" t="s">
        <v>288</v>
      </c>
      <c r="E123" s="95">
        <f>+('DOE25'!L286)+('DOE25'!L305)+('DOE25'!L324)</f>
        <v>0</v>
      </c>
      <c r="F123" s="24" t="s">
        <v>288</v>
      </c>
      <c r="G123" s="24" t="s">
        <v>288</v>
      </c>
    </row>
    <row r="124" spans="1:7" x14ac:dyDescent="0.2">
      <c r="A124" t="s">
        <v>218</v>
      </c>
      <c r="B124" s="32" t="s">
        <v>219</v>
      </c>
      <c r="C124" s="95">
        <f>('DOE25'!L208)+('DOE25'!L226)+('DOE25'!L244+'DOE25'!L254)</f>
        <v>2522838.23</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1085346.3</v>
      </c>
      <c r="E127" s="24" t="s">
        <v>288</v>
      </c>
      <c r="F127" s="24" t="s">
        <v>288</v>
      </c>
      <c r="G127" s="24" t="s">
        <v>288</v>
      </c>
    </row>
    <row r="128" spans="1:7" ht="12.75" thickTop="1" thickBot="1" x14ac:dyDescent="0.25">
      <c r="A128" s="33" t="s">
        <v>226</v>
      </c>
      <c r="C128" s="86">
        <f>SUM(C118:C127)</f>
        <v>18265261.780000001</v>
      </c>
      <c r="D128" s="86">
        <f>SUM(D118:D127)</f>
        <v>1085346.3</v>
      </c>
      <c r="E128" s="86">
        <f>SUM(E118:E127)</f>
        <v>826897.07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207126.65</v>
      </c>
      <c r="G130" s="24" t="s">
        <v>288</v>
      </c>
    </row>
    <row r="131" spans="1:7" x14ac:dyDescent="0.2">
      <c r="A131" t="s">
        <v>229</v>
      </c>
      <c r="B131" s="32">
        <v>5110</v>
      </c>
      <c r="C131" s="95">
        <f>'DOE25'!L260</f>
        <v>1647785.06</v>
      </c>
      <c r="D131" s="24" t="s">
        <v>288</v>
      </c>
      <c r="E131" s="129">
        <f>'DOE25'!L341</f>
        <v>0</v>
      </c>
      <c r="F131" s="24" t="s">
        <v>288</v>
      </c>
      <c r="G131" s="24" t="s">
        <v>288</v>
      </c>
    </row>
    <row r="132" spans="1:7" x14ac:dyDescent="0.2">
      <c r="A132" t="s">
        <v>230</v>
      </c>
      <c r="B132" s="32">
        <v>5120</v>
      </c>
      <c r="C132" s="95">
        <f>'DOE25'!L261</f>
        <v>1524258.19</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10194.209999999999</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530313.94999999995</v>
      </c>
      <c r="D138" s="24" t="s">
        <v>288</v>
      </c>
      <c r="E138" s="24" t="s">
        <v>288</v>
      </c>
      <c r="F138" s="24" t="s">
        <v>288</v>
      </c>
      <c r="G138" s="24" t="s">
        <v>288</v>
      </c>
    </row>
    <row r="139" spans="1:7" x14ac:dyDescent="0.2">
      <c r="A139" t="s">
        <v>239</v>
      </c>
      <c r="B139" s="32">
        <v>5252</v>
      </c>
      <c r="C139" s="95">
        <f>'DOE25'!L401</f>
        <v>10553.77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-490867.72</v>
      </c>
      <c r="D141" s="24" t="s">
        <v>288</v>
      </c>
      <c r="E141" s="24" t="s">
        <v>288</v>
      </c>
      <c r="F141" s="24" t="s">
        <v>288</v>
      </c>
      <c r="G141" s="24" t="s">
        <v>288</v>
      </c>
    </row>
    <row r="142" spans="1:7" x14ac:dyDescent="0.2">
      <c r="A142" t="s">
        <v>241</v>
      </c>
      <c r="B142" s="32">
        <v>5310</v>
      </c>
      <c r="C142" s="129">
        <f>'DOE25'!L268</f>
        <v>280000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3502043.25</v>
      </c>
      <c r="D144" s="141">
        <f>SUM(D130:D143)</f>
        <v>0</v>
      </c>
      <c r="E144" s="141">
        <f>SUM(E130:E143)</f>
        <v>0</v>
      </c>
      <c r="F144" s="141">
        <f>SUM(F130:F143)</f>
        <v>207126.65</v>
      </c>
      <c r="G144" s="141">
        <f>SUM(G130:G143)</f>
        <v>10194.209999999999</v>
      </c>
    </row>
    <row r="145" spans="1:9" ht="12.75" thickTop="1" thickBot="1" x14ac:dyDescent="0.25">
      <c r="A145" s="33" t="s">
        <v>244</v>
      </c>
      <c r="C145" s="86">
        <f>(C115+C128+C144)</f>
        <v>56155094.520000003</v>
      </c>
      <c r="D145" s="86">
        <f>(D115+D128+D144)</f>
        <v>1085346.3</v>
      </c>
      <c r="E145" s="86">
        <f>(E115+E128+E144)</f>
        <v>1320366.55</v>
      </c>
      <c r="F145" s="86">
        <f>(F115+F128+F144)</f>
        <v>207126.65</v>
      </c>
      <c r="G145" s="86">
        <f>(G115+G128+G144)</f>
        <v>10194.209999999999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8/03</v>
      </c>
      <c r="C152" s="152">
        <f>'DOE25'!G491</f>
        <v>0</v>
      </c>
      <c r="D152" s="152">
        <f>'DOE25'!H491</f>
        <v>0</v>
      </c>
      <c r="E152" s="152">
        <f>'DOE25'!I491</f>
        <v>0</v>
      </c>
      <c r="F152" s="152">
        <f>'DOE25'!J491</f>
        <v>0</v>
      </c>
      <c r="G152" s="24" t="s">
        <v>288</v>
      </c>
    </row>
    <row r="153" spans="1:9" x14ac:dyDescent="0.2">
      <c r="A153" s="136" t="s">
        <v>29</v>
      </c>
      <c r="B153" s="152" t="str">
        <f>'DOE25'!F492</f>
        <v>8/15/23</v>
      </c>
      <c r="C153" s="152">
        <f>'DOE25'!G492</f>
        <v>0</v>
      </c>
      <c r="D153" s="152">
        <f>'DOE25'!H492</f>
        <v>0</v>
      </c>
      <c r="E153" s="152">
        <f>'DOE25'!I492</f>
        <v>0</v>
      </c>
      <c r="F153" s="152">
        <f>'DOE25'!J492</f>
        <v>0</v>
      </c>
      <c r="G153" s="24" t="s">
        <v>288</v>
      </c>
    </row>
    <row r="154" spans="1:9" x14ac:dyDescent="0.2">
      <c r="A154" s="136" t="s">
        <v>30</v>
      </c>
      <c r="B154" s="137">
        <f>'DOE25'!F493</f>
        <v>42695000</v>
      </c>
      <c r="C154" s="137">
        <f>'DOE25'!G493</f>
        <v>0</v>
      </c>
      <c r="D154" s="137">
        <f>'DOE25'!H493</f>
        <v>0</v>
      </c>
      <c r="E154" s="137">
        <f>'DOE25'!I493</f>
        <v>0</v>
      </c>
      <c r="F154" s="137">
        <f>'DOE25'!J493</f>
        <v>0</v>
      </c>
      <c r="G154" s="24" t="s">
        <v>288</v>
      </c>
    </row>
    <row r="155" spans="1:9" x14ac:dyDescent="0.2">
      <c r="A155" s="136" t="s">
        <v>31</v>
      </c>
      <c r="B155" s="137">
        <f>'DOE25'!F494</f>
        <v>3.7</v>
      </c>
      <c r="C155" s="137">
        <f>'DOE25'!G494</f>
        <v>0</v>
      </c>
      <c r="D155" s="137">
        <f>'DOE25'!H494</f>
        <v>0</v>
      </c>
      <c r="E155" s="137">
        <f>'DOE25'!I494</f>
        <v>0</v>
      </c>
      <c r="F155" s="137">
        <f>'DOE25'!J494</f>
        <v>0</v>
      </c>
      <c r="G155" s="24" t="s">
        <v>288</v>
      </c>
    </row>
    <row r="156" spans="1:9" x14ac:dyDescent="0.2">
      <c r="A156" s="22" t="s">
        <v>32</v>
      </c>
      <c r="B156" s="137">
        <f>'DOE25'!F495</f>
        <v>8841086.4199999999</v>
      </c>
      <c r="C156" s="137">
        <f>'DOE25'!G495</f>
        <v>0</v>
      </c>
      <c r="D156" s="137">
        <f>'DOE25'!H495</f>
        <v>0</v>
      </c>
      <c r="E156" s="137">
        <f>'DOE25'!I495</f>
        <v>0</v>
      </c>
      <c r="F156" s="137">
        <f>'DOE25'!J495</f>
        <v>0</v>
      </c>
      <c r="G156" s="138">
        <f>SUM(B156:F156)</f>
        <v>8841086.4199999999</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1647785.06</v>
      </c>
      <c r="C158" s="137">
        <f>'DOE25'!G497</f>
        <v>0</v>
      </c>
      <c r="D158" s="137">
        <f>'DOE25'!H497</f>
        <v>0</v>
      </c>
      <c r="E158" s="137">
        <f>'DOE25'!I497</f>
        <v>0</v>
      </c>
      <c r="F158" s="137">
        <f>'DOE25'!J497</f>
        <v>0</v>
      </c>
      <c r="G158" s="138">
        <f t="shared" si="0"/>
        <v>1647785.06</v>
      </c>
    </row>
    <row r="159" spans="1:9" x14ac:dyDescent="0.2">
      <c r="A159" s="22" t="s">
        <v>35</v>
      </c>
      <c r="B159" s="137">
        <f>'DOE25'!F498</f>
        <v>7193301.3600000003</v>
      </c>
      <c r="C159" s="137">
        <f>'DOE25'!G498</f>
        <v>0</v>
      </c>
      <c r="D159" s="137">
        <f>'DOE25'!H498</f>
        <v>0</v>
      </c>
      <c r="E159" s="137">
        <f>'DOE25'!I498</f>
        <v>0</v>
      </c>
      <c r="F159" s="137">
        <f>'DOE25'!J498</f>
        <v>0</v>
      </c>
      <c r="G159" s="138">
        <f t="shared" si="0"/>
        <v>7193301.3600000003</v>
      </c>
    </row>
    <row r="160" spans="1:9" x14ac:dyDescent="0.2">
      <c r="A160" s="22" t="s">
        <v>36</v>
      </c>
      <c r="B160" s="137">
        <f>'DOE25'!F499</f>
        <v>8672090.3900000006</v>
      </c>
      <c r="C160" s="137">
        <f>'DOE25'!G499</f>
        <v>0</v>
      </c>
      <c r="D160" s="137">
        <f>'DOE25'!H499</f>
        <v>0</v>
      </c>
      <c r="E160" s="137">
        <f>'DOE25'!I499</f>
        <v>0</v>
      </c>
      <c r="F160" s="137">
        <f>'DOE25'!J499</f>
        <v>0</v>
      </c>
      <c r="G160" s="138">
        <f t="shared" si="0"/>
        <v>8672090.3900000006</v>
      </c>
    </row>
    <row r="161" spans="1:7" x14ac:dyDescent="0.2">
      <c r="A161" s="22" t="s">
        <v>37</v>
      </c>
      <c r="B161" s="137">
        <f>'DOE25'!F500</f>
        <v>15865391.75</v>
      </c>
      <c r="C161" s="137">
        <f>'DOE25'!G500</f>
        <v>0</v>
      </c>
      <c r="D161" s="137">
        <f>'DOE25'!H500</f>
        <v>0</v>
      </c>
      <c r="E161" s="137">
        <f>'DOE25'!I500</f>
        <v>0</v>
      </c>
      <c r="F161" s="137">
        <f>'DOE25'!J500</f>
        <v>0</v>
      </c>
      <c r="G161" s="138">
        <f t="shared" si="0"/>
        <v>15865391.75</v>
      </c>
    </row>
    <row r="162" spans="1:7" x14ac:dyDescent="0.2">
      <c r="A162" s="22" t="s">
        <v>38</v>
      </c>
      <c r="B162" s="137">
        <f>'DOE25'!F501</f>
        <v>1574146.21</v>
      </c>
      <c r="C162" s="137">
        <f>'DOE25'!G501</f>
        <v>0</v>
      </c>
      <c r="D162" s="137">
        <f>'DOE25'!H501</f>
        <v>0</v>
      </c>
      <c r="E162" s="137">
        <f>'DOE25'!I501</f>
        <v>0</v>
      </c>
      <c r="F162" s="137">
        <f>'DOE25'!J501</f>
        <v>0</v>
      </c>
      <c r="G162" s="138">
        <f t="shared" si="0"/>
        <v>1574146.21</v>
      </c>
    </row>
    <row r="163" spans="1:7" x14ac:dyDescent="0.2">
      <c r="A163" s="22" t="s">
        <v>39</v>
      </c>
      <c r="B163" s="137">
        <f>'DOE25'!F502</f>
        <v>1592212.54</v>
      </c>
      <c r="C163" s="137">
        <f>'DOE25'!G502</f>
        <v>0</v>
      </c>
      <c r="D163" s="137">
        <f>'DOE25'!H502</f>
        <v>0</v>
      </c>
      <c r="E163" s="137">
        <f>'DOE25'!I502</f>
        <v>0</v>
      </c>
      <c r="F163" s="137">
        <f>'DOE25'!J502</f>
        <v>0</v>
      </c>
      <c r="G163" s="138">
        <f t="shared" si="0"/>
        <v>1592212.54</v>
      </c>
    </row>
    <row r="164" spans="1:7" x14ac:dyDescent="0.2">
      <c r="A164" s="22" t="s">
        <v>246</v>
      </c>
      <c r="B164" s="137">
        <f>'DOE25'!F503</f>
        <v>3166358.75</v>
      </c>
      <c r="C164" s="137">
        <f>'DOE25'!G503</f>
        <v>0</v>
      </c>
      <c r="D164" s="137">
        <f>'DOE25'!H503</f>
        <v>0</v>
      </c>
      <c r="E164" s="137">
        <f>'DOE25'!I503</f>
        <v>0</v>
      </c>
      <c r="F164" s="137">
        <f>'DOE25'!J503</f>
        <v>0</v>
      </c>
      <c r="G164" s="138">
        <f t="shared" si="0"/>
        <v>3166358.75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EXETER REGION COOPERATIVE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16549</v>
      </c>
    </row>
    <row r="6" spans="1:4" x14ac:dyDescent="0.2">
      <c r="B6" t="s">
        <v>62</v>
      </c>
      <c r="C6" s="179">
        <f>IF('DOE25'!H665+'DOE25'!H670=0,0,ROUND('DOE25'!H672,0))</f>
        <v>16168</v>
      </c>
    </row>
    <row r="7" spans="1:4" x14ac:dyDescent="0.2">
      <c r="B7" t="s">
        <v>701</v>
      </c>
      <c r="C7" s="179">
        <f>IF('DOE25'!I665+'DOE25'!I670=0,0,ROUND('DOE25'!I672,0))</f>
        <v>16323</v>
      </c>
    </row>
    <row r="9" spans="1:4" x14ac:dyDescent="0.2">
      <c r="A9" s="187" t="s">
        <v>94</v>
      </c>
      <c r="B9" s="188" t="s">
        <v>1603</v>
      </c>
      <c r="C9" s="181" t="s">
        <v>720</v>
      </c>
      <c r="D9" s="181" t="s">
        <v>721</v>
      </c>
    </row>
    <row r="10" spans="1:4" x14ac:dyDescent="0.2">
      <c r="A10">
        <v>1100</v>
      </c>
      <c r="B10" t="s">
        <v>702</v>
      </c>
      <c r="C10" s="179">
        <f>ROUND('DOE25'!L197+'DOE25'!L215+'DOE25'!L233+'DOE25'!L276+'DOE25'!L295+'DOE25'!L314,0)</f>
        <v>21789334</v>
      </c>
      <c r="D10" s="182">
        <f>ROUND((C10/$C$28)*100,1)</f>
        <v>38.9</v>
      </c>
    </row>
    <row r="11" spans="1:4" x14ac:dyDescent="0.2">
      <c r="A11">
        <v>1200</v>
      </c>
      <c r="B11" t="s">
        <v>703</v>
      </c>
      <c r="C11" s="179">
        <f>ROUND('DOE25'!L198+'DOE25'!L216+'DOE25'!L234+'DOE25'!L277+'DOE25'!L296+'DOE25'!L315,0)</f>
        <v>8637290</v>
      </c>
      <c r="D11" s="182">
        <f>ROUND((C11/$C$28)*100,1)</f>
        <v>15.4</v>
      </c>
    </row>
    <row r="12" spans="1:4" x14ac:dyDescent="0.2">
      <c r="A12">
        <v>1300</v>
      </c>
      <c r="B12" t="s">
        <v>704</v>
      </c>
      <c r="C12" s="179">
        <f>ROUND('DOE25'!L199+'DOE25'!L217+'DOE25'!L235+'DOE25'!L278+'DOE25'!L297+'DOE25'!L316,0)</f>
        <v>2759518</v>
      </c>
      <c r="D12" s="182">
        <f>ROUND((C12/$C$28)*100,1)</f>
        <v>4.9000000000000004</v>
      </c>
    </row>
    <row r="13" spans="1:4" x14ac:dyDescent="0.2">
      <c r="A13">
        <v>1400</v>
      </c>
      <c r="B13" t="s">
        <v>705</v>
      </c>
      <c r="C13" s="179">
        <f>ROUND('DOE25'!L200+'DOE25'!L218+'DOE25'!L236+'DOE25'!L279+'DOE25'!L298+'DOE25'!L317,0)</f>
        <v>1145210</v>
      </c>
      <c r="D13" s="182">
        <f>ROUND((C13/$C$28)*100,1)</f>
        <v>2</v>
      </c>
    </row>
    <row r="14" spans="1:4" x14ac:dyDescent="0.2">
      <c r="D14" s="182"/>
    </row>
    <row r="15" spans="1:4" x14ac:dyDescent="0.2">
      <c r="A15">
        <v>2100</v>
      </c>
      <c r="B15" t="s">
        <v>706</v>
      </c>
      <c r="C15" s="179">
        <f>ROUND('DOE25'!L202+'DOE25'!L220+'DOE25'!L238+'DOE25'!L281+'DOE25'!L300+'DOE25'!L319,0)</f>
        <v>5173042</v>
      </c>
      <c r="D15" s="182">
        <f t="shared" ref="D15:D27" si="0">ROUND((C15/$C$28)*100,1)</f>
        <v>9.1999999999999993</v>
      </c>
    </row>
    <row r="16" spans="1:4" x14ac:dyDescent="0.2">
      <c r="A16">
        <v>2200</v>
      </c>
      <c r="B16" t="s">
        <v>707</v>
      </c>
      <c r="C16" s="179">
        <f>ROUND('DOE25'!L203+'DOE25'!L221+'DOE25'!L239+'DOE25'!L282+'DOE25'!L301+'DOE25'!L320,0)</f>
        <v>2414980</v>
      </c>
      <c r="D16" s="182">
        <f t="shared" si="0"/>
        <v>4.3</v>
      </c>
    </row>
    <row r="17" spans="1:4" x14ac:dyDescent="0.2">
      <c r="A17" s="183" t="s">
        <v>723</v>
      </c>
      <c r="B17" t="s">
        <v>738</v>
      </c>
      <c r="C17" s="179">
        <f>ROUND('DOE25'!L204+'DOE25'!L209+'DOE25'!L222+'DOE25'!L227+'DOE25'!L240+'DOE25'!L245+'DOE25'!L283+'DOE25'!L288+'DOE25'!L302+'DOE25'!L307+'DOE25'!L321+'DOE25'!L326,0)</f>
        <v>1311756</v>
      </c>
      <c r="D17" s="182">
        <f t="shared" si="0"/>
        <v>2.2999999999999998</v>
      </c>
    </row>
    <row r="18" spans="1:4" x14ac:dyDescent="0.2">
      <c r="A18">
        <v>2400</v>
      </c>
      <c r="B18" t="s">
        <v>711</v>
      </c>
      <c r="C18" s="179">
        <f>ROUND('DOE25'!L205+'DOE25'!L223+'DOE25'!L241+'DOE25'!L284+'DOE25'!L303+'DOE25'!L322,0)</f>
        <v>2294859</v>
      </c>
      <c r="D18" s="182">
        <f t="shared" si="0"/>
        <v>4.0999999999999996</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5374684</v>
      </c>
      <c r="D20" s="182">
        <f t="shared" si="0"/>
        <v>9.6</v>
      </c>
    </row>
    <row r="21" spans="1:4" x14ac:dyDescent="0.2">
      <c r="A21">
        <v>2700</v>
      </c>
      <c r="B21" t="s">
        <v>710</v>
      </c>
      <c r="C21" s="179">
        <f>ROUND('DOE25'!L208+'DOE25'!L226+'DOE25'!L244+'DOE25'!L287+'DOE25'!L306+'DOE25'!L325,0)</f>
        <v>2522838</v>
      </c>
      <c r="D21" s="182">
        <f t="shared" si="0"/>
        <v>4.5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549906</v>
      </c>
      <c r="D24" s="182">
        <f t="shared" si="0"/>
        <v>1</v>
      </c>
    </row>
    <row r="25" spans="1:4" x14ac:dyDescent="0.2">
      <c r="A25">
        <v>5120</v>
      </c>
      <c r="B25" t="s">
        <v>716</v>
      </c>
      <c r="C25" s="179">
        <f>ROUND('DOE25'!L261+'DOE25'!L342,0)</f>
        <v>1524258</v>
      </c>
      <c r="D25" s="182">
        <f t="shared" si="0"/>
        <v>2.7</v>
      </c>
    </row>
    <row r="26" spans="1:4" x14ac:dyDescent="0.2">
      <c r="A26" s="183" t="s">
        <v>717</v>
      </c>
      <c r="B26" t="s">
        <v>718</v>
      </c>
      <c r="C26" s="179">
        <f>'DOE25'!L268+'DOE25'!L269+'DOE25'!L349+'DOE25'!L350</f>
        <v>280000</v>
      </c>
      <c r="D26" s="182">
        <f t="shared" si="0"/>
        <v>0.5</v>
      </c>
    </row>
    <row r="27" spans="1:4" x14ac:dyDescent="0.2">
      <c r="A27">
        <v>3100</v>
      </c>
      <c r="B27" t="s">
        <v>11</v>
      </c>
      <c r="C27" s="179">
        <f>ROUND('DOE25'!L362-'DOE25'!L361,0)-SUM('DOE25'!G97:G110)</f>
        <v>192966.96999999997</v>
      </c>
      <c r="D27" s="182">
        <f t="shared" si="0"/>
        <v>0.3</v>
      </c>
    </row>
    <row r="28" spans="1:4" x14ac:dyDescent="0.2">
      <c r="B28" s="187" t="s">
        <v>719</v>
      </c>
      <c r="C28" s="180">
        <f>SUM(C10:C27)</f>
        <v>55970641.969999999</v>
      </c>
      <c r="D28" s="184">
        <f>ROUND(SUM(D10:D27),0)</f>
        <v>100</v>
      </c>
    </row>
    <row r="29" spans="1:4" x14ac:dyDescent="0.2">
      <c r="A29">
        <v>4000</v>
      </c>
      <c r="B29" t="s">
        <v>724</v>
      </c>
      <c r="C29" s="179">
        <f>ROUND('DOE25'!L255+'DOE25'!L336+'DOE25'!L374+'DOE25'!L375+'DOE25'!L376+'DOE25'!L377+'DOE25'!L378+'DOE25'!L379+'DOE25'!L380,0)</f>
        <v>207127</v>
      </c>
    </row>
    <row r="30" spans="1:4" x14ac:dyDescent="0.2">
      <c r="B30" s="187" t="s">
        <v>725</v>
      </c>
      <c r="C30" s="180">
        <f>SUM(C28:C29)</f>
        <v>56177768.969999999</v>
      </c>
    </row>
    <row r="31" spans="1:4" x14ac:dyDescent="0.2">
      <c r="B31" s="33"/>
      <c r="C31" s="180"/>
    </row>
    <row r="32" spans="1:4" x14ac:dyDescent="0.2">
      <c r="A32">
        <v>5100</v>
      </c>
      <c r="B32" s="33" t="s">
        <v>726</v>
      </c>
      <c r="C32" s="180">
        <f>ROUND('DOE25'!L260+'DOE25'!L341,0)</f>
        <v>1647785</v>
      </c>
    </row>
    <row r="34" spans="1:4" x14ac:dyDescent="0.2">
      <c r="A34" s="187" t="s">
        <v>94</v>
      </c>
      <c r="B34" s="188" t="s">
        <v>1604</v>
      </c>
      <c r="C34" s="181" t="s">
        <v>720</v>
      </c>
      <c r="D34" s="181" t="s">
        <v>721</v>
      </c>
    </row>
    <row r="35" spans="1:4" x14ac:dyDescent="0.2">
      <c r="A35">
        <v>1100</v>
      </c>
      <c r="B35" s="185" t="s">
        <v>727</v>
      </c>
      <c r="C35" s="179">
        <f>ROUND('DOE25'!F60+'DOE25'!G60+'DOE25'!H60+'DOE25'!I60+'DOE25'!J60,0)</f>
        <v>37992470</v>
      </c>
      <c r="D35" s="182">
        <f t="shared" ref="D35:D40" si="1">ROUND((C35/$C$41)*100,1)</f>
        <v>66.900000000000006</v>
      </c>
    </row>
    <row r="36" spans="1:4" x14ac:dyDescent="0.2">
      <c r="B36" s="185" t="s">
        <v>739</v>
      </c>
      <c r="C36" s="179">
        <f>SUM('DOE25'!F112:J112)-SUM('DOE25'!G97:G110)+('DOE25'!F174+'DOE25'!F175+'DOE25'!I174+'DOE25'!I175)-C35</f>
        <v>2936032.0099999905</v>
      </c>
      <c r="D36" s="182">
        <f t="shared" si="1"/>
        <v>5.2</v>
      </c>
    </row>
    <row r="37" spans="1:4" x14ac:dyDescent="0.2">
      <c r="A37" s="183" t="s">
        <v>835</v>
      </c>
      <c r="B37" s="185" t="s">
        <v>728</v>
      </c>
      <c r="C37" s="179">
        <f>ROUND('DOE25'!F117+'DOE25'!F118,0)</f>
        <v>12065293</v>
      </c>
      <c r="D37" s="182">
        <f t="shared" si="1"/>
        <v>21.3</v>
      </c>
    </row>
    <row r="38" spans="1:4" x14ac:dyDescent="0.2">
      <c r="A38" s="183" t="s">
        <v>734</v>
      </c>
      <c r="B38" s="185" t="s">
        <v>729</v>
      </c>
      <c r="C38" s="179">
        <f>ROUND(SUM('DOE25'!F140:J140)-SUM('DOE25'!F117:F119),0)</f>
        <v>2862660</v>
      </c>
      <c r="D38" s="182">
        <f t="shared" si="1"/>
        <v>5</v>
      </c>
    </row>
    <row r="39" spans="1:4" x14ac:dyDescent="0.2">
      <c r="A39">
        <v>4000</v>
      </c>
      <c r="B39" s="185" t="s">
        <v>730</v>
      </c>
      <c r="C39" s="179">
        <f>ROUND('DOE25'!F169+'DOE25'!G169+'DOE25'!H169+'DOE25'!I169,0)</f>
        <v>902591</v>
      </c>
      <c r="D39" s="182">
        <f t="shared" si="1"/>
        <v>1.6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56759046.00999999</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EXETER REGION COOPERATIVE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2019-10-24T14:50:22Z</cp:lastPrinted>
  <dcterms:created xsi:type="dcterms:W3CDTF">1997-12-04T19:04:30Z</dcterms:created>
  <dcterms:modified xsi:type="dcterms:W3CDTF">2019-11-22T15:49:21Z</dcterms:modified>
</cp:coreProperties>
</file>