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Delta="4.1486142249243762E-271"/>
</workbook>
</file>

<file path=xl/calcChain.xml><?xml version="1.0" encoding="utf-8"?>
<calcChain xmlns="http://schemas.openxmlformats.org/spreadsheetml/2006/main">
  <c r="F110" i="1" l="1"/>
  <c r="C21" i="12" l="1"/>
  <c r="C19" i="12"/>
  <c r="C10" i="12" l="1"/>
  <c r="B37" i="12" l="1"/>
  <c r="B19" i="12"/>
  <c r="B12" i="12"/>
  <c r="B11" i="12"/>
  <c r="B10" i="12"/>
  <c r="F31" i="13" l="1"/>
  <c r="F15" i="13"/>
  <c r="F6" i="13"/>
  <c r="H579" i="1" l="1"/>
  <c r="F582" i="1"/>
  <c r="H578" i="1"/>
  <c r="G611" i="1"/>
  <c r="F611" i="1"/>
  <c r="H604" i="1"/>
  <c r="H597" i="1"/>
  <c r="H595" i="1"/>
  <c r="H592" i="1"/>
  <c r="H591" i="1"/>
  <c r="H562" i="1"/>
  <c r="G562" i="1"/>
  <c r="F562" i="1"/>
  <c r="K358" i="1"/>
  <c r="J358" i="1"/>
  <c r="I358" i="1"/>
  <c r="H358" i="1"/>
  <c r="G358" i="1"/>
  <c r="F358" i="1"/>
  <c r="F368" i="1"/>
  <c r="F367" i="1"/>
  <c r="K205" i="1"/>
  <c r="K204" i="1"/>
  <c r="K198" i="1"/>
  <c r="J203" i="1"/>
  <c r="J197" i="1"/>
  <c r="I208" i="1"/>
  <c r="I207" i="1"/>
  <c r="I205" i="1"/>
  <c r="I204" i="1"/>
  <c r="I203" i="1"/>
  <c r="I202" i="1"/>
  <c r="I198" i="1"/>
  <c r="I197" i="1"/>
  <c r="H208" i="1"/>
  <c r="H207" i="1"/>
  <c r="H205" i="1"/>
  <c r="H204" i="1"/>
  <c r="H203" i="1"/>
  <c r="H202" i="1"/>
  <c r="H198" i="1"/>
  <c r="H197" i="1"/>
  <c r="G209" i="1"/>
  <c r="G207" i="1"/>
  <c r="G206" i="1"/>
  <c r="G205" i="1"/>
  <c r="G204" i="1"/>
  <c r="G203" i="1"/>
  <c r="G202" i="1"/>
  <c r="G200" i="1"/>
  <c r="G198" i="1"/>
  <c r="G197" i="1"/>
  <c r="F209" i="1"/>
  <c r="F207" i="1"/>
  <c r="F206" i="1"/>
  <c r="F205" i="1"/>
  <c r="F204" i="1"/>
  <c r="F203" i="1"/>
  <c r="F202" i="1"/>
  <c r="F200" i="1"/>
  <c r="F198" i="1"/>
  <c r="F197" i="1"/>
  <c r="K283" i="1"/>
  <c r="J286" i="1"/>
  <c r="J281" i="1"/>
  <c r="J277" i="1"/>
  <c r="J276" i="1"/>
  <c r="I286" i="1"/>
  <c r="I283" i="1"/>
  <c r="I282" i="1"/>
  <c r="I281" i="1"/>
  <c r="I279" i="1"/>
  <c r="I277" i="1"/>
  <c r="I276" i="1"/>
  <c r="H287" i="1"/>
  <c r="H284" i="1"/>
  <c r="H283" i="1"/>
  <c r="H282" i="1"/>
  <c r="H281" i="1"/>
  <c r="H277" i="1"/>
  <c r="H276" i="1"/>
  <c r="G283" i="1"/>
  <c r="G282" i="1"/>
  <c r="G281" i="1"/>
  <c r="G279" i="1"/>
  <c r="G277" i="1"/>
  <c r="G276" i="1"/>
  <c r="F283" i="1"/>
  <c r="F282" i="1"/>
  <c r="F279" i="1"/>
  <c r="F277" i="1"/>
  <c r="F276" i="1"/>
  <c r="E6" i="14"/>
  <c r="D6" i="14"/>
  <c r="E37" i="14"/>
  <c r="D37" i="14"/>
  <c r="E5" i="14"/>
  <c r="D5" i="14"/>
  <c r="H48" i="1" l="1"/>
  <c r="H22" i="1"/>
  <c r="J379" i="1"/>
  <c r="H30" i="1"/>
  <c r="F28" i="1" l="1"/>
  <c r="F24" i="1"/>
  <c r="F13" i="1"/>
  <c r="F9" i="1"/>
  <c r="J591" i="1"/>
  <c r="J592" i="1"/>
  <c r="J597" i="1"/>
  <c r="J324" i="1"/>
  <c r="J315" i="1"/>
  <c r="J314" i="1"/>
  <c r="I320" i="1"/>
  <c r="I319" i="1"/>
  <c r="I315" i="1"/>
  <c r="I333" i="1"/>
  <c r="I314" i="1"/>
  <c r="H320" i="1"/>
  <c r="H319" i="1"/>
  <c r="H315" i="1"/>
  <c r="H314" i="1"/>
  <c r="G320" i="1" l="1"/>
  <c r="G317" i="1"/>
  <c r="G315" i="1"/>
  <c r="G314" i="1"/>
  <c r="G333" i="1"/>
  <c r="F320" i="1"/>
  <c r="F315" i="1"/>
  <c r="F314" i="1"/>
  <c r="F317" i="1"/>
  <c r="F333" i="1"/>
  <c r="K241" i="1" l="1"/>
  <c r="K238" i="1"/>
  <c r="K233" i="1"/>
  <c r="K240" i="1"/>
  <c r="K234" i="1"/>
  <c r="J239" i="1"/>
  <c r="I243" i="1"/>
  <c r="I241" i="1"/>
  <c r="I239" i="1"/>
  <c r="I238" i="1"/>
  <c r="I234" i="1"/>
  <c r="I233" i="1"/>
  <c r="I244" i="1"/>
  <c r="I240" i="1"/>
  <c r="H244" i="1" l="1"/>
  <c r="H243" i="1"/>
  <c r="H239" i="1"/>
  <c r="H238" i="1"/>
  <c r="H234" i="1"/>
  <c r="H240" i="1"/>
  <c r="G239" i="1" l="1"/>
  <c r="G238" i="1"/>
  <c r="G233" i="1"/>
  <c r="G243" i="1"/>
  <c r="G236" i="1" l="1"/>
  <c r="G234" i="1"/>
  <c r="G240" i="1"/>
  <c r="F243" i="1"/>
  <c r="F239" i="1"/>
  <c r="F238" i="1"/>
  <c r="F240" i="1"/>
  <c r="F236" i="1"/>
  <c r="F234" i="1"/>
  <c r="F233" i="1"/>
  <c r="G498" i="1" l="1"/>
  <c r="H102" i="1" l="1"/>
  <c r="H110" i="1"/>
  <c r="H66" i="1" l="1"/>
  <c r="G24" i="1" l="1"/>
  <c r="G9" i="1"/>
  <c r="G158" i="1"/>
  <c r="G132" i="1"/>
  <c r="G97" i="1"/>
  <c r="H368" i="1"/>
  <c r="H367" i="1"/>
  <c r="J360" i="1"/>
  <c r="I360" i="1" l="1"/>
  <c r="G360" i="1"/>
  <c r="F360"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C12" i="10"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E125" i="2" s="1"/>
  <c r="L295" i="1"/>
  <c r="L296" i="1"/>
  <c r="L297" i="1"/>
  <c r="L298" i="1"/>
  <c r="L300" i="1"/>
  <c r="L301" i="1"/>
  <c r="L302" i="1"/>
  <c r="L303" i="1"/>
  <c r="L304" i="1"/>
  <c r="L305" i="1"/>
  <c r="L306" i="1"/>
  <c r="L307" i="1"/>
  <c r="L314" i="1"/>
  <c r="L315" i="1"/>
  <c r="E110" i="2" s="1"/>
  <c r="L316" i="1"/>
  <c r="L317" i="1"/>
  <c r="E112" i="2" s="1"/>
  <c r="L319" i="1"/>
  <c r="L320" i="1"/>
  <c r="L321" i="1"/>
  <c r="L322" i="1"/>
  <c r="L323" i="1"/>
  <c r="L324" i="1"/>
  <c r="L325" i="1"/>
  <c r="H662" i="1" s="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H140" i="1" s="1"/>
  <c r="I121" i="1"/>
  <c r="I136" i="1"/>
  <c r="J121" i="1"/>
  <c r="J136" i="1"/>
  <c r="F147" i="1"/>
  <c r="C85" i="2" s="1"/>
  <c r="F162" i="1"/>
  <c r="F169" i="1" s="1"/>
  <c r="G147" i="1"/>
  <c r="G162" i="1"/>
  <c r="H147" i="1"/>
  <c r="H162" i="1"/>
  <c r="H169" i="1" s="1"/>
  <c r="I147" i="1"/>
  <c r="I162" i="1"/>
  <c r="L250" i="1"/>
  <c r="C113" i="2" s="1"/>
  <c r="L332" i="1"/>
  <c r="L254" i="1"/>
  <c r="L268" i="1"/>
  <c r="L269" i="1"/>
  <c r="C143" i="2" s="1"/>
  <c r="L349" i="1"/>
  <c r="L350" i="1"/>
  <c r="I665" i="1"/>
  <c r="I670" i="1"/>
  <c r="I669" i="1"/>
  <c r="C42" i="10"/>
  <c r="C32" i="10"/>
  <c r="L374" i="1"/>
  <c r="L375" i="1"/>
  <c r="L376" i="1"/>
  <c r="L377" i="1"/>
  <c r="L378" i="1"/>
  <c r="L379" i="1"/>
  <c r="L380" i="1"/>
  <c r="B2" i="10"/>
  <c r="L344" i="1"/>
  <c r="E134" i="2" s="1"/>
  <c r="L345" i="1"/>
  <c r="L346" i="1"/>
  <c r="L347" i="1"/>
  <c r="K351" i="1"/>
  <c r="L521" i="1"/>
  <c r="F549" i="1" s="1"/>
  <c r="L522" i="1"/>
  <c r="F550" i="1" s="1"/>
  <c r="L523" i="1"/>
  <c r="F551" i="1" s="1"/>
  <c r="F552"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L270" i="1" s="1"/>
  <c r="C131" i="2"/>
  <c r="A1" i="2"/>
  <c r="A2" i="2"/>
  <c r="C8" i="2"/>
  <c r="D8" i="2"/>
  <c r="D18" i="2" s="1"/>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D81" i="2" s="1"/>
  <c r="E77" i="2"/>
  <c r="E78" i="2" s="1"/>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3" i="2"/>
  <c r="C114" i="2"/>
  <c r="D115" i="2"/>
  <c r="F115" i="2"/>
  <c r="G115" i="2"/>
  <c r="E120" i="2"/>
  <c r="F128" i="2"/>
  <c r="G128" i="2"/>
  <c r="C130" i="2"/>
  <c r="D134" i="2"/>
  <c r="D144" i="2" s="1"/>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G625" i="1" s="1"/>
  <c r="F177" i="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F461" i="1" s="1"/>
  <c r="H639" i="1" s="1"/>
  <c r="G452" i="1"/>
  <c r="H452" i="1"/>
  <c r="F460" i="1"/>
  <c r="G460" i="1"/>
  <c r="G461" i="1" s="1"/>
  <c r="H640" i="1" s="1"/>
  <c r="H460" i="1"/>
  <c r="H461" i="1"/>
  <c r="H641" i="1" s="1"/>
  <c r="F470" i="1"/>
  <c r="G470" i="1"/>
  <c r="H470" i="1"/>
  <c r="I470" i="1"/>
  <c r="J470" i="1"/>
  <c r="J476" i="1" s="1"/>
  <c r="H626" i="1" s="1"/>
  <c r="F474" i="1"/>
  <c r="G474" i="1"/>
  <c r="G476" i="1" s="1"/>
  <c r="H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F571" i="1" s="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2" i="1"/>
  <c r="G623" i="1"/>
  <c r="H627" i="1"/>
  <c r="H628" i="1"/>
  <c r="H629" i="1"/>
  <c r="H630" i="1"/>
  <c r="H631" i="1"/>
  <c r="H632" i="1"/>
  <c r="H633" i="1"/>
  <c r="H635" i="1"/>
  <c r="H636" i="1"/>
  <c r="H637" i="1"/>
  <c r="H638" i="1"/>
  <c r="G640" i="1"/>
  <c r="G643" i="1"/>
  <c r="H643" i="1"/>
  <c r="G644" i="1"/>
  <c r="G645" i="1"/>
  <c r="J645" i="1" s="1"/>
  <c r="G652" i="1"/>
  <c r="H652" i="1"/>
  <c r="G653" i="1"/>
  <c r="H653" i="1"/>
  <c r="G654" i="1"/>
  <c r="H654" i="1"/>
  <c r="H655" i="1"/>
  <c r="D50" i="2"/>
  <c r="F18" i="2"/>
  <c r="E103" i="2"/>
  <c r="D91" i="2"/>
  <c r="G62" i="2"/>
  <c r="J571" i="1"/>
  <c r="I169" i="1"/>
  <c r="J643" i="1"/>
  <c r="J140" i="1"/>
  <c r="G22" i="2"/>
  <c r="L560" i="1"/>
  <c r="F192" i="1" l="1"/>
  <c r="J641" i="1"/>
  <c r="L351" i="1"/>
  <c r="C26" i="10"/>
  <c r="J644" i="1"/>
  <c r="K571" i="1"/>
  <c r="L570" i="1"/>
  <c r="H571" i="1"/>
  <c r="I571" i="1"/>
  <c r="J640" i="1"/>
  <c r="C91" i="2"/>
  <c r="L393" i="1"/>
  <c r="C138" i="2" s="1"/>
  <c r="J623" i="1"/>
  <c r="H192" i="1"/>
  <c r="F81" i="2"/>
  <c r="G545" i="1"/>
  <c r="F476" i="1"/>
  <c r="H622" i="1" s="1"/>
  <c r="J622" i="1" s="1"/>
  <c r="L433" i="1"/>
  <c r="L427" i="1"/>
  <c r="G157" i="2"/>
  <c r="G156" i="2"/>
  <c r="H552" i="1"/>
  <c r="A40" i="12"/>
  <c r="I545" i="1"/>
  <c r="K545" i="1"/>
  <c r="K549" i="1"/>
  <c r="L529" i="1"/>
  <c r="G552" i="1"/>
  <c r="I552" i="1"/>
  <c r="H545" i="1"/>
  <c r="J545" i="1"/>
  <c r="L614" i="1"/>
  <c r="I369" i="1"/>
  <c r="H634" i="1" s="1"/>
  <c r="J634" i="1" s="1"/>
  <c r="E122" i="2"/>
  <c r="E121" i="2"/>
  <c r="A31" i="12"/>
  <c r="L565" i="1"/>
  <c r="F130" i="2"/>
  <c r="F144" i="2" s="1"/>
  <c r="F145" i="2" s="1"/>
  <c r="I52" i="1"/>
  <c r="H620" i="1" s="1"/>
  <c r="J620" i="1" s="1"/>
  <c r="E31" i="2"/>
  <c r="H52" i="1"/>
  <c r="H619" i="1" s="1"/>
  <c r="J619" i="1" s="1"/>
  <c r="C18" i="2"/>
  <c r="J651" i="1"/>
  <c r="K598" i="1"/>
  <c r="G647" i="1" s="1"/>
  <c r="H476" i="1"/>
  <c r="H624" i="1" s="1"/>
  <c r="J624" i="1" s="1"/>
  <c r="K338" i="1"/>
  <c r="K352" i="1" s="1"/>
  <c r="E123" i="2"/>
  <c r="E119" i="2"/>
  <c r="E124" i="2"/>
  <c r="G662" i="1"/>
  <c r="G338" i="1"/>
  <c r="G352" i="1" s="1"/>
  <c r="E118" i="2"/>
  <c r="L309" i="1"/>
  <c r="L290" i="1"/>
  <c r="L328" i="1"/>
  <c r="F338" i="1"/>
  <c r="F352" i="1" s="1"/>
  <c r="C18" i="10"/>
  <c r="K257" i="1"/>
  <c r="K271" i="1" s="1"/>
  <c r="J257" i="1"/>
  <c r="C13" i="10"/>
  <c r="C110" i="2"/>
  <c r="I257" i="1"/>
  <c r="I271" i="1" s="1"/>
  <c r="L256" i="1"/>
  <c r="D15" i="13"/>
  <c r="C15" i="13" s="1"/>
  <c r="G650" i="1"/>
  <c r="J650" i="1" s="1"/>
  <c r="H647" i="1"/>
  <c r="H257" i="1"/>
  <c r="H271" i="1" s="1"/>
  <c r="D6" i="13"/>
  <c r="C6" i="13" s="1"/>
  <c r="E13" i="13"/>
  <c r="C13" i="13" s="1"/>
  <c r="C125" i="2"/>
  <c r="C20" i="10"/>
  <c r="C119" i="2"/>
  <c r="L247" i="1"/>
  <c r="C11" i="10"/>
  <c r="C112" i="2"/>
  <c r="F257" i="1"/>
  <c r="F271" i="1" s="1"/>
  <c r="C121" i="2"/>
  <c r="C120" i="2"/>
  <c r="L211" i="1"/>
  <c r="G161" i="2"/>
  <c r="G164" i="2"/>
  <c r="I476" i="1"/>
  <c r="H625" i="1" s="1"/>
  <c r="J625" i="1" s="1"/>
  <c r="E62" i="2"/>
  <c r="E63" i="2" s="1"/>
  <c r="H112" i="1"/>
  <c r="H193" i="1" s="1"/>
  <c r="G629" i="1" s="1"/>
  <c r="J629" i="1" s="1"/>
  <c r="F112" i="1"/>
  <c r="C78" i="2"/>
  <c r="C70" i="2"/>
  <c r="D31" i="2"/>
  <c r="D62" i="2"/>
  <c r="D63" i="2" s="1"/>
  <c r="F661" i="1"/>
  <c r="L362" i="1"/>
  <c r="C27" i="10" s="1"/>
  <c r="G661" i="1"/>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L407" i="1"/>
  <c r="C140" i="2" s="1"/>
  <c r="C141" i="2" s="1"/>
  <c r="L571" i="1"/>
  <c r="I192" i="1"/>
  <c r="E91" i="2"/>
  <c r="L408" i="1"/>
  <c r="G637" i="1" s="1"/>
  <c r="J637" i="1" s="1"/>
  <c r="D51" i="2"/>
  <c r="J654" i="1"/>
  <c r="J653" i="1"/>
  <c r="G21" i="2"/>
  <c r="G31" i="2" s="1"/>
  <c r="J32" i="1"/>
  <c r="L434" i="1"/>
  <c r="G638" i="1" s="1"/>
  <c r="J638" i="1" s="1"/>
  <c r="J434" i="1"/>
  <c r="F434" i="1"/>
  <c r="K434" i="1"/>
  <c r="G134" i="2" s="1"/>
  <c r="G144" i="2" s="1"/>
  <c r="G145" i="2" s="1"/>
  <c r="G31" i="13"/>
  <c r="J193" i="1"/>
  <c r="G646" i="1" s="1"/>
  <c r="G169" i="1"/>
  <c r="C39" i="10" s="1"/>
  <c r="G140" i="1"/>
  <c r="F140" i="1"/>
  <c r="G63" i="2"/>
  <c r="G104" i="2" s="1"/>
  <c r="J618" i="1"/>
  <c r="G42" i="2"/>
  <c r="G50" i="2" s="1"/>
  <c r="G51" i="2" s="1"/>
  <c r="J51" i="1"/>
  <c r="G16" i="2"/>
  <c r="G18" i="2" s="1"/>
  <c r="J19" i="1"/>
  <c r="G621" i="1" s="1"/>
  <c r="F545" i="1"/>
  <c r="H434" i="1"/>
  <c r="D103" i="2"/>
  <c r="D104" i="2" s="1"/>
  <c r="I140" i="1"/>
  <c r="I193" i="1" s="1"/>
  <c r="G630" i="1" s="1"/>
  <c r="J630" i="1" s="1"/>
  <c r="A22" i="12"/>
  <c r="J652" i="1"/>
  <c r="G571" i="1"/>
  <c r="I434" i="1"/>
  <c r="G434" i="1"/>
  <c r="I663" i="1"/>
  <c r="C144" i="2" l="1"/>
  <c r="F104" i="2"/>
  <c r="H646" i="1"/>
  <c r="J646" i="1" s="1"/>
  <c r="G33" i="13"/>
  <c r="L545" i="1"/>
  <c r="J647" i="1"/>
  <c r="E51" i="2"/>
  <c r="H648" i="1"/>
  <c r="J648" i="1" s="1"/>
  <c r="E128" i="2"/>
  <c r="E145" i="2" s="1"/>
  <c r="G24" i="14"/>
  <c r="H24" i="14" s="1"/>
  <c r="I24" i="14" s="1"/>
  <c r="L338" i="1"/>
  <c r="L352" i="1" s="1"/>
  <c r="G633" i="1" s="1"/>
  <c r="J633" i="1" s="1"/>
  <c r="G36" i="14"/>
  <c r="H36" i="14" s="1"/>
  <c r="I36" i="14" s="1"/>
  <c r="J271" i="1"/>
  <c r="H660" i="1"/>
  <c r="H664" i="1" s="1"/>
  <c r="H667" i="1" s="1"/>
  <c r="C115" i="2"/>
  <c r="L257" i="1"/>
  <c r="L271" i="1" s="1"/>
  <c r="G632" i="1" s="1"/>
  <c r="J632" i="1" s="1"/>
  <c r="F660" i="1"/>
  <c r="F664" i="1" s="1"/>
  <c r="F667" i="1" s="1"/>
  <c r="G4" i="14"/>
  <c r="H4" i="14" s="1"/>
  <c r="I4" i="14" s="1"/>
  <c r="E33" i="13"/>
  <c r="D35" i="13" s="1"/>
  <c r="C128" i="2"/>
  <c r="E104" i="2"/>
  <c r="C36" i="10"/>
  <c r="C81" i="2"/>
  <c r="F193" i="1"/>
  <c r="G627" i="1" s="1"/>
  <c r="J627" i="1" s="1"/>
  <c r="C63" i="2"/>
  <c r="G635" i="1"/>
  <c r="J635" i="1" s="1"/>
  <c r="I661" i="1"/>
  <c r="D31" i="13"/>
  <c r="C31" i="13" s="1"/>
  <c r="I461" i="1"/>
  <c r="H642" i="1" s="1"/>
  <c r="J642" i="1" s="1"/>
  <c r="G660" i="1"/>
  <c r="G664" i="1" s="1"/>
  <c r="G667" i="1" s="1"/>
  <c r="C25" i="13"/>
  <c r="I33" i="13"/>
  <c r="K552" i="1"/>
  <c r="C28" i="10"/>
  <c r="D23" i="10" s="1"/>
  <c r="C51" i="2"/>
  <c r="G631" i="1"/>
  <c r="J631" i="1" s="1"/>
  <c r="G193" i="1"/>
  <c r="G628" i="1" s="1"/>
  <c r="J628" i="1" s="1"/>
  <c r="G626" i="1"/>
  <c r="J626" i="1" s="1"/>
  <c r="J52" i="1"/>
  <c r="H621" i="1" s="1"/>
  <c r="J621" i="1" s="1"/>
  <c r="C38" i="10"/>
  <c r="C145" i="2" l="1"/>
  <c r="F672" i="1"/>
  <c r="C4" i="10" s="1"/>
  <c r="C104" i="2"/>
  <c r="H672" i="1"/>
  <c r="C6" i="10" s="1"/>
  <c r="G672" i="1"/>
  <c r="C5" i="10" s="1"/>
  <c r="D25" i="10"/>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<sst xmlns="http://schemas.openxmlformats.org/spreadsheetml/2006/main" count="5518" uniqueCount="1623">
  <si>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</si>
  <si>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</si>
  <si>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</si>
  <si>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</si>
  <si>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</si>
  <si>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</si>
  <si>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</si>
  <si>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</si>
  <si>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</si>
  <si>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</si>
  <si>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</si>
  <si>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</si>
  <si>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</si>
  <si>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</si>
  <si>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</si>
  <si>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</si>
  <si>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</si>
  <si>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</si>
  <si>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</si>
  <si>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</si>
  <si>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</si>
  <si>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</si>
  <si>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</si>
  <si>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</si>
  <si>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</si>
  <si>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</si>
  <si>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</si>
  <si>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</si>
  <si>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</si>
  <si>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</si>
  <si>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</si>
  <si>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</si>
  <si>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</si>
  <si>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</si>
  <si>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</si>
  <si>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</si>
  <si>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</si>
  <si>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</si>
  <si>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</si>
  <si>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</si>
  <si>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</si>
  <si>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</si>
  <si>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</si>
  <si>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</si>
  <si>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</si>
  <si>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</si>
  <si>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</si>
  <si>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</si>
  <si>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</si>
  <si>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</si>
  <si>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</si>
  <si>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</si>
  <si>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</si>
  <si>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</si>
  <si>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</si>
  <si>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</si>
  <si>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</si>
  <si>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</si>
  <si>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</si>
  <si>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</si>
  <si>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</si>
  <si>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</si>
  <si>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</si>
  <si>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</si>
  <si>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</si>
  <si>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</si>
  <si>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</si>
  <si>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</si>
  <si>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</si>
  <si>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</si>
  <si>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</si>
  <si>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</si>
  <si>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</si>
  <si>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</si>
  <si>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</si>
  <si>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</si>
  <si>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</si>
  <si>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</si>
  <si>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</si>
  <si>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</si>
  <si>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</si>
  <si>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</si>
  <si>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</si>
  <si>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</si>
  <si>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</si>
  <si>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</si>
  <si>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</si>
  <si>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</si>
  <si>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</si>
  <si>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</si>
  <si>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</si>
  <si>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</si>
  <si>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</si>
  <si>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</si>
  <si>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</si>
  <si>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</si>
  <si>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</si>
  <si>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</si>
  <si>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</si>
  <si>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</si>
  <si>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</si>
  <si>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</si>
  <si>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</si>
  <si>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</si>
  <si>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</si>
  <si>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</si>
  <si>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</si>
  <si>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</si>
  <si>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</si>
  <si>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</si>
  <si>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</si>
  <si>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</si>
  <si>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</si>
  <si>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</si>
  <si>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</si>
  <si>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</si>
  <si>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</si>
  <si>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</si>
  <si>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</si>
  <si>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</si>
  <si>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</si>
  <si>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</si>
  <si>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</si>
  <si>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</si>
  <si>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</si>
  <si>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</si>
  <si>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</si>
  <si>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</si>
  <si>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</si>
  <si>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</si>
  <si>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</si>
  <si>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</si>
  <si>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</si>
  <si>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</si>
  <si>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</si>
  <si>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</si>
  <si>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</si>
  <si>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</si>
  <si>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</si>
  <si>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</si>
  <si>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</si>
  <si>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</si>
  <si>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</si>
  <si>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</si>
  <si>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</si>
  <si>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</si>
  <si>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</si>
  <si>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</si>
  <si>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</si>
  <si>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</si>
  <si>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</si>
  <si>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</si>
  <si>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</si>
  <si>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</si>
  <si>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</si>
  <si>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</si>
  <si>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</si>
  <si>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</si>
  <si>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</si>
  <si>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</si>
  <si>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</si>
  <si>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</si>
  <si>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</si>
  <si>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</si>
  <si>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</si>
  <si>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</si>
  <si>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</si>
  <si>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</si>
  <si>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</si>
  <si>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</si>
  <si>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</si>
  <si>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</si>
  <si>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</si>
  <si>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</si>
  <si>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</si>
  <si>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</si>
  <si>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</si>
  <si>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</si>
  <si>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</si>
  <si>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</si>
  <si>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</si>
  <si>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</si>
  <si>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</si>
  <si>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</si>
  <si>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</si>
  <si>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</si>
  <si>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</si>
  <si>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</si>
  <si>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</si>
  <si>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</si>
  <si>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</si>
  <si>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</si>
  <si>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</si>
  <si>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</si>
  <si>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</si>
  <si>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</si>
  <si>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</si>
  <si>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</si>
  <si>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</si>
  <si>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</si>
  <si>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</si>
  <si>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</si>
  <si>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</si>
  <si>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</si>
  <si>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</si>
  <si>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</si>
  <si>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</si>
  <si>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</si>
  <si>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</si>
  <si>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</si>
  <si>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</si>
  <si>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</si>
  <si>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</si>
  <si>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</si>
  <si>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</si>
  <si>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</si>
  <si>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</si>
  <si>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</si>
  <si>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</si>
  <si>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</si>
  <si>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</si>
  <si>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</si>
  <si>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</si>
  <si>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</si>
  <si>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</si>
  <si>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</si>
  <si>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</si>
  <si>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</si>
  <si>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</si>
  <si>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</si>
  <si>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</si>
  <si>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</si>
  <si>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</si>
  <si>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</si>
  <si>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</si>
  <si>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</si>
  <si>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</si>
  <si>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</si>
  <si>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</si>
  <si>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</si>
  <si>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</si>
  <si>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</si>
  <si>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</si>
  <si>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</si>
  <si>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</si>
  <si>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</si>
  <si>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</si>
  <si>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</si>
  <si>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</si>
  <si>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</si>
  <si>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</si>
  <si>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</si>
  <si>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</si>
  <si>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</si>
  <si>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</si>
  <si>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</si>
  <si>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</si>
  <si>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</si>
  <si>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</si>
  <si>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</si>
  <si>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</si>
  <si>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</si>
  <si>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</si>
  <si>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</si>
  <si>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</si>
  <si>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</si>
  <si>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</si>
  <si>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</si>
  <si>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</si>
  <si>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</si>
  <si>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</si>
  <si>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</si>
  <si>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</si>
  <si>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</si>
  <si>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</si>
  <si>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</si>
  <si>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</si>
  <si>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</si>
  <si>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</si>
  <si>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</si>
  <si>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</si>
  <si>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</si>
  <si>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</si>
  <si>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</si>
  <si>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</si>
  <si>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</si>
  <si>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</si>
  <si>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</si>
  <si>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</si>
  <si>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</si>
  <si>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</si>
  <si>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</si>
  <si>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</si>
  <si>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</si>
  <si>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</si>
  <si>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</si>
  <si>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</si>
  <si>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</si>
  <si>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</si>
  <si>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</si>
  <si>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</si>
  <si>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</si>
  <si>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</si>
  <si>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</si>
  <si>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</si>
  <si>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</si>
  <si>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</si>
  <si>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</si>
  <si>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</si>
  <si>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</si>
  <si>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</si>
  <si>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</si>
  <si>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</si>
  <si>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</si>
  <si>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</si>
  <si>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</si>
  <si>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</si>
  <si>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</si>
  <si>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</si>
  <si>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</si>
  <si>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</si>
  <si>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</si>
  <si>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</si>
  <si>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</si>
  <si>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</si>
  <si>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</si>
  <si>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</si>
  <si>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</si>
  <si>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</si>
  <si>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</si>
  <si>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</si>
  <si>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</si>
  <si>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</si>
  <si>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</si>
  <si>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</si>
  <si>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</si>
  <si>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</si>
  <si>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</si>
  <si>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</si>
  <si>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</si>
  <si>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</si>
  <si>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</si>
  <si>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</si>
  <si>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</si>
  <si>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</si>
  <si>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</si>
  <si>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</si>
  <si>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</si>
  <si>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</si>
  <si>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</si>
  <si>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</si>
  <si>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</si>
  <si>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</si>
  <si>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</si>
  <si>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</si>
  <si>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</si>
  <si>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</si>
  <si>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</si>
  <si>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</si>
  <si>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</si>
  <si>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</si>
  <si>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</si>
  <si>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</si>
  <si>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</si>
  <si>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</si>
  <si>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</si>
  <si>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</si>
  <si>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</si>
  <si>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</si>
  <si>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</si>
  <si>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</si>
  <si>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</si>
  <si>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</si>
  <si>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</si>
  <si>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</si>
  <si>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</si>
  <si>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</si>
  <si>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</si>
  <si>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</si>
  <si>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</si>
  <si>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</si>
  <si>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</si>
  <si>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</si>
  <si>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</si>
  <si>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</si>
  <si>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</si>
  <si>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</si>
  <si>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</si>
  <si>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</si>
  <si>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</si>
  <si>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</si>
  <si>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</si>
  <si>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</si>
  <si>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</si>
  <si>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</si>
  <si>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</si>
  <si>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</si>
  <si>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</si>
  <si>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</si>
  <si>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</si>
  <si>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</si>
  <si>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</si>
  <si>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</si>
  <si>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</si>
  <si>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</si>
  <si>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</si>
  <si>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</si>
  <si>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</si>
  <si>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</si>
  <si>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</si>
  <si>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</si>
  <si>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</si>
  <si>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</si>
  <si>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</si>
  <si>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</si>
  <si>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</si>
  <si>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</si>
  <si>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</si>
  <si>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</si>
  <si>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</si>
  <si>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</si>
  <si>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</si>
  <si>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</si>
  <si>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</si>
  <si>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</si>
  <si>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</si>
  <si>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</si>
  <si>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</si>
  <si>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</si>
  <si>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</si>
  <si>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</si>
  <si>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</si>
  <si>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</si>
  <si>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</si>
  <si>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</si>
  <si>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</si>
  <si>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</si>
  <si>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</si>
  <si>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</si>
  <si>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</si>
  <si>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</si>
  <si>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</si>
  <si>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</si>
  <si>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</si>
  <si>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</si>
  <si>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</si>
  <si>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</si>
  <si>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</si>
  <si>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</si>
  <si>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</si>
  <si>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</si>
  <si>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</si>
  <si>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</si>
  <si>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</si>
  <si>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</si>
  <si>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</si>
  <si>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</si>
  <si>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</si>
  <si>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</si>
  <si>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</si>
  <si>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</si>
  <si>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</si>
  <si>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</si>
  <si>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</si>
  <si>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</si>
  <si>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</si>
  <si>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</si>
  <si>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</si>
  <si>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</si>
  <si>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</si>
  <si>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</si>
  <si>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</si>
  <si>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</si>
  <si>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</si>
  <si>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</si>
  <si>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</si>
  <si>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</si>
  <si>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</si>
  <si>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</si>
  <si>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</si>
  <si>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</si>
  <si>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</si>
  <si>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</si>
  <si>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</si>
  <si>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</si>
  <si>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</si>
  <si>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</si>
  <si>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</si>
  <si>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</si>
  <si>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</si>
  <si>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</si>
  <si>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</si>
  <si>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</si>
  <si>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</si>
  <si>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</si>
  <si>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</si>
  <si>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</si>
  <si>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</si>
  <si>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</si>
  <si>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</si>
  <si>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</si>
  <si>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</si>
  <si>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</si>
  <si>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</si>
  <si>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</si>
  <si>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</si>
  <si>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</si>
  <si>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</si>
  <si>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</si>
  <si>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</si>
  <si>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</si>
  <si>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</si>
  <si>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</si>
  <si>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</si>
  <si>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</si>
  <si>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</si>
  <si>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</si>
  <si>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</si>
  <si>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</si>
  <si>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</si>
  <si>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</si>
  <si>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</si>
  <si>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</si>
  <si>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</si>
  <si>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</si>
  <si>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</si>
  <si>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</si>
  <si>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</si>
  <si>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</si>
  <si>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</si>
  <si>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</si>
  <si>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</si>
  <si>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</si>
  <si>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</si>
  <si>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</si>
  <si>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</si>
  <si>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</si>
  <si>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</si>
  <si>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</si>
  <si>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</si>
  <si>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</si>
  <si>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</si>
  <si>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</si>
  <si>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</si>
  <si>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</si>
  <si>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</si>
  <si>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</si>
  <si>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</si>
  <si>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</si>
  <si>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</si>
  <si>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</si>
  <si>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</si>
  <si>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</si>
  <si>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</si>
  <si>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</si>
  <si>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</si>
  <si>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</si>
  <si>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</si>
  <si>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</si>
  <si>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</si>
  <si>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</si>
  <si>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</si>
  <si>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</si>
  <si>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</si>
  <si>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</si>
  <si>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</si>
  <si>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</si>
  <si>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</si>
  <si>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</si>
  <si>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</si>
  <si>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</si>
  <si>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</si>
  <si>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</si>
  <si>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</si>
  <si>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</si>
  <si>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</si>
  <si>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</si>
  <si>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</si>
  <si>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</si>
  <si>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</si>
  <si>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</si>
  <si>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</si>
  <si>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</si>
  <si>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</si>
  <si>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</si>
  <si>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</si>
  <si>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</si>
  <si>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</si>
  <si>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</si>
  <si>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</si>
  <si>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</si>
  <si>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</si>
  <si>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</si>
  <si>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</si>
  <si>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</si>
  <si>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</si>
  <si>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</si>
  <si>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</si>
  <si>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</si>
  <si>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</si>
  <si>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</si>
  <si>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</si>
  <si>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</si>
  <si>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</si>
  <si>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</si>
  <si>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</si>
  <si>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</si>
  <si>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</si>
  <si>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</si>
  <si>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</si>
  <si>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</si>
  <si>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</si>
  <si>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</si>
  <si>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</si>
  <si>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</si>
  <si>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</si>
  <si>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</si>
  <si>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</si>
  <si>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</si>
  <si>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</si>
  <si>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</si>
  <si>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</si>
  <si>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</si>
  <si>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</si>
  <si>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</si>
  <si>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</si>
  <si>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</si>
  <si>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</si>
  <si>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</si>
  <si>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</si>
  <si>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</si>
  <si>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</si>
  <si>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</si>
  <si>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</si>
  <si>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</si>
  <si>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</si>
  <si>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</si>
  <si>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</si>
  <si>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</si>
  <si>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</si>
  <si>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</si>
  <si>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</si>
  <si>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</si>
  <si>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</si>
  <si>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</si>
  <si>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</si>
  <si>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</si>
  <si>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</si>
  <si>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</si>
  <si>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</si>
  <si>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</si>
  <si>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</si>
  <si>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</si>
  <si>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</si>
  <si>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</si>
  <si>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</si>
  <si>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</si>
  <si>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</si>
  <si>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</si>
  <si>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</si>
  <si>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</si>
  <si>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</si>
  <si>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</si>
  <si>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</si>
  <si>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</si>
  <si>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</si>
  <si>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</si>
  <si>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</si>
  <si>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</si>
  <si>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</si>
  <si>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</si>
  <si>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</si>
  <si>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</si>
  <si>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</si>
  <si>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</si>
  <si>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</si>
  <si>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</si>
  <si>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</si>
  <si>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</si>
  <si>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</si>
  <si>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</si>
  <si>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</si>
  <si>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</si>
  <si>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</si>
  <si>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</si>
  <si>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</si>
  <si>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</si>
  <si>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</si>
  <si>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</si>
  <si>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</si>
  <si>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</si>
  <si>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</si>
  <si>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</si>
  <si>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</si>
  <si>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</si>
  <si>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</si>
  <si>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</si>
  <si>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</si>
  <si>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</si>
  <si>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</si>
  <si>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</si>
  <si>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</si>
  <si>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</si>
  <si>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</si>
  <si>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</si>
  <si>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</si>
  <si>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</si>
  <si>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</si>
  <si>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</si>
  <si>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</si>
  <si>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</si>
  <si>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</si>
  <si>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</si>
  <si>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</si>
  <si>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</si>
  <si>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</si>
  <si>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</si>
  <si>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</si>
  <si>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</si>
  <si>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</si>
  <si>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</si>
  <si>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</si>
  <si>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</si>
  <si>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</si>
  <si>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</si>
  <si>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</si>
  <si>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</si>
  <si>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</si>
  <si>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</si>
  <si>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</si>
  <si>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</si>
  <si>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</si>
  <si>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</si>
  <si>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</si>
  <si>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</si>
  <si>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</si>
  <si>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</si>
  <si>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</si>
  <si>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</si>
  <si>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</si>
  <si>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</si>
  <si>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</si>
  <si>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</si>
  <si>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</si>
  <si>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</si>
  <si>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</si>
  <si>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</si>
  <si>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</si>
  <si>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</si>
  <si>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</si>
  <si>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</si>
  <si>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</si>
  <si>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</si>
  <si>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</si>
  <si>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</si>
  <si>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</si>
  <si>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</si>
  <si>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</si>
  <si>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</si>
  <si>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</si>
  <si>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</si>
  <si>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</si>
  <si>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</si>
  <si>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</si>
  <si>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</si>
  <si>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</si>
  <si>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</si>
  <si>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</si>
  <si>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</si>
  <si>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</si>
  <si>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</si>
  <si>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</si>
  <si>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</si>
  <si>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</si>
  <si>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</si>
  <si>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</si>
  <si>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</si>
  <si>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</si>
  <si>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</si>
  <si>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</si>
  <si>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</si>
  <si>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</si>
  <si>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</si>
  <si>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</si>
  <si>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</si>
  <si>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</si>
  <si>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</si>
  <si>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</si>
  <si>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</si>
  <si>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</si>
  <si>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</si>
  <si>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</si>
  <si>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</si>
  <si>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</si>
  <si>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</si>
  <si>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</si>
  <si>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</si>
  <si>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</si>
  <si>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</si>
  <si>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</si>
  <si>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</si>
  <si>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</si>
  <si>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</si>
  <si>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</si>
  <si>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</si>
  <si>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</si>
  <si>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</si>
  <si>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</si>
  <si>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</si>
  <si>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</si>
  <si>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</si>
  <si>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</si>
  <si>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</si>
  <si>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</si>
  <si>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</si>
  <si>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</si>
  <si>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</si>
  <si>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</si>
  <si>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</si>
  <si>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</si>
  <si>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</si>
  <si>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</si>
  <si>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</si>
  <si>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</si>
  <si>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</si>
  <si>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</si>
  <si>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</si>
  <si>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</si>
  <si>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</si>
  <si>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</si>
  <si>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</si>
  <si>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</si>
  <si>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</si>
  <si>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</si>
  <si>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</si>
  <si>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</si>
  <si>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</si>
  <si>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</si>
  <si>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</si>
  <si>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</si>
  <si>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</si>
  <si>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</si>
  <si>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</si>
  <si>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</si>
  <si>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</si>
  <si>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</si>
  <si>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</si>
  <si>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</si>
  <si>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</si>
  <si>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</si>
  <si>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</si>
  <si>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</si>
  <si>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</si>
  <si>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</si>
  <si>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</si>
  <si>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</si>
  <si>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</si>
  <si>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</si>
  <si>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</si>
  <si>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</si>
  <si>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</si>
  <si>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</si>
  <si>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</si>
  <si>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</si>
  <si>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</si>
  <si>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</si>
  <si>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</si>
  <si>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</si>
  <si>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</si>
  <si>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</si>
  <si>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</si>
  <si>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</si>
  <si>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</si>
  <si>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</si>
  <si>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</si>
  <si>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</si>
  <si>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</si>
  <si>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</si>
  <si>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</si>
  <si>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</si>
  <si>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</si>
  <si>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</si>
  <si>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</si>
  <si>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</si>
  <si>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</si>
  <si>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</si>
  <si>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</si>
  <si>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</si>
  <si>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</si>
  <si>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</si>
  <si>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</si>
  <si>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</si>
  <si>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</si>
  <si>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</si>
  <si>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</si>
  <si>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</si>
  <si>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</si>
  <si>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</si>
  <si>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</si>
  <si>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</si>
  <si>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</si>
  <si>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</si>
  <si>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</si>
  <si>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</si>
  <si>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</si>
  <si>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</si>
  <si>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</si>
  <si>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</si>
  <si>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</si>
  <si>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</si>
  <si>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</si>
  <si>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</si>
  <si>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</si>
  <si>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</si>
  <si>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</si>
  <si>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</si>
  <si>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</si>
  <si>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</si>
  <si>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</si>
  <si>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</si>
  <si>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</si>
  <si>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</si>
  <si>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</si>
  <si>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</si>
  <si>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</si>
  <si>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</si>
  <si>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</si>
  <si>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</si>
  <si>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</si>
  <si>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</si>
  <si>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</si>
  <si>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</si>
  <si>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</si>
  <si>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</si>
  <si>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</si>
  <si>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</si>
  <si>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</si>
  <si>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</si>
  <si>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</si>
  <si>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</si>
  <si>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</si>
  <si>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</si>
  <si>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</si>
  <si>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</si>
  <si>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</si>
  <si>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</si>
  <si>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</si>
  <si>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</si>
  <si>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</si>
  <si>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</si>
  <si>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</si>
  <si>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</si>
  <si>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</si>
  <si>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</si>
  <si>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</si>
  <si>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</si>
  <si>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</si>
  <si>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</si>
  <si>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</si>
  <si>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</si>
  <si>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</si>
  <si>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</si>
  <si>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</si>
  <si>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</si>
  <si>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</si>
  <si>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</si>
  <si>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</si>
  <si>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</si>
  <si>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</si>
  <si>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</si>
  <si>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</si>
  <si>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</si>
  <si>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</si>
  <si>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</si>
  <si>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</si>
  <si>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</si>
  <si>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</si>
  <si>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</si>
  <si>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</si>
  <si>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</si>
  <si>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</si>
  <si>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</si>
  <si>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</si>
  <si>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</si>
  <si>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</si>
  <si>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</si>
  <si>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</si>
  <si>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</si>
  <si>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</si>
  <si>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</si>
  <si>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</si>
  <si>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</si>
  <si>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</si>
  <si>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</si>
  <si>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</si>
  <si>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</si>
  <si>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</si>
  <si>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</si>
  <si>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</si>
  <si>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</si>
  <si>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</si>
  <si>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</si>
  <si>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</si>
  <si>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</si>
  <si>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</si>
  <si>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</si>
  <si>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</si>
  <si>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</si>
  <si>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</si>
  <si>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</si>
  <si>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</si>
  <si>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</si>
  <si>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</si>
  <si>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</si>
  <si>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</si>
  <si>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</si>
  <si>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</si>
  <si>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</si>
  <si>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</si>
  <si>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</si>
  <si>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</si>
  <si>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</si>
  <si>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</si>
  <si>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</si>
  <si>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</si>
  <si>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</si>
  <si>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</si>
  <si>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</si>
  <si>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</si>
  <si>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</si>
  <si>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</si>
  <si>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</si>
  <si>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</si>
  <si>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</si>
  <si>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</si>
  <si>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</si>
  <si>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</si>
  <si>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</si>
  <si>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</si>
  <si>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</si>
  <si>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</si>
  <si>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</si>
  <si>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</si>
  <si>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</si>
  <si>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</si>
  <si>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</si>
  <si>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</si>
  <si>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</si>
  <si>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</si>
  <si>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</si>
  <si>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</si>
  <si>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</si>
  <si>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</si>
  <si>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</si>
  <si>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</si>
  <si>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</si>
  <si>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</si>
  <si>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</si>
  <si>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</si>
  <si>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</si>
  <si>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</si>
  <si>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</si>
  <si>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</si>
  <si>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</si>
  <si>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</si>
  <si>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</si>
  <si>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</si>
  <si>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</si>
  <si>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</si>
  <si>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</si>
  <si>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</si>
  <si>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</si>
  <si>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</si>
  <si>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</si>
  <si>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</si>
  <si>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</si>
  <si>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</si>
  <si>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</si>
  <si>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</si>
  <si>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</si>
  <si>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</si>
  <si>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</si>
  <si>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</si>
  <si>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</si>
  <si>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</si>
  <si>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</si>
  <si>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</si>
  <si>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</si>
  <si>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</si>
  <si>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</si>
  <si>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</si>
  <si>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</si>
  <si>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</si>
  <si>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</si>
  <si>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</si>
  <si>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</si>
  <si>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</si>
  <si>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</si>
  <si>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</si>
  <si>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</si>
  <si>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</si>
  <si>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</si>
  <si>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</si>
  <si>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</si>
  <si>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</si>
  <si>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</si>
  <si>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</si>
  <si>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</si>
  <si>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</si>
  <si>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</si>
  <si>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</si>
  <si>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</si>
  <si>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</si>
  <si>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</si>
  <si>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</si>
  <si>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</si>
  <si>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</si>
  <si>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</si>
  <si>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</si>
  <si>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</si>
  <si>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</si>
  <si>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</si>
  <si>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</si>
  <si>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</si>
  <si>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</si>
  <si>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</si>
  <si>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</si>
  <si>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</si>
  <si>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</si>
  <si>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</si>
  <si>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</si>
  <si>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</si>
  <si>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</si>
  <si>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</si>
  <si>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</si>
  <si>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</si>
  <si>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</si>
  <si>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</si>
  <si>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</si>
  <si>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</si>
  <si>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</si>
  <si>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</si>
  <si>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</si>
  <si>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</si>
  <si>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</si>
  <si>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</si>
  <si>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</si>
  <si>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</si>
  <si>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</si>
  <si>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</si>
  <si>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</si>
  <si>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</si>
  <si>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</si>
  <si>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</si>
  <si>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</si>
  <si>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</si>
  <si>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</si>
  <si>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</si>
  <si>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</si>
  <si>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</si>
  <si>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</si>
  <si>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</si>
  <si>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</si>
  <si>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</si>
  <si>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</si>
  <si>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</si>
  <si>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</si>
  <si>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</si>
  <si>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</si>
  <si>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</si>
  <si>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</si>
  <si>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</si>
  <si>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</si>
  <si>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</si>
  <si>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</si>
  <si>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</si>
  <si>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</si>
  <si>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</si>
  <si>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</si>
  <si>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</si>
  <si>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</si>
  <si>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</si>
  <si>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</si>
  <si>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</si>
  <si>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</si>
  <si>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</si>
  <si>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</si>
  <si>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</si>
  <si>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</si>
  <si>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</si>
  <si>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</si>
  <si>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</si>
  <si>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</si>
  <si>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</si>
  <si>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</si>
  <si>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</si>
  <si>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</si>
  <si>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</si>
  <si>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</si>
  <si>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</si>
  <si>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</si>
  <si>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</si>
  <si>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</si>
  <si>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</si>
  <si>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</si>
  <si>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</si>
  <si>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</si>
  <si>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</si>
  <si>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</si>
  <si>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</si>
  <si>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</si>
  <si>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</si>
  <si>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</si>
  <si>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</si>
  <si>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</si>
  <si>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</si>
  <si>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</si>
  <si>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</si>
  <si>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</si>
  <si>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</si>
  <si>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</si>
  <si>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</si>
  <si>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</si>
  <si>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</si>
  <si>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</si>
  <si>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</si>
  <si>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</si>
  <si>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</si>
  <si>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</si>
  <si>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</si>
  <si>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</si>
  <si>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</si>
  <si>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</si>
  <si>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</si>
  <si>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</si>
  <si>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</si>
  <si>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</si>
  <si>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</si>
  <si>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</si>
  <si>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</si>
  <si>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</si>
  <si>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</si>
  <si>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</si>
  <si>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</si>
  <si>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</si>
  <si>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</si>
  <si>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</si>
  <si>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</si>
  <si>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</si>
  <si>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</si>
  <si>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</si>
  <si>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</si>
  <si>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</si>
  <si>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</si>
  <si>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</si>
  <si>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</si>
  <si>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</si>
  <si>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</si>
  <si>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</si>
  <si>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</si>
  <si>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</si>
  <si>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</si>
  <si>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</si>
  <si>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</si>
  <si>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</si>
  <si>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</si>
  <si>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</si>
  <si>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</si>
  <si>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</si>
  <si>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</si>
  <si>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</si>
  <si>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</si>
  <si>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</si>
  <si>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</si>
  <si>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</si>
  <si>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</si>
  <si>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</si>
  <si>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</si>
  <si>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</si>
  <si>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</si>
  <si>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</si>
  <si>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</si>
  <si>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</si>
  <si>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</si>
  <si>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</si>
  <si>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</si>
  <si>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</si>
  <si>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</si>
  <si>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</si>
  <si>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</si>
  <si>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</si>
  <si>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</si>
  <si>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</si>
  <si>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</si>
  <si>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</si>
  <si>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</si>
  <si>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</si>
  <si>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</si>
  <si>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</si>
  <si>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</si>
  <si>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</si>
  <si>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</si>
  <si>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</si>
  <si>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</si>
  <si>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</si>
  <si>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</si>
  <si>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</si>
  <si>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</si>
  <si>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</si>
  <si>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</si>
  <si>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</si>
  <si>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</si>
  <si>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</si>
  <si>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</si>
  <si>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</si>
  <si>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</si>
  <si>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</si>
  <si>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</si>
  <si>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</si>
  <si>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</si>
  <si>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</si>
  <si>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</si>
  <si>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</si>
  <si>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</si>
  <si>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</si>
  <si>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</si>
  <si>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</si>
  <si>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</si>
  <si>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</si>
  <si>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</si>
  <si>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</si>
  <si>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</si>
  <si>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</si>
  <si>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</si>
  <si>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</si>
  <si>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</si>
  <si>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</si>
  <si>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</si>
  <si>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</si>
  <si>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</si>
  <si>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</si>
  <si>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</si>
  <si>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</si>
  <si>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</si>
  <si>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</si>
  <si>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</si>
  <si>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</si>
  <si>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</si>
  <si>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</si>
  <si>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</si>
  <si>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</si>
  <si>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</si>
  <si>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</si>
  <si>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</si>
  <si>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</si>
  <si>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</si>
  <si>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</si>
  <si>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</si>
  <si>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</si>
  <si>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</si>
  <si>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</si>
  <si>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</si>
  <si>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</si>
  <si>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</si>
  <si>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</si>
  <si>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</si>
  <si>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</si>
  <si>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</si>
  <si>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</si>
  <si>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</si>
  <si>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</si>
  <si>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</si>
  <si>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</si>
  <si>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</si>
  <si>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</si>
  <si>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</si>
  <si>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</si>
  <si>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</si>
  <si>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</si>
  <si>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</si>
  <si>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</si>
  <si>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</si>
  <si>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</si>
  <si>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</si>
  <si>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</si>
  <si>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</si>
  <si>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</si>
  <si>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</si>
  <si>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</si>
  <si>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</si>
  <si>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</si>
  <si>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</si>
  <si>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</si>
  <si>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</si>
  <si>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</si>
  <si>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</si>
  <si>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</si>
  <si>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</si>
  <si>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</si>
  <si>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</si>
  <si>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</si>
  <si>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</si>
  <si>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</si>
  <si>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</si>
  <si>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</si>
  <si>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</si>
  <si>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</si>
  <si>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</si>
  <si>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</si>
  <si>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</si>
  <si>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</si>
  <si>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</si>
  <si>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</si>
  <si>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</si>
  <si>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</si>
  <si>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</si>
  <si>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</si>
  <si>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</si>
  <si>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</si>
  <si>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</si>
  <si>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</si>
  <si>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</si>
  <si>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</si>
  <si>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</si>
  <si>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</si>
  <si>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</si>
  <si>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</si>
  <si>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</si>
  <si>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</si>
  <si>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</si>
  <si>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</si>
  <si>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</si>
  <si>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</si>
  <si>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</si>
  <si>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</si>
  <si>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</si>
  <si>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</si>
  <si>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</si>
  <si>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</si>
  <si>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</si>
  <si>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</si>
  <si>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</si>
  <si>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</si>
  <si>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</si>
  <si>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</si>
  <si>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</si>
  <si>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</si>
  <si>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</si>
  <si>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</si>
  <si>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</si>
  <si>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</si>
  <si>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</si>
  <si>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</si>
  <si>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</si>
  <si>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</si>
  <si>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</si>
  <si>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</si>
  <si>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</si>
  <si>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</si>
  <si>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</si>
  <si>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</si>
  <si>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</si>
  <si>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</si>
  <si>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</si>
  <si>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</si>
  <si>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</si>
  <si>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</si>
  <si>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</si>
  <si>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</si>
  <si>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</si>
  <si>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</si>
  <si>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</si>
  <si>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</si>
  <si>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</si>
  <si>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</si>
  <si>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</si>
  <si>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</si>
  <si>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</si>
  <si>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</si>
  <si>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</si>
  <si>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</si>
  <si>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</si>
  <si>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</si>
  <si>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</si>
  <si>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</si>
  <si>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</si>
  <si>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</si>
  <si>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</si>
  <si>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</si>
  <si>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</si>
  <si>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</si>
  <si>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</si>
  <si>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</si>
  <si>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</si>
  <si>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</si>
  <si>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</si>
  <si>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</si>
  <si>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</si>
  <si>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</si>
  <si>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</si>
  <si>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</si>
  <si>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</si>
  <si>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</si>
  <si>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</si>
  <si>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</si>
  <si>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</si>
  <si>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</si>
  <si>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</si>
  <si>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</si>
  <si>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</si>
  <si>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</si>
  <si>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</si>
  <si>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</si>
  <si>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</si>
  <si>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</si>
  <si>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</si>
  <si>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</si>
  <si>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</si>
  <si>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</si>
  <si>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</si>
  <si>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</si>
  <si>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</si>
  <si>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</si>
  <si>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</si>
  <si>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</si>
  <si>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</si>
  <si>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</si>
  <si>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</si>
  <si>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</si>
  <si>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</si>
  <si>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</si>
  <si>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</si>
  <si>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</si>
  <si>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</si>
  <si>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</si>
  <si>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</si>
  <si>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</si>
  <si>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</si>
  <si>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</si>
  <si>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</si>
  <si>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</si>
  <si>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</si>
  <si>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</si>
  <si>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</si>
  <si>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</si>
  <si>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</si>
  <si>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</si>
  <si>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</si>
  <si>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</si>
  <si>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</si>
  <si>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</si>
  <si>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</si>
  <si>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</si>
  <si>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</si>
  <si>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</si>
  <si>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</si>
  <si>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</si>
  <si>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</si>
  <si>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</si>
  <si>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</si>
  <si>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</si>
  <si>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</si>
  <si>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</si>
  <si>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</si>
  <si>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</si>
  <si>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</si>
  <si>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</si>
  <si>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</si>
  <si>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</si>
  <si>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</si>
  <si>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</si>
  <si>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</si>
  <si>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</si>
  <si>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</si>
  <si>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</si>
  <si>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</si>
  <si>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</si>
  <si>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</si>
  <si>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</si>
  <si>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</si>
  <si>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</si>
  <si>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</si>
  <si>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</si>
  <si>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</si>
  <si>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</si>
  <si>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</si>
  <si>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</si>
  <si>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</si>
  <si>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</si>
  <si>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</si>
  <si>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</si>
  <si>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</si>
  <si>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</si>
  <si>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</si>
  <si>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</si>
  <si>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</si>
  <si>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</si>
  <si>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</si>
  <si>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</si>
  <si>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</si>
  <si>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</si>
  <si>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</si>
  <si>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</si>
  <si>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</si>
  <si>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</si>
  <si>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</si>
  <si>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</si>
  <si>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</si>
  <si>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</si>
  <si>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</si>
  <si>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Franklin School District</t>
  </si>
  <si>
    <t>8/99</t>
  </si>
  <si>
    <t>8/19</t>
  </si>
  <si>
    <t>05/06</t>
  </si>
  <si>
    <t>05/26</t>
  </si>
  <si>
    <t>08/39</t>
  </si>
  <si>
    <t>08/19</t>
  </si>
  <si>
    <t>Fund Balance correction to a special revenue fund when the SAU18 entity was integrated into the Franklin School District</t>
  </si>
  <si>
    <t>System of Care Grant CFDA 93.104 Project 82539  $27489.55</t>
  </si>
  <si>
    <t>System of Care Grant CFDA 93.104 Project 94651  $70278.65</t>
  </si>
  <si>
    <t>Project Aware Grant CFDA 93.243 Project 94655 $314,714.77</t>
  </si>
  <si>
    <t>Project Aware Grant CFDA 93.243 Project 82582 $120,440.14</t>
  </si>
  <si>
    <t>Partnership for Success Grant, PFS2 CFDA #93.243 FAIN #SP020796 Funded through DHHS  $99122.11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</si>
</sst>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38" fontId="3" fillId="0" borderId="0" xfId="0" quotePrefix="1" applyNumberFormat="1" applyFont="1" applyAlignment="1" applyProtection="1">
      <alignment horizontal="center"/>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185</v>
      </c>
      <c r="C2" s="21">
        <v>185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100+150+200+113047.58</f>
        <v>113497.58</v>
      </c>
      <c r="G9" s="18">
        <f>86754.21+317</f>
        <v>87071.21</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47273.68+1007661.75</f>
        <v>1054935.43</v>
      </c>
      <c r="G13" s="18">
        <v>31223.63</v>
      </c>
      <c r="H13" s="18">
        <v>585689.06999999995</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1897.64</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27705.48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1170330.6499999999</v>
      </c>
      <c r="G19" s="41">
        <f>SUM(G9:G18)</f>
        <v>146000.32000000001</v>
      </c>
      <c r="H19" s="41">
        <f>SUM(H9:H18)</f>
        <v>585689.06999999995</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-346295.89</v>
      </c>
      <c r="G22" s="18">
        <v>137227.07</v>
      </c>
      <c r="H22" s="18">
        <f>-3000-31250.95+12+529447.26-228.72-65366.82-398.07-3468.35-25000-9603.42-31.47-1310.51</f>
        <v>389800.95000000007</v>
      </c>
      <c r="I22" s="18">
        <v>-180601.1</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962.55</v>
      </c>
      <c r="G23" s="18"/>
      <c r="H23" s="18"/>
      <c r="I23" s="18">
        <v>22500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222479.18+41162.63</f>
        <v>263641.81</v>
      </c>
      <c r="G24" s="18">
        <f>1207.99+2449.13</f>
        <v>3657.12</v>
      </c>
      <c r="H24" s="18">
        <v>50170.879999999997</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-22501.81+10.65</f>
        <v>-22491.16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-97.1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5116.13</v>
      </c>
      <c r="H30" s="18">
        <f>5297.35+773.58</f>
        <v>6070.93</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-104279.79000000004</v>
      </c>
      <c r="G32" s="41">
        <f>SUM(G22:G31)</f>
        <v>146000.32000000001</v>
      </c>
      <c r="H32" s="41">
        <f>SUM(H22:H31)</f>
        <v>446042.76000000007</v>
      </c>
      <c r="I32" s="41">
        <f>SUM(I22:I31)</f>
        <v>-158101.1</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34280.239999999998</v>
      </c>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1031751</v>
      </c>
      <c r="G48" s="18"/>
      <c r="H48" s="18">
        <f>3000+31238.95+228.72+65366.82+398.07+3468.35+25000+9603.42+31.47+1310.51</f>
        <v>139646.31000000003</v>
      </c>
      <c r="I48" s="18">
        <v>158101.1</v>
      </c>
      <c r="J48" s="13">
        <f>SUM(I459)</f>
        <v>0</v>
      </c>
      <c r="K48" s="24" t="s">
        <v>288</v>
      </c>
      <c r="L48" s="24" t="s">
        <v>288</v>
      </c>
      <c r="M48" s="8"/>
      <c r="N48" s="266"/>
    </row>
    <row r="49" spans="1:14" s="3" customFormat="1" ht="12.2" customHeight="1" x14ac:dyDescent="0.15">
      <c r="A49" s="1" t="s">
        <v>859</v>
      </c>
      <c r="B49" s="2" t="s">
        <v>289</v>
      </c>
      <c r="C49" s="6">
        <v>34</v>
      </c>
      <c r="D49" s="2"/>
      <c r="E49" s="6">
        <v>753</v>
      </c>
      <c r="F49" s="18">
        <v>208579.20000000001</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1274610.44</v>
      </c>
      <c r="G51" s="41">
        <f>SUM(G35:G50)</f>
        <v>0</v>
      </c>
      <c r="H51" s="41">
        <f>SUM(H35:H50)</f>
        <v>139646.31000000003</v>
      </c>
      <c r="I51" s="41">
        <f>SUM(I35:I50)</f>
        <v>158101.1</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1170330.6499999999</v>
      </c>
      <c r="G52" s="41">
        <f>G51+G32</f>
        <v>146000.32000000001</v>
      </c>
      <c r="H52" s="41">
        <f>H51+H32</f>
        <v>585689.07000000007</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4257639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4257639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f>925</f>
        <v>925</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19600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14231.25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33831.25</v>
      </c>
      <c r="G79" s="45" t="s">
        <v>288</v>
      </c>
      <c r="H79" s="41">
        <f>SUM(H63:H78)</f>
        <v>925</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20266.43</v>
      </c>
      <c r="G96" s="18">
        <v>93.77</v>
      </c>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74783.59+6502.75+9121.2+2205.68+30187.32+4218.95</f>
        <v>127019.48999999998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3838.54</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2925.43+7660+500+8500</f>
        <v>19585.43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788.67</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196566.7+86.79+936.43+164260</f>
        <v>361849.92000000004</v>
      </c>
      <c r="G110" s="18"/>
      <c r="H110" s="18">
        <f>1699.75+1500</f>
        <v>3199.75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386743.56000000006</v>
      </c>
      <c r="G111" s="41">
        <f>SUM(G96:G110)</f>
        <v>127113.25999999998</v>
      </c>
      <c r="H111" s="41">
        <f>SUM(H96:H110)</f>
        <v>22785.18</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4678213.8100000005</v>
      </c>
      <c r="G112" s="41">
        <f>G60+G111</f>
        <v>127113.25999999998</v>
      </c>
      <c r="H112" s="41">
        <f>H60+H79+H94+H111</f>
        <v>23710.18</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7080826.2699999996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1178555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25804.15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8285185.4199999999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181944.16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66447.59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52651.7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8914.1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4278.17</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32998.559999999998</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6630.59+1131</f>
        <v>7761.59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320478.84999999998</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309957.55</v>
      </c>
      <c r="G136" s="41">
        <f>SUM(G123:G135)</f>
        <v>7761.59</v>
      </c>
      <c r="H136" s="41">
        <f>SUM(H123:H135)</f>
        <v>357755.57999999996</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8595142.9700000007</v>
      </c>
      <c r="G140" s="41">
        <f>G121+SUM(G136:G137)</f>
        <v>7761.59</v>
      </c>
      <c r="H140" s="41">
        <f>H121+SUM(H136:H139)</f>
        <v>357755.57999999996</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792584.5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340142.05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269316.18+71573.12+41681.93</f>
        <v>382571.23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398523.78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301681.34000000003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83799.820000000007</v>
      </c>
      <c r="G161" s="18"/>
      <c r="H161" s="18">
        <v>632045.22</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385481.16000000003</v>
      </c>
      <c r="G162" s="41">
        <f>SUM(G150:G161)</f>
        <v>382571.23</v>
      </c>
      <c r="H162" s="41">
        <f>SUM(H150:H161)</f>
        <v>2163295.5499999998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385481.16000000003</v>
      </c>
      <c r="G169" s="41">
        <f>G147+G162+SUM(G163:G168)</f>
        <v>382571.23</v>
      </c>
      <c r="H169" s="41">
        <f>H147+H162+SUM(H163:H168)</f>
        <v>2163295.5499999998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2000000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2000000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28353.81</v>
      </c>
      <c r="H179" s="18">
        <v>33585.230000000003</v>
      </c>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68399.44</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68399.44</v>
      </c>
      <c r="G183" s="41">
        <f>SUM(G179:G182)</f>
        <v>28353.81</v>
      </c>
      <c r="H183" s="41">
        <f>SUM(H179:H182)</f>
        <v>33585.230000000003</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192041</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192041</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260440.44</v>
      </c>
      <c r="G192" s="41">
        <f>G183+SUM(G188:G191)</f>
        <v>28353.81</v>
      </c>
      <c r="H192" s="41">
        <f>+H183+SUM(H188:H191)</f>
        <v>33585.230000000003</v>
      </c>
      <c r="I192" s="41">
        <f>I177+I183+SUM(I188:I191)</f>
        <v>2000000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13919278.380000001</v>
      </c>
      <c r="G193" s="47">
        <f>G112+G140+G169+G192</f>
        <v>545799.89</v>
      </c>
      <c r="H193" s="47">
        <f>H112+H140+H169+H192</f>
        <v>2578346.5399999996</v>
      </c>
      <c r="I193" s="47">
        <f>I112+I140+I169+I192</f>
        <v>2000000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7064.32+901091.6+1073085.19</f>
        <v>1981241.1099999999</v>
      </c>
      <c r="G197" s="18">
        <f>438803.32+1757.46+541880.86</f>
        <v>982441.64</v>
      </c>
      <c r="H197" s="18">
        <f>23506.91+21172.75</f>
        <v>44679.66</v>
      </c>
      <c r="I197" s="18">
        <f>30026.42+43805.26</f>
        <v>73831.679999999993</v>
      </c>
      <c r="J197" s="18">
        <f>2006.51+380.95</f>
        <v>2387.46</v>
      </c>
      <c r="K197" s="18"/>
      <c r="L197" s="19">
        <f>SUM(F197:K197)</f>
        <v>3084581.5500000003</v>
      </c>
      <c r="M197" s="8"/>
      <c r="N197" s="266"/>
    </row>
    <row r="198" spans="1:14" s="3" customFormat="1" ht="12.2" customHeight="1" x14ac:dyDescent="0.15">
      <c r="A198" s="1" t="s">
        <v>439</v>
      </c>
      <c r="B198" s="2" t="s">
        <v>341</v>
      </c>
      <c r="C198" s="2" t="s">
        <v>291</v>
      </c>
      <c r="D198" s="2" t="s">
        <v>431</v>
      </c>
      <c r="E198" s="6">
        <v>1200</v>
      </c>
      <c r="F198" s="18">
        <f>49876.82+878.04+477759.36+14345+316604.64</f>
        <v>859463.86</v>
      </c>
      <c r="G198" s="18">
        <f>24588.69+78.98+244911.58+2138.36+153523.05</f>
        <v>425240.66</v>
      </c>
      <c r="H198" s="18">
        <f>460108.77+8929.26+529.68+171009.62</f>
        <v>640577.33000000007</v>
      </c>
      <c r="I198" s="18">
        <f>226.8+151.06+2238.89+1723.36</f>
        <v>4340.1099999999997</v>
      </c>
      <c r="J198" s="18"/>
      <c r="K198" s="18">
        <f>191.87+208.74</f>
        <v>400.61</v>
      </c>
      <c r="L198" s="19">
        <f>SUM(F198:K198)</f>
        <v>1930022.5700000003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500+37337.91</f>
        <v>37837.910000000003</v>
      </c>
      <c r="G200" s="18">
        <f>126.33+14879.11</f>
        <v>15005.44</v>
      </c>
      <c r="H200" s="18">
        <v>6476.12</v>
      </c>
      <c r="I200" s="18">
        <v>3462.51</v>
      </c>
      <c r="J200" s="18">
        <v>2792.52</v>
      </c>
      <c r="K200" s="18">
        <v>1062.5</v>
      </c>
      <c r="L200" s="19">
        <f>SUM(F200:K200)</f>
        <v>66637.000000000015</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325.2+37465+44556.99+15818.66+64714.59+90063.79+182943.59</f>
        <v>435887.81999999995</v>
      </c>
      <c r="G202" s="18">
        <f>18357.51+17220.33+7086.35+29201.1+31626.27+472.34+105096.47</f>
        <v>209060.37</v>
      </c>
      <c r="H202" s="18">
        <f>111.83+35542.44+79+21792+151317.89+88052.33+4935.4+180612.54</f>
        <v>482443.43000000005</v>
      </c>
      <c r="I202" s="18">
        <f>317.67+152.36+216.42+846.73+1646.99</f>
        <v>3180.17</v>
      </c>
      <c r="J202" s="18">
        <v>281.47000000000003</v>
      </c>
      <c r="K202" s="18">
        <v>456.5</v>
      </c>
      <c r="L202" s="19">
        <f t="shared" ref="L202:L208" si="0">SUM(F202:K202)</f>
        <v>1131309.76</v>
      </c>
      <c r="M202" s="8"/>
      <c r="N202" s="266"/>
    </row>
    <row r="203" spans="1:14" s="3" customFormat="1" ht="12.2" customHeight="1" x14ac:dyDescent="0.15">
      <c r="A203" s="1" t="s">
        <v>443</v>
      </c>
      <c r="B203" s="2" t="s">
        <v>341</v>
      </c>
      <c r="C203" s="2" t="s">
        <v>295</v>
      </c>
      <c r="D203" s="2" t="s">
        <v>431</v>
      </c>
      <c r="E203" s="6">
        <v>2200</v>
      </c>
      <c r="F203" s="18">
        <f>1699.82+12376.36+15149.91</f>
        <v>29226.09</v>
      </c>
      <c r="G203" s="18">
        <f>1006.56+1892.38+4018.48+5765.07</f>
        <v>12682.49</v>
      </c>
      <c r="H203" s="18">
        <f>787.5+19626.23+21539.35</f>
        <v>41953.08</v>
      </c>
      <c r="I203" s="18">
        <f>1157.91+469.18+748.93</f>
        <v>2376.02</v>
      </c>
      <c r="J203" s="18">
        <f>41.95+12613.07+52974.67</f>
        <v>65629.69</v>
      </c>
      <c r="K203" s="18"/>
      <c r="L203" s="19">
        <f t="shared" si="0"/>
        <v>151867.37</v>
      </c>
      <c r="M203" s="8"/>
      <c r="N203" s="266"/>
    </row>
    <row r="204" spans="1:14" s="3" customFormat="1" ht="12.2" customHeight="1" x14ac:dyDescent="0.15">
      <c r="A204" s="1" t="s">
        <v>444</v>
      </c>
      <c r="B204" s="2" t="s">
        <v>341</v>
      </c>
      <c r="C204" s="2" t="s">
        <v>296</v>
      </c>
      <c r="D204" s="2" t="s">
        <v>431</v>
      </c>
      <c r="E204" s="6">
        <v>2300</v>
      </c>
      <c r="F204" s="18">
        <f>1216.62+390.24+65116.49+72591.39</f>
        <v>139314.74</v>
      </c>
      <c r="G204" s="18">
        <f>105.39+30.85+20091.71+22006.92</f>
        <v>42234.869999999995</v>
      </c>
      <c r="H204" s="18">
        <f>397.18+8772.27+3612.78+7067.29+21595.21</f>
        <v>41444.729999999996</v>
      </c>
      <c r="I204" s="18">
        <f>8.13+242.32+1899.47+2339</f>
        <v>4488.92</v>
      </c>
      <c r="J204" s="18"/>
      <c r="K204" s="18">
        <f>1601.94+1216.5+3066.31</f>
        <v>5884.75</v>
      </c>
      <c r="L204" s="19">
        <f t="shared" si="0"/>
        <v>233368.00999999998</v>
      </c>
      <c r="M204" s="8"/>
      <c r="N204" s="266"/>
    </row>
    <row r="205" spans="1:14" s="3" customFormat="1" ht="12.2" customHeight="1" x14ac:dyDescent="0.15">
      <c r="A205" s="1" t="s">
        <v>445</v>
      </c>
      <c r="B205" s="2" t="s">
        <v>341</v>
      </c>
      <c r="C205" s="2" t="s">
        <v>297</v>
      </c>
      <c r="D205" s="2" t="s">
        <v>431</v>
      </c>
      <c r="E205" s="6">
        <v>2400</v>
      </c>
      <c r="F205" s="18">
        <f>118424.8+171131.7</f>
        <v>289556.5</v>
      </c>
      <c r="G205" s="18">
        <f>47503.75+90232.38</f>
        <v>137736.13</v>
      </c>
      <c r="H205" s="18">
        <f>7630.71+8544.24</f>
        <v>16174.95</v>
      </c>
      <c r="I205" s="18">
        <f>2393.68+27.29</f>
        <v>2420.9699999999998</v>
      </c>
      <c r="J205" s="18"/>
      <c r="K205" s="18">
        <f>235+2559.72</f>
        <v>2794.72</v>
      </c>
      <c r="L205" s="19">
        <f t="shared" si="0"/>
        <v>448683.26999999996</v>
      </c>
      <c r="M205" s="8"/>
      <c r="N205" s="266"/>
    </row>
    <row r="206" spans="1:14" s="3" customFormat="1" ht="12.2" customHeight="1" x14ac:dyDescent="0.15">
      <c r="A206" s="1" t="s">
        <v>446</v>
      </c>
      <c r="B206" s="2" t="s">
        <v>341</v>
      </c>
      <c r="C206" s="2" t="s">
        <v>298</v>
      </c>
      <c r="D206" s="2" t="s">
        <v>431</v>
      </c>
      <c r="E206" s="6">
        <v>2500</v>
      </c>
      <c r="F206" s="18">
        <f>58549.64+63698.84</f>
        <v>122248.48</v>
      </c>
      <c r="G206" s="18">
        <f>22971.87+24992.15</f>
        <v>47964.020000000004</v>
      </c>
      <c r="H206" s="18"/>
      <c r="I206" s="18"/>
      <c r="J206" s="18"/>
      <c r="K206" s="18"/>
      <c r="L206" s="19">
        <f t="shared" si="0"/>
        <v>170212.5</v>
      </c>
      <c r="M206" s="8"/>
      <c r="N206" s="266"/>
    </row>
    <row r="207" spans="1:14" s="3" customFormat="1" ht="12.2" customHeight="1" x14ac:dyDescent="0.15">
      <c r="A207" s="1" t="s">
        <v>447</v>
      </c>
      <c r="B207" s="2" t="s">
        <v>341</v>
      </c>
      <c r="C207" s="2" t="s">
        <v>299</v>
      </c>
      <c r="D207" s="2" t="s">
        <v>431</v>
      </c>
      <c r="E207" s="6">
        <v>2600</v>
      </c>
      <c r="F207" s="18">
        <f>15839.49+2042.11+5265.64+109472.77+144860.24</f>
        <v>277480.25</v>
      </c>
      <c r="G207" s="18">
        <f>11287.37+365.85+573.49+33950.73+79378.08</f>
        <v>125555.52</v>
      </c>
      <c r="H207" s="18">
        <f>16555.61+2797.37+14773.25+21.36+8622.21+49747.56</f>
        <v>92517.359999999986</v>
      </c>
      <c r="I207" s="18">
        <f>936.8+63127.07+32.38+84662.53</f>
        <v>148758.78</v>
      </c>
      <c r="J207" s="18">
        <v>6910.34</v>
      </c>
      <c r="K207" s="18"/>
      <c r="L207" s="19">
        <f t="shared" si="0"/>
        <v>651222.25</v>
      </c>
      <c r="M207" s="8"/>
      <c r="N207" s="266"/>
    </row>
    <row r="208" spans="1:14" s="3" customFormat="1" ht="12.2" customHeight="1" x14ac:dyDescent="0.15">
      <c r="A208" s="1" t="s">
        <v>448</v>
      </c>
      <c r="B208" s="2" t="s">
        <v>341</v>
      </c>
      <c r="C208" s="2" t="s">
        <v>300</v>
      </c>
      <c r="D208" s="2" t="s">
        <v>431</v>
      </c>
      <c r="E208" s="6">
        <v>2700</v>
      </c>
      <c r="F208" s="18"/>
      <c r="G208" s="18"/>
      <c r="H208" s="18">
        <f>77290.93+43656.67+6725.86+109885+2436.1+170824.29</f>
        <v>410818.85</v>
      </c>
      <c r="I208" s="18">
        <f>7363.09+8010.65</f>
        <v>15373.74</v>
      </c>
      <c r="J208" s="18"/>
      <c r="K208" s="18"/>
      <c r="L208" s="19">
        <f t="shared" si="0"/>
        <v>426192.58999999997</v>
      </c>
      <c r="M208" s="8"/>
      <c r="N208" s="266"/>
    </row>
    <row r="209" spans="1:14" s="3" customFormat="1" ht="12.2" customHeight="1" x14ac:dyDescent="0.15">
      <c r="A209" s="1" t="s">
        <v>449</v>
      </c>
      <c r="B209" s="2" t="s">
        <v>341</v>
      </c>
      <c r="C209" s="2" t="s">
        <v>343</v>
      </c>
      <c r="D209" s="2" t="s">
        <v>431</v>
      </c>
      <c r="E209" s="6">
        <v>2800</v>
      </c>
      <c r="F209" s="18">
        <f>32962.01+35860.88</f>
        <v>68822.89</v>
      </c>
      <c r="G209" s="18">
        <f>12845.19+13974.87</f>
        <v>26820.06</v>
      </c>
      <c r="H209" s="18"/>
      <c r="I209" s="18"/>
      <c r="J209" s="18"/>
      <c r="K209" s="18"/>
      <c r="L209" s="19">
        <f>SUM(F209:K209)</f>
        <v>95642.95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4241079.6499999994</v>
      </c>
      <c r="G211" s="41">
        <f t="shared" si="1"/>
        <v>2024741.1999999997</v>
      </c>
      <c r="H211" s="41">
        <f t="shared" si="1"/>
        <v>1777085.5100000002</v>
      </c>
      <c r="I211" s="41">
        <f t="shared" si="1"/>
        <v>258232.89999999997</v>
      </c>
      <c r="J211" s="41">
        <f t="shared" si="1"/>
        <v>78001.48</v>
      </c>
      <c r="K211" s="41">
        <f t="shared" si="1"/>
        <v>10599.08</v>
      </c>
      <c r="L211" s="41">
        <f t="shared" si="1"/>
        <v>8389739.8200000003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961083.77+6973.08</f>
        <v>968056.85</v>
      </c>
      <c r="G233" s="18">
        <f>1734.76+429991.57</f>
        <v>431726.33</v>
      </c>
      <c r="H233" s="18">
        <v>60007.86</v>
      </c>
      <c r="I233" s="18">
        <f>31806.53</f>
        <v>31806.53</v>
      </c>
      <c r="J233" s="18">
        <v>10424.17</v>
      </c>
      <c r="K233" s="18">
        <f>3861.6</f>
        <v>3861.6</v>
      </c>
      <c r="L233" s="19">
        <f>SUM(F233:K233)</f>
        <v>1505883.34</v>
      </c>
      <c r="M233" s="8"/>
      <c r="N233" s="266"/>
    </row>
    <row r="234" spans="1:14" s="3" customFormat="1" ht="12.2" customHeight="1" x14ac:dyDescent="0.15">
      <c r="A234" s="1" t="s">
        <v>439</v>
      </c>
      <c r="B234" s="2" t="s">
        <v>350</v>
      </c>
      <c r="C234" s="2" t="s">
        <v>291</v>
      </c>
      <c r="D234" s="2" t="s">
        <v>431</v>
      </c>
      <c r="E234" s="6">
        <v>1200</v>
      </c>
      <c r="F234" s="18">
        <f>49232.65+866.7+329860.24+6641.25</f>
        <v>386600.83999999997</v>
      </c>
      <c r="G234" s="18">
        <f>159418.69+920.89+24271.12+77.96</f>
        <v>184688.66</v>
      </c>
      <c r="H234" s="18">
        <f>251761.48+58613.13+8813.94+522.84</f>
        <v>319711.39</v>
      </c>
      <c r="I234" s="18">
        <f>223.87+149.1+467.98</f>
        <v>840.95</v>
      </c>
      <c r="J234" s="18">
        <v>2607</v>
      </c>
      <c r="K234" s="18">
        <f>189.39</f>
        <v>189.39</v>
      </c>
      <c r="L234" s="19">
        <f>SUM(F234:K234)</f>
        <v>894638.23</v>
      </c>
      <c r="M234" s="8"/>
      <c r="N234" s="266"/>
    </row>
    <row r="235" spans="1:14" s="3" customFormat="1" ht="12.2" customHeight="1" x14ac:dyDescent="0.15">
      <c r="A235" s="1" t="s">
        <v>440</v>
      </c>
      <c r="B235" s="2" t="s">
        <v>350</v>
      </c>
      <c r="C235" s="2" t="s">
        <v>292</v>
      </c>
      <c r="D235" s="2" t="s">
        <v>431</v>
      </c>
      <c r="E235" s="6">
        <v>1300</v>
      </c>
      <c r="F235" s="18"/>
      <c r="G235" s="18"/>
      <c r="H235" s="18">
        <v>53417.08</v>
      </c>
      <c r="I235" s="18"/>
      <c r="J235" s="18"/>
      <c r="K235" s="18"/>
      <c r="L235" s="19">
        <f>SUM(F235:K235)</f>
        <v>53417.08</v>
      </c>
      <c r="M235" s="8"/>
      <c r="N235" s="266"/>
    </row>
    <row r="236" spans="1:14" s="3" customFormat="1" ht="12.2" customHeight="1" x14ac:dyDescent="0.15">
      <c r="A236" s="1" t="s">
        <v>441</v>
      </c>
      <c r="B236" s="2" t="s">
        <v>350</v>
      </c>
      <c r="C236" s="2" t="s">
        <v>293</v>
      </c>
      <c r="D236" s="2" t="s">
        <v>431</v>
      </c>
      <c r="E236" s="6">
        <v>1400</v>
      </c>
      <c r="F236" s="18">
        <f>9430.74+76836.62</f>
        <v>86267.36</v>
      </c>
      <c r="G236" s="18">
        <f>2400.08+26904.43</f>
        <v>29304.510000000002</v>
      </c>
      <c r="H236" s="18">
        <v>28223.98</v>
      </c>
      <c r="I236" s="18">
        <v>11611.58</v>
      </c>
      <c r="J236" s="18">
        <v>6528.85</v>
      </c>
      <c r="K236" s="18">
        <v>9014.23</v>
      </c>
      <c r="L236" s="19">
        <f>SUM(F236:K236)</f>
        <v>170950.51</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53762.16+110887.38+48414.87+15818.67+10472.05+321</f>
        <v>239676.13</v>
      </c>
      <c r="G238" s="18">
        <f>21303.34+70760.39+21922.31+7086.98+6486.3+466.25</f>
        <v>128025.56999999999</v>
      </c>
      <c r="H238" s="18">
        <f>110.38+35083.4+2409.54+79+21792+21278.1+5029.7</f>
        <v>85782.12</v>
      </c>
      <c r="I238" s="18">
        <f>313.57+150.39+213.62+922.67</f>
        <v>1600.25</v>
      </c>
      <c r="J238" s="18"/>
      <c r="K238" s="18">
        <f>319+154</f>
        <v>473</v>
      </c>
      <c r="L238" s="19">
        <f t="shared" ref="L238:L244" si="4">SUM(F238:K238)</f>
        <v>455557.07</v>
      </c>
      <c r="M238" s="8"/>
      <c r="N238" s="266"/>
    </row>
    <row r="239" spans="1:14" s="3" customFormat="1" ht="12.2" customHeight="1" x14ac:dyDescent="0.15">
      <c r="A239" s="1" t="s">
        <v>443</v>
      </c>
      <c r="B239" s="2" t="s">
        <v>350</v>
      </c>
      <c r="C239" s="2" t="s">
        <v>295</v>
      </c>
      <c r="D239" s="2" t="s">
        <v>431</v>
      </c>
      <c r="E239" s="6">
        <v>2200</v>
      </c>
      <c r="F239" s="18">
        <f>1677.87+59943</f>
        <v>61620.87</v>
      </c>
      <c r="G239" s="18">
        <f>126.88+32046.48+3966.57</f>
        <v>36139.93</v>
      </c>
      <c r="H239" s="18">
        <f>967.5+21783.05</f>
        <v>22750.55</v>
      </c>
      <c r="I239" s="18">
        <f>4755.42+1715.39</f>
        <v>6470.81</v>
      </c>
      <c r="J239" s="18">
        <f>41.41+55879.42</f>
        <v>55920.83</v>
      </c>
      <c r="K239" s="18"/>
      <c r="L239" s="19">
        <f t="shared" si="4"/>
        <v>182902.99</v>
      </c>
      <c r="M239" s="8"/>
      <c r="N239" s="266"/>
    </row>
    <row r="240" spans="1:14" s="3" customFormat="1" ht="12.2" customHeight="1" x14ac:dyDescent="0.15">
      <c r="A240" s="1" t="s">
        <v>444</v>
      </c>
      <c r="B240" s="2" t="s">
        <v>350</v>
      </c>
      <c r="C240" s="2" t="s">
        <v>296</v>
      </c>
      <c r="D240" s="2" t="s">
        <v>431</v>
      </c>
      <c r="E240" s="6">
        <v>2300</v>
      </c>
      <c r="F240" s="18">
        <f>1200.91+385.2+64275.5</f>
        <v>65861.61</v>
      </c>
      <c r="G240" s="18">
        <f>104.03+30.45+19832.23</f>
        <v>19966.71</v>
      </c>
      <c r="H240" s="18">
        <f>392.05+8658.98+3566.12+6976.02</f>
        <v>19593.169999999998</v>
      </c>
      <c r="I240" s="18">
        <f>8.03+239.19+1874.94</f>
        <v>2122.16</v>
      </c>
      <c r="J240" s="18"/>
      <c r="K240" s="18">
        <f>1581.25+1200.79</f>
        <v>2782.04</v>
      </c>
      <c r="L240" s="19">
        <f t="shared" si="4"/>
        <v>110325.69</v>
      </c>
      <c r="M240" s="8"/>
      <c r="N240" s="266"/>
    </row>
    <row r="241" spans="1:14" s="3" customFormat="1" ht="12.2" customHeight="1" x14ac:dyDescent="0.15">
      <c r="A241" s="1" t="s">
        <v>445</v>
      </c>
      <c r="B241" s="2" t="s">
        <v>350</v>
      </c>
      <c r="C241" s="2" t="s">
        <v>297</v>
      </c>
      <c r="D241" s="2" t="s">
        <v>431</v>
      </c>
      <c r="E241" s="6">
        <v>2400</v>
      </c>
      <c r="F241" s="18">
        <v>201120</v>
      </c>
      <c r="G241" s="18">
        <v>99353.17</v>
      </c>
      <c r="H241" s="18">
        <v>11672.95</v>
      </c>
      <c r="I241" s="18">
        <f>338.25+15.95</f>
        <v>354.2</v>
      </c>
      <c r="J241" s="18"/>
      <c r="K241" s="18">
        <f>1620+4038.5</f>
        <v>5658.5</v>
      </c>
      <c r="L241" s="19">
        <f t="shared" si="4"/>
        <v>318158.82</v>
      </c>
      <c r="M241" s="8"/>
      <c r="N241" s="266"/>
    </row>
    <row r="242" spans="1:14" s="3" customFormat="1" ht="12.2" customHeight="1" x14ac:dyDescent="0.15">
      <c r="A242" s="1" t="s">
        <v>446</v>
      </c>
      <c r="B242" s="2" t="s">
        <v>350</v>
      </c>
      <c r="C242" s="2" t="s">
        <v>298</v>
      </c>
      <c r="D242" s="2" t="s">
        <v>431</v>
      </c>
      <c r="E242" s="6">
        <v>2500</v>
      </c>
      <c r="F242" s="18">
        <v>57793.46</v>
      </c>
      <c r="G242" s="18">
        <v>22675.18</v>
      </c>
      <c r="H242" s="18"/>
      <c r="I242" s="18"/>
      <c r="J242" s="18"/>
      <c r="K242" s="18"/>
      <c r="L242" s="19">
        <f t="shared" si="4"/>
        <v>80468.639999999999</v>
      </c>
      <c r="M242" s="8"/>
      <c r="N242" s="266"/>
    </row>
    <row r="243" spans="1:14" s="3" customFormat="1" ht="12.2" customHeight="1" x14ac:dyDescent="0.15">
      <c r="A243" s="1" t="s">
        <v>447</v>
      </c>
      <c r="B243" s="2" t="s">
        <v>350</v>
      </c>
      <c r="C243" s="2" t="s">
        <v>299</v>
      </c>
      <c r="D243" s="2" t="s">
        <v>431</v>
      </c>
      <c r="E243" s="6">
        <v>2600</v>
      </c>
      <c r="F243" s="18">
        <f>15634.92+2015.74+153521.68+5197.62</f>
        <v>176369.96</v>
      </c>
      <c r="G243" s="18">
        <f>70689.48+11141.59+361.13+566.08</f>
        <v>82758.28</v>
      </c>
      <c r="H243" s="18">
        <f>16341.79+2761.24+21913.94+2121.45+19630.79</f>
        <v>62769.21</v>
      </c>
      <c r="I243" s="18">
        <f>924.69+119851.81+1190.37+1.56</f>
        <v>121968.43</v>
      </c>
      <c r="J243" s="18">
        <v>2399.9899999999998</v>
      </c>
      <c r="K243" s="18"/>
      <c r="L243" s="19">
        <f t="shared" si="4"/>
        <v>446265.87</v>
      </c>
      <c r="M243" s="8"/>
      <c r="N243" s="266"/>
    </row>
    <row r="244" spans="1:14" s="3" customFormat="1" ht="12.2" customHeight="1" x14ac:dyDescent="0.15">
      <c r="A244" s="1" t="s">
        <v>448</v>
      </c>
      <c r="B244" s="2" t="s">
        <v>350</v>
      </c>
      <c r="C244" s="2" t="s">
        <v>300</v>
      </c>
      <c r="D244" s="2" t="s">
        <v>431</v>
      </c>
      <c r="E244" s="6">
        <v>2700</v>
      </c>
      <c r="F244" s="18"/>
      <c r="G244" s="18"/>
      <c r="H244" s="18">
        <f>76292.71+43092.84+6638.99+10077.5+45104.4+26076.47+3763.43</f>
        <v>211046.34</v>
      </c>
      <c r="I244" s="18">
        <f>7268</f>
        <v>7268</v>
      </c>
      <c r="J244" s="18"/>
      <c r="K244" s="18"/>
      <c r="L244" s="19">
        <f t="shared" si="4"/>
        <v>218314.34</v>
      </c>
      <c r="M244" s="8"/>
      <c r="N244" s="266"/>
    </row>
    <row r="245" spans="1:14" s="3" customFormat="1" ht="12.2" customHeight="1" x14ac:dyDescent="0.15">
      <c r="A245" s="1" t="s">
        <v>449</v>
      </c>
      <c r="B245" s="2" t="s">
        <v>350</v>
      </c>
      <c r="C245" s="2" t="s">
        <v>343</v>
      </c>
      <c r="D245" s="2" t="s">
        <v>431</v>
      </c>
      <c r="E245" s="6">
        <v>2800</v>
      </c>
      <c r="F245" s="18">
        <v>32536.3</v>
      </c>
      <c r="G245" s="18">
        <v>12679.29</v>
      </c>
      <c r="H245" s="18"/>
      <c r="I245" s="18"/>
      <c r="J245" s="18"/>
      <c r="K245" s="18"/>
      <c r="L245" s="19">
        <f>SUM(F245:K245)</f>
        <v>45215.59</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2275903.3800000004</v>
      </c>
      <c r="G247" s="41">
        <f t="shared" si="5"/>
        <v>1047317.6300000001</v>
      </c>
      <c r="H247" s="41">
        <f t="shared" si="5"/>
        <v>874974.64999999991</v>
      </c>
      <c r="I247" s="41">
        <f t="shared" si="5"/>
        <v>184042.90999999997</v>
      </c>
      <c r="J247" s="41">
        <f t="shared" si="5"/>
        <v>77880.840000000011</v>
      </c>
      <c r="K247" s="41">
        <f t="shared" si="5"/>
        <v>21978.76</v>
      </c>
      <c r="L247" s="41">
        <f t="shared" si="5"/>
        <v>4482098.169999999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19711.5</v>
      </c>
      <c r="G251" s="18">
        <v>1710.62</v>
      </c>
      <c r="H251" s="18"/>
      <c r="I251" s="18">
        <v>-124</v>
      </c>
      <c r="J251" s="18"/>
      <c r="K251" s="18"/>
      <c r="L251" s="19">
        <f t="shared" si="6"/>
        <v>21298.12</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19711.5</v>
      </c>
      <c r="G256" s="41">
        <f t="shared" si="7"/>
        <v>1710.62</v>
      </c>
      <c r="H256" s="41">
        <f t="shared" si="7"/>
        <v>0</v>
      </c>
      <c r="I256" s="41">
        <f t="shared" si="7"/>
        <v>-124</v>
      </c>
      <c r="J256" s="41">
        <f t="shared" si="7"/>
        <v>0</v>
      </c>
      <c r="K256" s="41">
        <f t="shared" si="7"/>
        <v>0</v>
      </c>
      <c r="L256" s="41">
        <f>SUM(F256:K256)</f>
        <v>21298.12</v>
      </c>
      <c r="M256" s="8"/>
      <c r="N256" s="266"/>
    </row>
    <row r="257" spans="1:14" s="3" customFormat="1" ht="12.2" customHeight="1" thickTop="1" x14ac:dyDescent="0.15">
      <c r="A257" s="38" t="s">
        <v>462</v>
      </c>
      <c r="B257" s="40">
        <v>10</v>
      </c>
      <c r="C257" s="40">
        <v>8</v>
      </c>
      <c r="D257" s="39" t="s">
        <v>431</v>
      </c>
      <c r="E257" s="40"/>
      <c r="F257" s="41">
        <f t="shared" ref="F257:L257" si="8">F211+F229+F247+F256</f>
        <v>6536694.5299999993</v>
      </c>
      <c r="G257" s="41">
        <f t="shared" si="8"/>
        <v>3073769.45</v>
      </c>
      <c r="H257" s="41">
        <f t="shared" si="8"/>
        <v>2652060.16</v>
      </c>
      <c r="I257" s="41">
        <f t="shared" si="8"/>
        <v>442151.80999999994</v>
      </c>
      <c r="J257" s="41">
        <f t="shared" si="8"/>
        <v>155882.32</v>
      </c>
      <c r="K257" s="41">
        <f t="shared" si="8"/>
        <v>32577.839999999997</v>
      </c>
      <c r="L257" s="41">
        <f t="shared" si="8"/>
        <v>12893136.109999998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392105.26</v>
      </c>
      <c r="L260" s="19">
        <f>SUM(F260:K260)</f>
        <v>392105.26</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66572.289999999994</v>
      </c>
      <c r="L261" s="19">
        <f>SUM(F261:K261)</f>
        <v>66572.289999999994</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28353.81</v>
      </c>
      <c r="L263" s="19">
        <f>SUM(F263:K263)</f>
        <v>28353.81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33585.230000000003</v>
      </c>
      <c r="L264" s="19">
        <f t="shared" ref="L264:L270" si="9">SUM(F264:K264)</f>
        <v>33585.230000000003</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520616.58999999997</v>
      </c>
      <c r="L270" s="41">
        <f t="shared" si="9"/>
        <v>520616.58999999997</v>
      </c>
      <c r="N270" s="264"/>
    </row>
    <row r="271" spans="1:14" s="3" customFormat="1" ht="12.2" customHeight="1" thickTop="1" x14ac:dyDescent="0.2">
      <c r="A271" s="43" t="s">
        <v>464</v>
      </c>
      <c r="B271" s="40">
        <v>10</v>
      </c>
      <c r="C271" s="40">
        <v>18</v>
      </c>
      <c r="D271" s="39" t="s">
        <v>431</v>
      </c>
      <c r="E271" s="40"/>
      <c r="F271" s="42">
        <f t="shared" ref="F271:L271" si="11">F257+F270</f>
        <v>6536694.5299999993</v>
      </c>
      <c r="G271" s="42">
        <f t="shared" si="11"/>
        <v>3073769.45</v>
      </c>
      <c r="H271" s="42">
        <f t="shared" si="11"/>
        <v>2652060.16</v>
      </c>
      <c r="I271" s="42">
        <f t="shared" si="11"/>
        <v>442151.80999999994</v>
      </c>
      <c r="J271" s="42">
        <f t="shared" si="11"/>
        <v>155882.32</v>
      </c>
      <c r="K271" s="42">
        <f t="shared" si="11"/>
        <v>553194.42999999993</v>
      </c>
      <c r="L271" s="42">
        <f t="shared" si="11"/>
        <v>13413752.699999997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5762.14+71015.4+154324+189273.42</f>
        <v>420374.95999999996</v>
      </c>
      <c r="G276" s="18">
        <f>1352.03+102387.96+116907.25</f>
        <v>220647.24</v>
      </c>
      <c r="H276" s="18">
        <f>652.33+709.71</f>
        <v>1362.04</v>
      </c>
      <c r="I276" s="18">
        <f>671.46+999.58+57463.58+1941.32+425.51+2280.48</f>
        <v>63781.930000000008</v>
      </c>
      <c r="J276" s="18">
        <f>712.19+774.82</f>
        <v>1487.0100000000002</v>
      </c>
      <c r="K276" s="18"/>
      <c r="L276" s="19">
        <f>SUM(F276:K276)</f>
        <v>707653.18</v>
      </c>
      <c r="M276" s="8"/>
      <c r="N276" s="266"/>
    </row>
    <row r="277" spans="1:14" s="3" customFormat="1" ht="12.2" customHeight="1" x14ac:dyDescent="0.15">
      <c r="A277" s="1" t="s">
        <v>439</v>
      </c>
      <c r="B277" s="2" t="s">
        <v>357</v>
      </c>
      <c r="C277" s="2" t="s">
        <v>291</v>
      </c>
      <c r="D277" s="2" t="s">
        <v>431</v>
      </c>
      <c r="E277" s="6">
        <v>1200</v>
      </c>
      <c r="F277" s="18">
        <f>4800.77+8934.54+52020.59+71538.85</f>
        <v>137294.75</v>
      </c>
      <c r="G277" s="18">
        <f>833.06+36820.71+40965.26</f>
        <v>78619.03</v>
      </c>
      <c r="H277" s="18">
        <f>6917.89+1648.03+9319.25</f>
        <v>17885.169999999998</v>
      </c>
      <c r="I277" s="18">
        <f>686.15+938.86+1767.92</f>
        <v>3392.9300000000003</v>
      </c>
      <c r="J277" s="18">
        <f>11636.63+279.02+12963.59</f>
        <v>24879.239999999998</v>
      </c>
      <c r="K277" s="18"/>
      <c r="L277" s="19">
        <f>SUM(F277:K277)</f>
        <v>262071.12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260.16+23385+9730.54</f>
        <v>33375.699999999997</v>
      </c>
      <c r="G279" s="18">
        <f>5629.92+130.11+2057.79</f>
        <v>7817.82</v>
      </c>
      <c r="H279" s="18"/>
      <c r="I279" s="18">
        <f>567.1</f>
        <v>567.1</v>
      </c>
      <c r="J279" s="18"/>
      <c r="K279" s="18"/>
      <c r="L279" s="19">
        <f>SUM(F279:K279)</f>
        <v>41760.619999999995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f>4640.22+5048.31</f>
        <v>9688.5300000000007</v>
      </c>
      <c r="H281" s="18">
        <f>62730.74+402.95+68686.01</f>
        <v>131819.69999999998</v>
      </c>
      <c r="I281" s="18">
        <f>8557.67+47.45+9361.91</f>
        <v>17967.03</v>
      </c>
      <c r="J281" s="18">
        <f>2127.04+2314.11</f>
        <v>4441.1499999999996</v>
      </c>
      <c r="K281" s="18"/>
      <c r="L281" s="19">
        <f t="shared" ref="L281:L287" si="12">SUM(F281:K281)</f>
        <v>163916.40999999997</v>
      </c>
      <c r="M281" s="8"/>
      <c r="N281" s="266"/>
    </row>
    <row r="282" spans="1:14" s="3" customFormat="1" ht="12.2" customHeight="1" x14ac:dyDescent="0.15">
      <c r="A282" s="1" t="s">
        <v>443</v>
      </c>
      <c r="B282" s="2" t="s">
        <v>357</v>
      </c>
      <c r="C282" s="2" t="s">
        <v>295</v>
      </c>
      <c r="D282" s="2" t="s">
        <v>431</v>
      </c>
      <c r="E282" s="6">
        <v>2200</v>
      </c>
      <c r="F282" s="18">
        <f>3823.91+414.63+20124.15+1073.16+439.02+28149.92</f>
        <v>54024.79</v>
      </c>
      <c r="G282" s="18">
        <f>480.73+10562.87+265.29+108.93+12421.97</f>
        <v>23839.79</v>
      </c>
      <c r="H282" s="18">
        <f>1163.03+78.05+7969.68+2673.79+1891.6+1876.81+17029.57</f>
        <v>32682.53</v>
      </c>
      <c r="I282" s="18">
        <f>35.8+67.68+391.99+122.95+672.81</f>
        <v>1291.23</v>
      </c>
      <c r="J282" s="18"/>
      <c r="K282" s="18"/>
      <c r="L282" s="19">
        <f t="shared" si="12"/>
        <v>111838.34</v>
      </c>
      <c r="M282" s="8"/>
      <c r="N282" s="266"/>
    </row>
    <row r="283" spans="1:14" s="3" customFormat="1" ht="12.2" customHeight="1" x14ac:dyDescent="0.15">
      <c r="A283" s="1" t="s">
        <v>444</v>
      </c>
      <c r="B283" s="2" t="s">
        <v>357</v>
      </c>
      <c r="C283" s="2" t="s">
        <v>296</v>
      </c>
      <c r="D283" s="2" t="s">
        <v>431</v>
      </c>
      <c r="E283" s="6">
        <v>2300</v>
      </c>
      <c r="F283" s="18">
        <f>104093.82+113248.44</f>
        <v>217342.26</v>
      </c>
      <c r="G283" s="18">
        <f>41442.4+45087.09</f>
        <v>86529.489999999991</v>
      </c>
      <c r="H283" s="18">
        <f>70500.42+76700.64</f>
        <v>147201.06</v>
      </c>
      <c r="I283" s="18">
        <f>7745.27+8426.43</f>
        <v>16171.7</v>
      </c>
      <c r="J283" s="18"/>
      <c r="K283" s="18">
        <f>30.98+33.7</f>
        <v>64.680000000000007</v>
      </c>
      <c r="L283" s="19">
        <f t="shared" si="12"/>
        <v>467309.19</v>
      </c>
      <c r="M283" s="8"/>
      <c r="N283" s="266"/>
    </row>
    <row r="284" spans="1:14" s="3" customFormat="1" ht="12.2" customHeight="1" x14ac:dyDescent="0.15">
      <c r="A284" s="1" t="s">
        <v>445</v>
      </c>
      <c r="B284" s="2" t="s">
        <v>357</v>
      </c>
      <c r="C284" s="2" t="s">
        <v>297</v>
      </c>
      <c r="D284" s="2" t="s">
        <v>431</v>
      </c>
      <c r="E284" s="6">
        <v>2400</v>
      </c>
      <c r="F284" s="18"/>
      <c r="G284" s="18"/>
      <c r="H284" s="18">
        <f>646.7+703.58</f>
        <v>1350.2800000000002</v>
      </c>
      <c r="I284" s="18"/>
      <c r="J284" s="18"/>
      <c r="K284" s="18"/>
      <c r="L284" s="19">
        <f t="shared" si="12"/>
        <v>1350.2800000000002</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f>330+387.5</f>
        <v>717.5</v>
      </c>
      <c r="J286" s="18">
        <f>21490.17+34295.57+54177.54</f>
        <v>109963.28</v>
      </c>
      <c r="K286" s="18"/>
      <c r="L286" s="19">
        <f t="shared" si="12"/>
        <v>110680.78</v>
      </c>
      <c r="M286" s="8"/>
      <c r="N286" s="266"/>
    </row>
    <row r="287" spans="1:14" s="3" customFormat="1" ht="12.2" customHeight="1" x14ac:dyDescent="0.15">
      <c r="A287" s="1" t="s">
        <v>448</v>
      </c>
      <c r="B287" s="2" t="s">
        <v>357</v>
      </c>
      <c r="C287" s="2" t="s">
        <v>300</v>
      </c>
      <c r="D287" s="2" t="s">
        <v>431</v>
      </c>
      <c r="E287" s="6">
        <v>2700</v>
      </c>
      <c r="F287" s="18"/>
      <c r="G287" s="18"/>
      <c r="H287" s="18">
        <f>1619.11+3560.65+5035.5</f>
        <v>10215.26</v>
      </c>
      <c r="I287" s="18"/>
      <c r="J287" s="18"/>
      <c r="K287" s="18"/>
      <c r="L287" s="19">
        <f t="shared" si="12"/>
        <v>10215.26</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862412.46</v>
      </c>
      <c r="G290" s="42">
        <f t="shared" si="13"/>
        <v>427141.9</v>
      </c>
      <c r="H290" s="42">
        <f t="shared" si="13"/>
        <v>342516.04000000004</v>
      </c>
      <c r="I290" s="42">
        <f t="shared" si="13"/>
        <v>103889.42000000001</v>
      </c>
      <c r="J290" s="42">
        <f t="shared" si="13"/>
        <v>140770.68</v>
      </c>
      <c r="K290" s="42">
        <f t="shared" si="13"/>
        <v>64.680000000000007</v>
      </c>
      <c r="L290" s="41">
        <f t="shared" si="13"/>
        <v>1876795.1800000002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2150+5687.72+1350</f>
        <v>9187.7200000000012</v>
      </c>
      <c r="G314" s="18">
        <f>1334.57</f>
        <v>1334.57</v>
      </c>
      <c r="H314" s="18">
        <f>122.96+643.91</f>
        <v>766.87</v>
      </c>
      <c r="I314" s="18">
        <f>420.02+2824.89</f>
        <v>3244.91</v>
      </c>
      <c r="J314" s="18">
        <f>702.99+1329.96</f>
        <v>2032.95</v>
      </c>
      <c r="K314" s="18"/>
      <c r="L314" s="19">
        <f>SUM(F314:K314)</f>
        <v>16567.02</v>
      </c>
      <c r="M314" s="8"/>
      <c r="N314" s="266"/>
    </row>
    <row r="315" spans="1:14" s="3" customFormat="1" ht="12.2" customHeight="1" x14ac:dyDescent="0.15">
      <c r="A315" s="1" t="s">
        <v>439</v>
      </c>
      <c r="B315" s="2" t="s">
        <v>359</v>
      </c>
      <c r="C315" s="2" t="s">
        <v>291</v>
      </c>
      <c r="D315" s="2" t="s">
        <v>431</v>
      </c>
      <c r="E315" s="6">
        <v>1200</v>
      </c>
      <c r="F315" s="18">
        <f>4738.76+8819.15+51348.74</f>
        <v>64906.649999999994</v>
      </c>
      <c r="G315" s="18">
        <f>822.3+36345.17</f>
        <v>37167.47</v>
      </c>
      <c r="H315" s="18">
        <f>6828.55+1626.74</f>
        <v>8455.2900000000009</v>
      </c>
      <c r="I315" s="18">
        <f>677.28+926.74</f>
        <v>1604.02</v>
      </c>
      <c r="J315" s="18">
        <f>11486.34+275.42</f>
        <v>11761.76</v>
      </c>
      <c r="K315" s="18"/>
      <c r="L315" s="19">
        <f>SUM(F315:K315)</f>
        <v>123895.19</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f>256.8</f>
        <v>256.8</v>
      </c>
      <c r="G317" s="18">
        <f>128.43</f>
        <v>128.43</v>
      </c>
      <c r="H317" s="18"/>
      <c r="I317" s="18"/>
      <c r="J317" s="18"/>
      <c r="K317" s="18"/>
      <c r="L317" s="19">
        <f>SUM(F317:K317)</f>
        <v>385.23</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38814.410000000003</v>
      </c>
      <c r="G319" s="18">
        <v>4580.29</v>
      </c>
      <c r="H319" s="18">
        <f>61920.56+397.72</f>
        <v>62318.28</v>
      </c>
      <c r="I319" s="18">
        <f>8447.15+46.84</f>
        <v>8493.99</v>
      </c>
      <c r="J319" s="18">
        <v>2099.5700000000002</v>
      </c>
      <c r="K319" s="18"/>
      <c r="L319" s="19">
        <f t="shared" ref="L319:L325" si="16">SUM(F319:K319)</f>
        <v>116306.54000000002</v>
      </c>
      <c r="M319" s="8"/>
      <c r="N319" s="266"/>
    </row>
    <row r="320" spans="1:14" s="3" customFormat="1" ht="12.2" customHeight="1" x14ac:dyDescent="0.15">
      <c r="A320" s="1" t="s">
        <v>443</v>
      </c>
      <c r="B320" s="2" t="s">
        <v>359</v>
      </c>
      <c r="C320" s="2" t="s">
        <v>295</v>
      </c>
      <c r="D320" s="2" t="s">
        <v>431</v>
      </c>
      <c r="E320" s="6">
        <v>2200</v>
      </c>
      <c r="F320" s="18">
        <f>3774.52+409.28+19864.24+1059.3+162.39+433.33+0.54</f>
        <v>25703.600000000002</v>
      </c>
      <c r="G320" s="18">
        <f>474.52+10426.45+261.87+12.5+107.53</f>
        <v>11282.870000000003</v>
      </c>
      <c r="H320" s="18">
        <f>1148.01+77.04+7866.75+2639.26+1867.17+1852.56</f>
        <v>15450.789999999999</v>
      </c>
      <c r="I320" s="18">
        <f>35.34+66.81+386.93+121.35</f>
        <v>610.43000000000006</v>
      </c>
      <c r="J320" s="18"/>
      <c r="K320" s="18"/>
      <c r="L320" s="19">
        <f t="shared" si="16"/>
        <v>53047.69</v>
      </c>
      <c r="M320" s="8"/>
      <c r="N320" s="266"/>
    </row>
    <row r="321" spans="1:14" s="3" customFormat="1" ht="12.2" customHeight="1" x14ac:dyDescent="0.15">
      <c r="A321" s="1" t="s">
        <v>444</v>
      </c>
      <c r="B321" s="2" t="s">
        <v>359</v>
      </c>
      <c r="C321" s="2" t="s">
        <v>296</v>
      </c>
      <c r="D321" s="2" t="s">
        <v>431</v>
      </c>
      <c r="E321" s="6">
        <v>2300</v>
      </c>
      <c r="F321" s="18">
        <v>102749.43</v>
      </c>
      <c r="G321" s="18">
        <v>40907.160000000003</v>
      </c>
      <c r="H321" s="18">
        <v>69589.89</v>
      </c>
      <c r="I321" s="18">
        <v>7645.23</v>
      </c>
      <c r="J321" s="18"/>
      <c r="K321" s="18">
        <v>30.57</v>
      </c>
      <c r="L321" s="19">
        <f t="shared" si="16"/>
        <v>220922.28</v>
      </c>
      <c r="M321" s="8"/>
      <c r="N321" s="266"/>
    </row>
    <row r="322" spans="1:14" s="3" customFormat="1" ht="12.2" customHeight="1" x14ac:dyDescent="0.15">
      <c r="A322" s="1" t="s">
        <v>445</v>
      </c>
      <c r="B322" s="2" t="s">
        <v>359</v>
      </c>
      <c r="C322" s="2" t="s">
        <v>297</v>
      </c>
      <c r="D322" s="2" t="s">
        <v>431</v>
      </c>
      <c r="E322" s="6">
        <v>2400</v>
      </c>
      <c r="F322" s="18">
        <v>6500</v>
      </c>
      <c r="G322" s="18">
        <v>529.86</v>
      </c>
      <c r="H322" s="18">
        <v>638.35</v>
      </c>
      <c r="I322" s="18"/>
      <c r="J322" s="18"/>
      <c r="K322" s="18"/>
      <c r="L322" s="19">
        <f t="shared" si="16"/>
        <v>7668.21</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v>970</v>
      </c>
      <c r="J324" s="18">
        <f>21212.62+36762.51</f>
        <v>57975.130000000005</v>
      </c>
      <c r="K324" s="18"/>
      <c r="L324" s="19">
        <f t="shared" si="16"/>
        <v>58945.130000000005</v>
      </c>
      <c r="M324" s="8"/>
      <c r="N324" s="266"/>
    </row>
    <row r="325" spans="1:14" s="3" customFormat="1" ht="12.2" customHeight="1" x14ac:dyDescent="0.15">
      <c r="A325" s="1" t="s">
        <v>448</v>
      </c>
      <c r="B325" s="2" t="s">
        <v>359</v>
      </c>
      <c r="C325" s="2" t="s">
        <v>300</v>
      </c>
      <c r="D325" s="2" t="s">
        <v>431</v>
      </c>
      <c r="E325" s="6">
        <v>2700</v>
      </c>
      <c r="F325" s="18"/>
      <c r="G325" s="18"/>
      <c r="H325" s="18">
        <v>1598.19</v>
      </c>
      <c r="I325" s="18"/>
      <c r="J325" s="18"/>
      <c r="K325" s="18"/>
      <c r="L325" s="19">
        <f t="shared" si="16"/>
        <v>1598.19</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248118.61</v>
      </c>
      <c r="G328" s="42">
        <f t="shared" si="17"/>
        <v>95930.650000000009</v>
      </c>
      <c r="H328" s="42">
        <f t="shared" si="17"/>
        <v>158817.66</v>
      </c>
      <c r="I328" s="42">
        <f t="shared" si="17"/>
        <v>22568.58</v>
      </c>
      <c r="J328" s="42">
        <f t="shared" si="17"/>
        <v>73869.41</v>
      </c>
      <c r="K328" s="42">
        <f t="shared" si="17"/>
        <v>30.57</v>
      </c>
      <c r="L328" s="41">
        <f t="shared" si="17"/>
        <v>599335.48</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f>4200+1337.5+5925+13693.75</f>
        <v>25156.25</v>
      </c>
      <c r="G333" s="18">
        <f>321.3+3880.88</f>
        <v>4202.18</v>
      </c>
      <c r="H333" s="18"/>
      <c r="I333" s="18">
        <f>458.88+15.99</f>
        <v>474.87</v>
      </c>
      <c r="J333" s="18"/>
      <c r="K333" s="18"/>
      <c r="L333" s="19">
        <f t="shared" si="18"/>
        <v>29833.3</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25156.25</v>
      </c>
      <c r="G337" s="41">
        <f t="shared" si="19"/>
        <v>4202.18</v>
      </c>
      <c r="H337" s="41">
        <f t="shared" si="19"/>
        <v>0</v>
      </c>
      <c r="I337" s="41">
        <f t="shared" si="19"/>
        <v>474.87</v>
      </c>
      <c r="J337" s="41">
        <f t="shared" si="19"/>
        <v>0</v>
      </c>
      <c r="K337" s="41">
        <f t="shared" si="19"/>
        <v>0</v>
      </c>
      <c r="L337" s="41">
        <f t="shared" si="18"/>
        <v>29833.3</v>
      </c>
      <c r="M337" s="8"/>
      <c r="N337" s="266"/>
    </row>
    <row r="338" spans="1:43" s="3" customFormat="1" ht="12.2" customHeight="1" thickTop="1" x14ac:dyDescent="0.15">
      <c r="A338" s="38" t="s">
        <v>468</v>
      </c>
      <c r="B338" s="40">
        <v>14</v>
      </c>
      <c r="C338" s="40">
        <v>7</v>
      </c>
      <c r="D338" s="39" t="s">
        <v>431</v>
      </c>
      <c r="E338" s="40"/>
      <c r="F338" s="41">
        <f t="shared" ref="F338:L338" si="20">F290+F309+F328+F337</f>
        <v>1135687.3199999998</v>
      </c>
      <c r="G338" s="41">
        <f t="shared" si="20"/>
        <v>527274.7300000001</v>
      </c>
      <c r="H338" s="41">
        <f t="shared" si="20"/>
        <v>501333.70000000007</v>
      </c>
      <c r="I338" s="41">
        <f t="shared" si="20"/>
        <v>126932.87000000001</v>
      </c>
      <c r="J338" s="41">
        <f t="shared" si="20"/>
        <v>214640.09</v>
      </c>
      <c r="K338" s="41">
        <f t="shared" si="20"/>
        <v>95.25</v>
      </c>
      <c r="L338" s="41">
        <f t="shared" si="20"/>
        <v>2505963.96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68399.44</v>
      </c>
      <c r="L344" s="19">
        <f t="shared" ref="L344:L350" si="21">SUM(F344:K344)</f>
        <v>68399.44</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68399.44</v>
      </c>
      <c r="L351" s="41">
        <f>SUM(L341:L350)</f>
        <v>68399.44</v>
      </c>
      <c r="M351" s="8"/>
      <c r="N351" s="266"/>
    </row>
    <row r="352" spans="1:43" s="12" customFormat="1" ht="12.2" customHeight="1" thickTop="1" thickBot="1" x14ac:dyDescent="0.25">
      <c r="A352" s="38" t="s">
        <v>469</v>
      </c>
      <c r="B352" s="40">
        <v>14</v>
      </c>
      <c r="C352" s="40">
        <v>17</v>
      </c>
      <c r="D352" s="39" t="s">
        <v>431</v>
      </c>
      <c r="E352" s="40"/>
      <c r="F352" s="41">
        <f>F338</f>
        <v>1135687.3199999998</v>
      </c>
      <c r="G352" s="41">
        <f>G338</f>
        <v>527274.7300000001</v>
      </c>
      <c r="H352" s="41">
        <f>H338</f>
        <v>501333.70000000007</v>
      </c>
      <c r="I352" s="41">
        <f>I338</f>
        <v>126932.87000000001</v>
      </c>
      <c r="J352" s="41">
        <f>J338</f>
        <v>214640.09</v>
      </c>
      <c r="K352" s="47">
        <f>K338+K351</f>
        <v>68494.69</v>
      </c>
      <c r="L352" s="41">
        <f>L338+L351</f>
        <v>2574363.4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20714.91+49180.49+79238.99</f>
        <v>149134.39000000001</v>
      </c>
      <c r="G358" s="18">
        <f>7460.81+583.33+301.66+18.89+97.73+1584.87+3806.99+2357.27+562.56+347.81+825.75+37357.41</f>
        <v>55305.08</v>
      </c>
      <c r="H358" s="18">
        <f>934.91+1017.13</f>
        <v>1952.04</v>
      </c>
      <c r="I358" s="18">
        <f>4729.73+61354.26+561.62+2909.25+13376.29+92381.42</f>
        <v>175312.57</v>
      </c>
      <c r="J358" s="18">
        <f>206.8+1944.69+2340.7</f>
        <v>4492.1900000000005</v>
      </c>
      <c r="K358" s="18">
        <f>200+217.59</f>
        <v>417.59000000000003</v>
      </c>
      <c r="L358" s="13">
        <f>SUM(F358:K358)</f>
        <v>386613.8600000001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f>20447.38+56571.29</f>
        <v>77018.67</v>
      </c>
      <c r="G360" s="18">
        <f>7364.45+9180.36+297.76+378.24+18.65+12.25+96.47+1564.4+4327.64+2326.83+3086.92+555.29+343.32+949.84</f>
        <v>30502.420000000002</v>
      </c>
      <c r="H360" s="18">
        <v>922.84</v>
      </c>
      <c r="I360" s="18">
        <f>4668.65+60561.86+554.37</f>
        <v>65784.88</v>
      </c>
      <c r="J360" s="18">
        <f>204.13+1919.57</f>
        <v>2123.6999999999998</v>
      </c>
      <c r="K360" s="18">
        <v>197.42</v>
      </c>
      <c r="L360" s="19">
        <f>SUM(F360:K360)</f>
        <v>176549.93000000002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226153.06</v>
      </c>
      <c r="G362" s="47">
        <f t="shared" si="22"/>
        <v>85807.5</v>
      </c>
      <c r="H362" s="47">
        <f t="shared" si="22"/>
        <v>2874.88</v>
      </c>
      <c r="I362" s="47">
        <f t="shared" si="22"/>
        <v>241097.45</v>
      </c>
      <c r="J362" s="47">
        <f t="shared" si="22"/>
        <v>6615.89</v>
      </c>
      <c r="K362" s="47">
        <f t="shared" si="22"/>
        <v>615.01</v>
      </c>
      <c r="L362" s="47">
        <f t="shared" si="22"/>
        <v>563163.79000000015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61354.26+2909.25+13376.29+86624.71</f>
        <v>164264.51</v>
      </c>
      <c r="G367" s="18"/>
      <c r="H367" s="18">
        <f>60561.86</f>
        <v>60561.86</v>
      </c>
      <c r="I367" s="56">
        <f>SUM(F367:H367)</f>
        <v>224826.37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4729.73+561.62+5756.71</f>
        <v>11048.06</v>
      </c>
      <c r="G368" s="63"/>
      <c r="H368" s="63">
        <f>4668.65+554.37</f>
        <v>5223.0199999999995</v>
      </c>
      <c r="I368" s="56">
        <f>SUM(F368:H368)</f>
        <v>16271.079999999998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175312.57</v>
      </c>
      <c r="G369" s="47">
        <f>SUM(G367:G368)</f>
        <v>0</v>
      </c>
      <c r="H369" s="47">
        <f>SUM(H367:H368)</f>
        <v>65784.88</v>
      </c>
      <c r="I369" s="47">
        <f>SUM(I367:I368)</f>
        <v>241097.44999999998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1150</v>
      </c>
      <c r="I379" s="18"/>
      <c r="J379" s="18">
        <f>1370988.9+469760</f>
        <v>1840748.9</v>
      </c>
      <c r="K379" s="18"/>
      <c r="L379" s="13">
        <f t="shared" si="23"/>
        <v>1841898.9</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1150</v>
      </c>
      <c r="I382" s="41">
        <f t="shared" si="24"/>
        <v>0</v>
      </c>
      <c r="J382" s="47">
        <f t="shared" si="24"/>
        <v>1840748.9</v>
      </c>
      <c r="K382" s="47">
        <f t="shared" si="24"/>
        <v>0</v>
      </c>
      <c r="L382" s="47">
        <f t="shared" si="24"/>
        <v>1841898.9</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769084.75999999978</v>
      </c>
      <c r="G465" s="18">
        <v>17363.900000000001</v>
      </c>
      <c r="H465" s="18">
        <v>142663.16999999993</v>
      </c>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13919278.380000001</v>
      </c>
      <c r="G468" s="18">
        <v>545799.89</v>
      </c>
      <c r="H468" s="18">
        <v>2578346.5399999996</v>
      </c>
      <c r="I468" s="18">
        <v>2000000</v>
      </c>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13919278.380000001</v>
      </c>
      <c r="G470" s="53">
        <f>SUM(G468:G469)</f>
        <v>545799.89</v>
      </c>
      <c r="H470" s="53">
        <f>SUM(H468:H469)</f>
        <v>2578346.5399999996</v>
      </c>
      <c r="I470" s="53">
        <f>SUM(I468:I469)</f>
        <v>2000000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13413752.699999997</v>
      </c>
      <c r="G472" s="18">
        <v>563163.79</v>
      </c>
      <c r="H472" s="18">
        <v>2574363.4</v>
      </c>
      <c r="I472" s="18">
        <v>1841898.9</v>
      </c>
      <c r="J472" s="18"/>
      <c r="K472" s="24" t="s">
        <v>288</v>
      </c>
      <c r="L472" s="24" t="s">
        <v>288</v>
      </c>
      <c r="N472" s="265"/>
    </row>
    <row r="473" spans="1:14" s="52" customFormat="1" ht="12.2" customHeight="1" x14ac:dyDescent="0.2">
      <c r="A473" s="93" t="s">
        <v>613</v>
      </c>
      <c r="B473" s="75">
        <v>19</v>
      </c>
      <c r="C473" s="80">
        <v>6</v>
      </c>
      <c r="D473" s="2" t="s">
        <v>432</v>
      </c>
      <c r="E473" s="80"/>
      <c r="F473" s="18"/>
      <c r="G473" s="18"/>
      <c r="H473" s="18">
        <v>7000</v>
      </c>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13413752.699999997</v>
      </c>
      <c r="G474" s="53">
        <f>SUM(G472:G473)</f>
        <v>563163.79</v>
      </c>
      <c r="H474" s="53">
        <f>SUM(H472:H473)</f>
        <v>2581363.4</v>
      </c>
      <c r="I474" s="53">
        <f>SUM(I472:I473)</f>
        <v>1841898.9</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1274610.4400000032</v>
      </c>
      <c r="G476" s="53">
        <f>(G465+G470)- G474</f>
        <v>0</v>
      </c>
      <c r="H476" s="53">
        <f>(H465+H470)- H474</f>
        <v>139646.30999999959</v>
      </c>
      <c r="I476" s="53">
        <f>(I465+I470)- I474</f>
        <v>158101.10000000009</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1617</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20</v>
      </c>
      <c r="H490" s="154">
        <v>20</v>
      </c>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1613</v>
      </c>
      <c r="H491" s="323" t="s">
        <v>1616</v>
      </c>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t="s">
        <v>1614</v>
      </c>
      <c r="H492" s="323" t="s">
        <v>1615</v>
      </c>
      <c r="I492" s="154"/>
      <c r="J492" s="154"/>
      <c r="K492" s="24" t="s">
        <v>288</v>
      </c>
      <c r="L492" s="24" t="s">
        <v>288</v>
      </c>
      <c r="N492" s="265"/>
    </row>
    <row r="493" spans="1:14" s="52" customFormat="1" ht="12.2" customHeight="1" x14ac:dyDescent="0.2">
      <c r="A493" s="22" t="s">
        <v>617</v>
      </c>
      <c r="B493" s="75">
        <v>20</v>
      </c>
      <c r="C493" s="115">
        <v>4</v>
      </c>
      <c r="D493" s="2" t="s">
        <v>432</v>
      </c>
      <c r="E493" s="115"/>
      <c r="F493" s="18">
        <v>5010376</v>
      </c>
      <c r="G493" s="18">
        <v>2700000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5.2</v>
      </c>
      <c r="G494" s="18">
        <v>4.26</v>
      </c>
      <c r="H494" s="18">
        <v>3.5489999999999999</v>
      </c>
      <c r="I494" s="18"/>
      <c r="J494" s="18"/>
      <c r="K494" s="24" t="s">
        <v>288</v>
      </c>
      <c r="L494" s="24" t="s">
        <v>288</v>
      </c>
      <c r="N494" s="265"/>
    </row>
    <row r="495" spans="1:14" s="52" customFormat="1" ht="12.2" customHeight="1" x14ac:dyDescent="0.2">
      <c r="A495" s="22" t="s">
        <v>619</v>
      </c>
      <c r="B495" s="75">
        <v>20</v>
      </c>
      <c r="C495" s="115">
        <v>6</v>
      </c>
      <c r="D495" s="2" t="s">
        <v>432</v>
      </c>
      <c r="E495" s="115"/>
      <c r="F495" s="18">
        <v>500000</v>
      </c>
      <c r="G495" s="18">
        <v>1296657.19</v>
      </c>
      <c r="H495" s="18"/>
      <c r="I495" s="18"/>
      <c r="J495" s="18"/>
      <c r="K495" s="53">
        <f>SUM(F495:J495)</f>
        <v>1796657.19</v>
      </c>
      <c r="L495" s="24" t="s">
        <v>288</v>
      </c>
      <c r="N495" s="265"/>
    </row>
    <row r="496" spans="1:14" s="52" customFormat="1" ht="12.2" customHeight="1" x14ac:dyDescent="0.2">
      <c r="A496" s="22" t="s">
        <v>620</v>
      </c>
      <c r="B496" s="75">
        <v>20</v>
      </c>
      <c r="C496" s="115">
        <v>7</v>
      </c>
      <c r="D496" s="2" t="s">
        <v>432</v>
      </c>
      <c r="E496" s="115"/>
      <c r="F496" s="18"/>
      <c r="G496" s="18"/>
      <c r="H496" s="18">
        <v>2000000</v>
      </c>
      <c r="I496" s="18"/>
      <c r="J496" s="18"/>
      <c r="K496" s="53">
        <f t="shared" ref="K496:K503" si="35">SUM(F496:J496)</f>
        <v>2000000</v>
      </c>
      <c r="L496" s="24" t="s">
        <v>288</v>
      </c>
      <c r="N496" s="265"/>
    </row>
    <row r="497" spans="1:14" s="52" customFormat="1" ht="12.2" customHeight="1" x14ac:dyDescent="0.2">
      <c r="A497" s="22" t="s">
        <v>621</v>
      </c>
      <c r="B497" s="75">
        <v>20</v>
      </c>
      <c r="C497" s="115">
        <v>8</v>
      </c>
      <c r="D497" s="2" t="s">
        <v>432</v>
      </c>
      <c r="E497" s="115"/>
      <c r="F497" s="18">
        <v>250000</v>
      </c>
      <c r="G497" s="18">
        <v>142105.26</v>
      </c>
      <c r="H497" s="18">
        <v>0</v>
      </c>
      <c r="I497" s="18"/>
      <c r="J497" s="18"/>
      <c r="K497" s="53">
        <f t="shared" si="35"/>
        <v>392105.26</v>
      </c>
      <c r="L497" s="24" t="s">
        <v>288</v>
      </c>
      <c r="N497" s="265"/>
    </row>
    <row r="498" spans="1:14" s="52" customFormat="1" ht="12.2" customHeight="1" x14ac:dyDescent="0.2">
      <c r="A498" s="200" t="s">
        <v>622</v>
      </c>
      <c r="B498" s="201">
        <v>20</v>
      </c>
      <c r="C498" s="202">
        <v>9</v>
      </c>
      <c r="D498" s="203" t="s">
        <v>432</v>
      </c>
      <c r="E498" s="202"/>
      <c r="F498" s="204">
        <v>250000</v>
      </c>
      <c r="G498" s="204">
        <f>G495-G497</f>
        <v>1154551.93</v>
      </c>
      <c r="H498" s="204">
        <v>2000000</v>
      </c>
      <c r="I498" s="204"/>
      <c r="J498" s="204"/>
      <c r="K498" s="205">
        <f t="shared" si="35"/>
        <v>3404551.9299999997</v>
      </c>
      <c r="L498" s="206" t="s">
        <v>288</v>
      </c>
      <c r="N498" s="265"/>
    </row>
    <row r="499" spans="1:14" s="52" customFormat="1" ht="12.2" customHeight="1" thickBot="1" x14ac:dyDescent="0.25">
      <c r="A499" s="22" t="s">
        <v>623</v>
      </c>
      <c r="B499" s="75">
        <v>20</v>
      </c>
      <c r="C499" s="115">
        <v>10</v>
      </c>
      <c r="D499" s="2" t="s">
        <v>432</v>
      </c>
      <c r="E499" s="115"/>
      <c r="F499" s="18">
        <v>6562</v>
      </c>
      <c r="G499" s="18">
        <v>160207</v>
      </c>
      <c r="H499" s="18">
        <v>745208</v>
      </c>
      <c r="I499" s="18"/>
      <c r="J499" s="18"/>
      <c r="K499" s="53">
        <f t="shared" si="35"/>
        <v>911977</v>
      </c>
      <c r="L499" s="24" t="s">
        <v>288</v>
      </c>
      <c r="N499" s="265"/>
    </row>
    <row r="500" spans="1:14" s="52" customFormat="1" ht="12.2" customHeight="1" thickTop="1" x14ac:dyDescent="0.2">
      <c r="A500" s="139" t="s">
        <v>624</v>
      </c>
      <c r="B500" s="44">
        <v>20</v>
      </c>
      <c r="C500" s="195">
        <v>11</v>
      </c>
      <c r="D500" s="39" t="s">
        <v>432</v>
      </c>
      <c r="E500" s="195"/>
      <c r="F500" s="42">
        <f>SUM(F498:F499)</f>
        <v>256562</v>
      </c>
      <c r="G500" s="42">
        <f>SUM(G498:G499)</f>
        <v>1314758.93</v>
      </c>
      <c r="H500" s="42">
        <f>SUM(H498:H499)</f>
        <v>2745208</v>
      </c>
      <c r="I500" s="42">
        <f>SUM(I498:I499)</f>
        <v>0</v>
      </c>
      <c r="J500" s="42">
        <f>SUM(J498:J499)</f>
        <v>0</v>
      </c>
      <c r="K500" s="42">
        <f t="shared" si="35"/>
        <v>4316528.93</v>
      </c>
      <c r="L500" s="45" t="s">
        <v>288</v>
      </c>
      <c r="N500" s="265"/>
    </row>
    <row r="501" spans="1:14" s="52" customFormat="1" ht="12.2" customHeight="1" x14ac:dyDescent="0.2">
      <c r="A501" s="200" t="s">
        <v>651</v>
      </c>
      <c r="B501" s="201">
        <v>20</v>
      </c>
      <c r="C501" s="202">
        <v>12</v>
      </c>
      <c r="D501" s="203" t="s">
        <v>432</v>
      </c>
      <c r="E501" s="202"/>
      <c r="F501" s="204">
        <v>250000</v>
      </c>
      <c r="G501" s="204">
        <v>142105.26</v>
      </c>
      <c r="H501" s="204">
        <v>100000</v>
      </c>
      <c r="I501" s="204"/>
      <c r="J501" s="204"/>
      <c r="K501" s="205">
        <f t="shared" si="35"/>
        <v>492105.26</v>
      </c>
      <c r="L501" s="206" t="s">
        <v>288</v>
      </c>
      <c r="N501" s="265"/>
    </row>
    <row r="502" spans="1:14" s="52" customFormat="1" ht="12.2" customHeight="1" thickBot="1" x14ac:dyDescent="0.25">
      <c r="A502" s="22" t="s">
        <v>625</v>
      </c>
      <c r="B502" s="75">
        <v>20</v>
      </c>
      <c r="C502" s="115">
        <v>13</v>
      </c>
      <c r="D502" s="2" t="s">
        <v>432</v>
      </c>
      <c r="E502" s="115"/>
      <c r="F502" s="18">
        <v>6562</v>
      </c>
      <c r="G502" s="18">
        <v>41150</v>
      </c>
      <c r="H502" s="18">
        <v>70972</v>
      </c>
      <c r="I502" s="18"/>
      <c r="J502" s="18"/>
      <c r="K502" s="53">
        <f t="shared" si="35"/>
        <v>118684</v>
      </c>
      <c r="L502" s="24" t="s">
        <v>288</v>
      </c>
      <c r="N502" s="265"/>
    </row>
    <row r="503" spans="1:14" s="52" customFormat="1" ht="12.2" customHeight="1" thickTop="1" x14ac:dyDescent="0.2">
      <c r="A503" s="139" t="s">
        <v>626</v>
      </c>
      <c r="B503" s="44">
        <v>20</v>
      </c>
      <c r="C503" s="195">
        <v>14</v>
      </c>
      <c r="D503" s="39" t="s">
        <v>432</v>
      </c>
      <c r="E503" s="195"/>
      <c r="F503" s="42">
        <f>SUM(F501:F502)</f>
        <v>256562</v>
      </c>
      <c r="G503" s="42">
        <f>SUM(G501:G502)</f>
        <v>183255.26</v>
      </c>
      <c r="H503" s="42">
        <f>SUM(H501:H502)</f>
        <v>170972</v>
      </c>
      <c r="I503" s="42">
        <f>SUM(I501:I502)</f>
        <v>0</v>
      </c>
      <c r="J503" s="42">
        <f>SUM(J501:J502)</f>
        <v>0</v>
      </c>
      <c r="K503" s="42">
        <f t="shared" si="35"/>
        <v>610789.26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892618.51954000001</v>
      </c>
      <c r="G521" s="18">
        <v>452519.84136999992</v>
      </c>
      <c r="H521" s="18">
        <v>639818.68775000016</v>
      </c>
      <c r="I521" s="18">
        <v>7259.4986100000006</v>
      </c>
      <c r="J521" s="18">
        <v>24879.239999999998</v>
      </c>
      <c r="K521" s="18">
        <v>0</v>
      </c>
      <c r="L521" s="88">
        <f>SUM(F521:K521)</f>
        <v>2017095.7872699997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402274.84045999998</v>
      </c>
      <c r="G523" s="18">
        <v>197585.00863000003</v>
      </c>
      <c r="H523" s="18">
        <v>319352.74225000001</v>
      </c>
      <c r="I523" s="18">
        <v>2221.1013899999998</v>
      </c>
      <c r="J523" s="18">
        <v>14368.76</v>
      </c>
      <c r="K523" s="18">
        <v>0</v>
      </c>
      <c r="L523" s="88">
        <f>SUM(F523:K523)</f>
        <v>935802.45273000002</v>
      </c>
      <c r="N523" s="265"/>
    </row>
    <row r="524" spans="1:14" s="52" customFormat="1" ht="12.2" customHeight="1" thickTop="1" x14ac:dyDescent="0.2">
      <c r="A524" s="139" t="s">
        <v>63</v>
      </c>
      <c r="B524" s="107">
        <v>21</v>
      </c>
      <c r="C524" s="195">
        <v>4</v>
      </c>
      <c r="D524" s="196" t="s">
        <v>432</v>
      </c>
      <c r="E524" s="195"/>
      <c r="F524" s="108">
        <f>SUM(F521:F523)</f>
        <v>1294893.3599999999</v>
      </c>
      <c r="G524" s="108">
        <f t="shared" ref="G524:L524" si="36">SUM(G521:G523)</f>
        <v>650104.85</v>
      </c>
      <c r="H524" s="108">
        <f t="shared" si="36"/>
        <v>959171.43000000017</v>
      </c>
      <c r="I524" s="108">
        <f t="shared" si="36"/>
        <v>9480.6</v>
      </c>
      <c r="J524" s="108">
        <f t="shared" si="36"/>
        <v>39248</v>
      </c>
      <c r="K524" s="108">
        <f t="shared" si="36"/>
        <v>0</v>
      </c>
      <c r="L524" s="89">
        <f t="shared" si="36"/>
        <v>2952898.2399999998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302794.98</v>
      </c>
      <c r="G526" s="18">
        <v>141536.45085199998</v>
      </c>
      <c r="H526" s="18">
        <v>520315.66484000004</v>
      </c>
      <c r="I526" s="18">
        <v>9318.8391499999998</v>
      </c>
      <c r="J526" s="18">
        <v>0</v>
      </c>
      <c r="K526" s="18">
        <v>182.60000000000002</v>
      </c>
      <c r="L526" s="88">
        <f>SUM(F526:K526)</f>
        <v>974148.53484199999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97794.260000000009</v>
      </c>
      <c r="G528" s="18">
        <v>61186.309148</v>
      </c>
      <c r="H528" s="18">
        <v>109216.31315999999</v>
      </c>
      <c r="I528" s="18">
        <v>4444.2468499999995</v>
      </c>
      <c r="J528" s="18">
        <v>839.82800000000009</v>
      </c>
      <c r="K528" s="18">
        <v>189.20000000000002</v>
      </c>
      <c r="L528" s="88">
        <f>SUM(F528:K528)</f>
        <v>273670.15715799999</v>
      </c>
      <c r="M528" s="8"/>
      <c r="N528" s="266"/>
    </row>
    <row r="529" spans="1:14" s="3" customFormat="1" ht="12.2" customHeight="1" thickTop="1" x14ac:dyDescent="0.15">
      <c r="A529" s="139" t="s">
        <v>65</v>
      </c>
      <c r="B529" s="107">
        <v>21</v>
      </c>
      <c r="C529" s="107">
        <v>8</v>
      </c>
      <c r="D529" s="158" t="s">
        <v>432</v>
      </c>
      <c r="E529" s="107"/>
      <c r="F529" s="89">
        <f>SUM(F526:F528)</f>
        <v>400589.24</v>
      </c>
      <c r="G529" s="89">
        <f t="shared" ref="G529:L529" si="37">SUM(G526:G528)</f>
        <v>202722.75999999998</v>
      </c>
      <c r="H529" s="89">
        <f t="shared" si="37"/>
        <v>629531.978</v>
      </c>
      <c r="I529" s="89">
        <f t="shared" si="37"/>
        <v>13763.085999999999</v>
      </c>
      <c r="J529" s="89">
        <f t="shared" si="37"/>
        <v>839.82800000000009</v>
      </c>
      <c r="K529" s="89">
        <f t="shared" si="37"/>
        <v>371.80000000000007</v>
      </c>
      <c r="L529" s="89">
        <f t="shared" si="37"/>
        <v>1247818.692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104140.09046000001</v>
      </c>
      <c r="G531" s="18">
        <v>51339.848630000008</v>
      </c>
      <c r="H531" s="18">
        <v>18643.812250000003</v>
      </c>
      <c r="I531" s="18">
        <v>473.54139000000004</v>
      </c>
      <c r="J531" s="18">
        <v>0</v>
      </c>
      <c r="K531" s="18">
        <v>400.61</v>
      </c>
      <c r="L531" s="88">
        <f>SUM(F531:K531)</f>
        <v>174997.90273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49232.649539999984</v>
      </c>
      <c r="G533" s="18">
        <v>24271.121369999993</v>
      </c>
      <c r="H533" s="18">
        <v>8813.9377499999973</v>
      </c>
      <c r="I533" s="18">
        <v>223.86860999999993</v>
      </c>
      <c r="J533" s="18">
        <v>0</v>
      </c>
      <c r="K533" s="18">
        <v>189.39</v>
      </c>
      <c r="L533" s="88">
        <f>SUM(F533:K533)</f>
        <v>82730.967269999979</v>
      </c>
      <c r="M533" s="8"/>
      <c r="N533" s="266"/>
    </row>
    <row r="534" spans="1:14" s="3" customFormat="1" ht="12.2" customHeight="1" thickTop="1" x14ac:dyDescent="0.15">
      <c r="A534" s="139" t="s">
        <v>67</v>
      </c>
      <c r="B534" s="107">
        <v>21</v>
      </c>
      <c r="C534" s="107">
        <v>12</v>
      </c>
      <c r="D534" s="158" t="s">
        <v>432</v>
      </c>
      <c r="E534" s="107"/>
      <c r="F534" s="89">
        <f>SUM(F531:F533)</f>
        <v>153372.74</v>
      </c>
      <c r="G534" s="89">
        <f t="shared" ref="G534:L534" si="38">SUM(G531:G533)</f>
        <v>75610.97</v>
      </c>
      <c r="H534" s="89">
        <f t="shared" si="38"/>
        <v>27457.75</v>
      </c>
      <c r="I534" s="89">
        <f t="shared" si="38"/>
        <v>697.41</v>
      </c>
      <c r="J534" s="89">
        <f t="shared" si="38"/>
        <v>0</v>
      </c>
      <c r="K534" s="89">
        <f t="shared" si="38"/>
        <v>590</v>
      </c>
      <c r="L534" s="89">
        <f t="shared" si="38"/>
        <v>257728.87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1284.9531800000002</v>
      </c>
      <c r="I536" s="18"/>
      <c r="J536" s="18"/>
      <c r="K536" s="18"/>
      <c r="L536" s="88">
        <f>SUM(F536:K536)</f>
        <v>1284.9531800000002</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607.46681999999987</v>
      </c>
      <c r="I538" s="18"/>
      <c r="J538" s="18"/>
      <c r="K538" s="18"/>
      <c r="L538" s="88">
        <f>SUM(F538:K538)</f>
        <v>607.46681999999987</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1892.42</v>
      </c>
      <c r="I539" s="89">
        <f t="shared" si="39"/>
        <v>0</v>
      </c>
      <c r="J539" s="89">
        <f t="shared" si="39"/>
        <v>0</v>
      </c>
      <c r="K539" s="89">
        <f t="shared" si="39"/>
        <v>0</v>
      </c>
      <c r="L539" s="89">
        <f t="shared" si="39"/>
        <v>1892.42</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222880.04240000001</v>
      </c>
      <c r="I541" s="18"/>
      <c r="J541" s="18"/>
      <c r="K541" s="18"/>
      <c r="L541" s="88">
        <f>SUM(F541:K541)</f>
        <v>222880.04240000001</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53170.337599999999</v>
      </c>
      <c r="I543" s="18"/>
      <c r="J543" s="18"/>
      <c r="K543" s="18"/>
      <c r="L543" s="88">
        <f>SUM(F543:K543)</f>
        <v>53170.337599999999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276050.38</v>
      </c>
      <c r="I544" s="193">
        <f t="shared" si="40"/>
        <v>0</v>
      </c>
      <c r="J544" s="193">
        <f t="shared" si="40"/>
        <v>0</v>
      </c>
      <c r="K544" s="193">
        <f t="shared" si="40"/>
        <v>0</v>
      </c>
      <c r="L544" s="193">
        <f t="shared" si="40"/>
        <v>276050.38</v>
      </c>
      <c r="M544" s="8"/>
      <c r="N544" s="266"/>
    </row>
    <row r="545" spans="1:14" s="3" customFormat="1" ht="12.2" customHeight="1" thickTop="1" x14ac:dyDescent="0.15">
      <c r="A545" s="98" t="s">
        <v>72</v>
      </c>
      <c r="B545" s="107">
        <v>21</v>
      </c>
      <c r="C545" s="107">
        <v>21</v>
      </c>
      <c r="D545" s="158" t="s">
        <v>432</v>
      </c>
      <c r="E545" s="107"/>
      <c r="F545" s="89">
        <f>F524+F529+F534+F539+F544</f>
        <v>1848855.3399999999</v>
      </c>
      <c r="G545" s="89">
        <f t="shared" ref="G545:L545" si="41">G524+G529+G534+G539+G544</f>
        <v>928438.58</v>
      </c>
      <c r="H545" s="89">
        <f t="shared" si="41"/>
        <v>1894103.9580000001</v>
      </c>
      <c r="I545" s="89">
        <f t="shared" si="41"/>
        <v>23941.096000000001</v>
      </c>
      <c r="J545" s="89">
        <f t="shared" si="41"/>
        <v>40087.828000000001</v>
      </c>
      <c r="K545" s="89">
        <f t="shared" si="41"/>
        <v>961.80000000000007</v>
      </c>
      <c r="L545" s="89">
        <f t="shared" si="41"/>
        <v>4736388.602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2017095.7872699997</v>
      </c>
      <c r="G549" s="87">
        <f>L526</f>
        <v>974148.53484199999</v>
      </c>
      <c r="H549" s="87">
        <f>L531</f>
        <v>174997.90273</v>
      </c>
      <c r="I549" s="87">
        <f>L536</f>
        <v>1284.9531800000002</v>
      </c>
      <c r="J549" s="87">
        <f>L541</f>
        <v>222880.04240000001</v>
      </c>
      <c r="K549" s="87">
        <f>SUM(F549:J549)</f>
        <v>3390407.2204220002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935802.45273000002</v>
      </c>
      <c r="G551" s="87">
        <f>L528</f>
        <v>273670.15715799999</v>
      </c>
      <c r="H551" s="87">
        <f>L533</f>
        <v>82730.967269999979</v>
      </c>
      <c r="I551" s="87">
        <f>L538</f>
        <v>607.46681999999987</v>
      </c>
      <c r="J551" s="87">
        <f>L543</f>
        <v>53170.337599999999</v>
      </c>
      <c r="K551" s="87">
        <f>SUM(F551:J551)</f>
        <v>1345981.3815779998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2952898.2399999998</v>
      </c>
      <c r="G552" s="89">
        <f t="shared" si="42"/>
        <v>1247818.692</v>
      </c>
      <c r="H552" s="89">
        <f t="shared" si="42"/>
        <v>257728.87</v>
      </c>
      <c r="I552" s="89">
        <f t="shared" si="42"/>
        <v>1892.42</v>
      </c>
      <c r="J552" s="89">
        <f t="shared" si="42"/>
        <v>276050.38</v>
      </c>
      <c r="K552" s="89">
        <f t="shared" si="42"/>
        <v>4736388.602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f>878.04+955.26</f>
        <v>1833.3</v>
      </c>
      <c r="G562" s="18">
        <f>78.98+85.93</f>
        <v>164.91000000000003</v>
      </c>
      <c r="H562" s="18">
        <f>529.68+576.26</f>
        <v>1105.94</v>
      </c>
      <c r="I562" s="18"/>
      <c r="J562" s="18"/>
      <c r="K562" s="18"/>
      <c r="L562" s="88">
        <f>SUM(F562:K562)</f>
        <v>3104.15</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v>866.7</v>
      </c>
      <c r="G564" s="18">
        <v>77.959999999999994</v>
      </c>
      <c r="H564" s="18">
        <v>522.84</v>
      </c>
      <c r="I564" s="18"/>
      <c r="J564" s="18"/>
      <c r="K564" s="18"/>
      <c r="L564" s="88">
        <f>SUM(F564:K564)</f>
        <v>1467.5</v>
      </c>
      <c r="M564" s="8"/>
      <c r="N564" s="266"/>
    </row>
    <row r="565" spans="1:14" s="3" customFormat="1" ht="12.2" customHeight="1" thickTop="1" x14ac:dyDescent="0.15">
      <c r="A565" s="139" t="s">
        <v>65</v>
      </c>
      <c r="B565" s="107">
        <v>22</v>
      </c>
      <c r="C565" s="107">
        <v>8</v>
      </c>
      <c r="D565" s="196" t="s">
        <v>432</v>
      </c>
      <c r="E565" s="107"/>
      <c r="F565" s="89">
        <f t="shared" ref="F565:L565" si="44">SUM(F562:F564)</f>
        <v>2700</v>
      </c>
      <c r="G565" s="89">
        <f t="shared" si="44"/>
        <v>242.87</v>
      </c>
      <c r="H565" s="89">
        <f t="shared" si="44"/>
        <v>1628.7800000000002</v>
      </c>
      <c r="I565" s="89">
        <f t="shared" si="44"/>
        <v>0</v>
      </c>
      <c r="J565" s="89">
        <f t="shared" si="44"/>
        <v>0</v>
      </c>
      <c r="K565" s="89">
        <f t="shared" si="44"/>
        <v>0</v>
      </c>
      <c r="L565" s="89">
        <f t="shared" si="44"/>
        <v>4571.6499999999996</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2700</v>
      </c>
      <c r="G571" s="89">
        <f t="shared" ref="G571:L571" si="46">G560+G565+G570</f>
        <v>242.87</v>
      </c>
      <c r="H571" s="89">
        <f t="shared" si="46"/>
        <v>1628.7800000000002</v>
      </c>
      <c r="I571" s="89">
        <f t="shared" si="46"/>
        <v>0</v>
      </c>
      <c r="J571" s="89">
        <f t="shared" si="46"/>
        <v>0</v>
      </c>
      <c r="K571" s="89">
        <f t="shared" si="46"/>
        <v>0</v>
      </c>
      <c r="L571" s="89">
        <f t="shared" si="46"/>
        <v>4571.6499999999996</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f>1875+5697.5</f>
        <v>7572.5</v>
      </c>
      <c r="I578" s="87">
        <f t="shared" si="47"/>
        <v>7572.5</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181455.17</v>
      </c>
      <c r="G579" s="18"/>
      <c r="H579" s="18">
        <f>35400.63+48288.48</f>
        <v>83689.11</v>
      </c>
      <c r="I579" s="87">
        <f t="shared" si="47"/>
        <v>265144.28000000003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606.36</v>
      </c>
      <c r="I581" s="87">
        <f t="shared" si="47"/>
        <v>606.36</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15541.62+212831.65+94686.53</f>
        <v>323059.8</v>
      </c>
      <c r="G582" s="18"/>
      <c r="H582" s="18">
        <v>94542.77</v>
      </c>
      <c r="I582" s="87">
        <f t="shared" si="47"/>
        <v>417602.57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53417.08</v>
      </c>
      <c r="I584" s="87">
        <f t="shared" si="47"/>
        <v>53417.08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77290.93+7363.09+92099</f>
        <v>176753.02</v>
      </c>
      <c r="I591" s="18"/>
      <c r="J591" s="18">
        <f>76292.72+7268</f>
        <v>83560.72</v>
      </c>
      <c r="K591" s="104">
        <f t="shared" ref="K591:K597" si="48">SUM(H591:J591)</f>
        <v>260313.74</v>
      </c>
      <c r="L591" s="24" t="s">
        <v>288</v>
      </c>
      <c r="M591" s="8"/>
      <c r="N591" s="266"/>
    </row>
    <row r="592" spans="1:14" s="3" customFormat="1" ht="12.2" customHeight="1" x14ac:dyDescent="0.15">
      <c r="A592" s="3" t="s">
        <v>638</v>
      </c>
      <c r="B592" s="75">
        <v>23</v>
      </c>
      <c r="C592" s="75">
        <v>2</v>
      </c>
      <c r="D592" s="2" t="s">
        <v>432</v>
      </c>
      <c r="E592" s="75"/>
      <c r="F592" s="102">
        <v>2722</v>
      </c>
      <c r="G592" s="103" t="s">
        <v>97</v>
      </c>
      <c r="H592" s="18">
        <f>43656.67+109885+69338.37</f>
        <v>222880.03999999998</v>
      </c>
      <c r="I592" s="18"/>
      <c r="J592" s="18">
        <f>43092.84+10077.5</f>
        <v>53170.34</v>
      </c>
      <c r="K592" s="104">
        <f t="shared" si="48"/>
        <v>276050.38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45104.4</v>
      </c>
      <c r="K593" s="104">
        <f t="shared" si="48"/>
        <v>45104.4</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6616.92</v>
      </c>
      <c r="I594" s="18"/>
      <c r="J594" s="18">
        <v>26076.47</v>
      </c>
      <c r="K594" s="104">
        <f t="shared" si="48"/>
        <v>32693.39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2436.1+3463.28</f>
        <v>5899.38</v>
      </c>
      <c r="I595" s="18"/>
      <c r="J595" s="18">
        <v>3763.42</v>
      </c>
      <c r="K595" s="104">
        <f t="shared" si="48"/>
        <v>9662.7999999999993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f>6725.86+7317.37</f>
        <v>14043.23</v>
      </c>
      <c r="I597" s="18"/>
      <c r="J597" s="18">
        <f>6638.99</f>
        <v>6638.99</v>
      </c>
      <c r="K597" s="104">
        <f t="shared" si="48"/>
        <v>20682.22</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426192.58999999991</v>
      </c>
      <c r="I598" s="108">
        <f>SUM(I591:I597)</f>
        <v>0</v>
      </c>
      <c r="J598" s="108">
        <f>SUM(J591:J597)</f>
        <v>218314.34</v>
      </c>
      <c r="K598" s="108">
        <f>SUM(K591:K597)</f>
        <v>644506.93000000005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85202.15+133570.01</f>
        <v>218772.16</v>
      </c>
      <c r="I604" s="18"/>
      <c r="J604" s="18">
        <v>151750.25</v>
      </c>
      <c r="K604" s="104">
        <f>SUM(H604:J604)</f>
        <v>370522.41000000003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218772.16</v>
      </c>
      <c r="I605" s="108">
        <f>SUM(I602:I604)</f>
        <v>0</v>
      </c>
      <c r="J605" s="108">
        <f>SUM(J602:J604)</f>
        <v>151750.25</v>
      </c>
      <c r="K605" s="108">
        <f>SUM(K602:K604)</f>
        <v>370522.41000000003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23385+9447.5</f>
        <v>32832.5</v>
      </c>
      <c r="G611" s="18">
        <f>5629.92+1916.24</f>
        <v>7546.16</v>
      </c>
      <c r="H611" s="18"/>
      <c r="I611" s="18">
        <v>567.1</v>
      </c>
      <c r="J611" s="18"/>
      <c r="K611" s="18"/>
      <c r="L611" s="88">
        <f>SUM(F611:K611)</f>
        <v>40945.760000000002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32832.5</v>
      </c>
      <c r="G614" s="108">
        <f t="shared" si="49"/>
        <v>7546.16</v>
      </c>
      <c r="H614" s="108">
        <f t="shared" si="49"/>
        <v>0</v>
      </c>
      <c r="I614" s="108">
        <f t="shared" si="49"/>
        <v>567.1</v>
      </c>
      <c r="J614" s="108">
        <f t="shared" si="49"/>
        <v>0</v>
      </c>
      <c r="K614" s="108">
        <f t="shared" si="49"/>
        <v>0</v>
      </c>
      <c r="L614" s="89">
        <f t="shared" si="49"/>
        <v>40945.760000000002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1170330.6499999999</v>
      </c>
      <c r="H617" s="109">
        <f>SUM(F52)</f>
        <v>1170330.6499999999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146000.32000000001</v>
      </c>
      <c r="H618" s="109">
        <f>SUM(G52)</f>
        <v>146000.32000000001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585689.06999999995</v>
      </c>
      <c r="H619" s="109">
        <f>SUM(H52)</f>
        <v>585689.07000000007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1274610.44</v>
      </c>
      <c r="H622" s="109">
        <f>F476</f>
        <v>1274610.4400000032</v>
      </c>
      <c r="I622" s="121" t="s">
        <v>101</v>
      </c>
      <c r="J622" s="109">
        <f t="shared" ref="J622:J655" si="50">G622-H622</f>
        <v>-3.2596290111541748E-9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139646.31000000003</v>
      </c>
      <c r="H624" s="109">
        <f>H476</f>
        <v>139646.30999999959</v>
      </c>
      <c r="I624" s="121" t="s">
        <v>103</v>
      </c>
      <c r="J624" s="109">
        <f t="shared" si="50"/>
        <v>4.3655745685100555E-10</v>
      </c>
      <c r="K624" s="109"/>
      <c r="L624" s="109"/>
      <c r="M624" s="8"/>
    </row>
    <row r="625" spans="1:13" s="3" customFormat="1" ht="12.2" customHeight="1" x14ac:dyDescent="0.15">
      <c r="A625" s="97"/>
      <c r="B625" s="105"/>
      <c r="C625" s="105"/>
      <c r="D625" s="105"/>
      <c r="E625" s="105"/>
      <c r="F625" s="120" t="s">
        <v>868</v>
      </c>
      <c r="G625" s="109">
        <f>I51</f>
        <v>158101.1</v>
      </c>
      <c r="H625" s="109">
        <f>I476</f>
        <v>158101.10000000009</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13919278.380000001</v>
      </c>
      <c r="H627" s="104">
        <f>SUM(F468)</f>
        <v>13919278.380000001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545799.89</v>
      </c>
      <c r="H628" s="104">
        <f>SUM(G468)</f>
        <v>545799.89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2578346.5399999996</v>
      </c>
      <c r="H629" s="104">
        <f>SUM(H468)</f>
        <v>2578346.5399999996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2000000</v>
      </c>
      <c r="H630" s="104">
        <f>SUM(I468)</f>
        <v>2000000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13413752.699999997</v>
      </c>
      <c r="H632" s="104">
        <f>SUM(F472)</f>
        <v>13413752.699999997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2574363.4</v>
      </c>
      <c r="H633" s="104">
        <f>SUM(H472)</f>
        <v>2574363.4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241097.45</v>
      </c>
      <c r="H634" s="104">
        <f>I369</f>
        <v>241097.44999999998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563163.79000000015</v>
      </c>
      <c r="H635" s="104">
        <f>SUM(G472)</f>
        <v>563163.79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1841898.9</v>
      </c>
      <c r="H636" s="104">
        <f>SUM(I472)</f>
        <v>1841898.9</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644506.93000000005</v>
      </c>
      <c r="H647" s="104">
        <f>L208+L226+L244</f>
        <v>644506.92999999993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370522.41000000003</v>
      </c>
      <c r="H648" s="104">
        <f>(J257+J338)-(J255+J336)</f>
        <v>370522.41000000003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426192.58999999997</v>
      </c>
      <c r="H649" s="104">
        <f>H598</f>
        <v>426192.58999999991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218314.34</v>
      </c>
      <c r="H651" s="104">
        <f>J598</f>
        <v>218314.34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28353.81</v>
      </c>
      <c r="H652" s="104">
        <f>K263+K345</f>
        <v>28353.81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33585.230000000003</v>
      </c>
      <c r="H653" s="104">
        <f>K264</f>
        <v>33585.230000000003</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10653148.859999999</v>
      </c>
      <c r="G660" s="19">
        <f>(L229+L309+L359)</f>
        <v>0</v>
      </c>
      <c r="H660" s="19">
        <f>(L247+L328+L360)</f>
        <v>5257983.5799999982</v>
      </c>
      <c r="I660" s="19">
        <f>SUM(F660:H660)</f>
        <v>15911132.439999998</v>
      </c>
      <c r="J660" s="13"/>
      <c r="K660" s="13"/>
      <c r="L660" s="13"/>
      <c r="M660" s="9"/>
    </row>
    <row r="661" spans="1:13" s="3" customFormat="1" ht="12.2" customHeight="1" x14ac:dyDescent="0.2">
      <c r="A661" s="1" t="s">
        <v>127</v>
      </c>
      <c r="F661" s="19">
        <f>(L358/IF(SUM(L358:L360)=0,1,SUM(L358:L360))*(SUM(G97:G110)))</f>
        <v>87199.312519953368</v>
      </c>
      <c r="G661" s="19">
        <f>(L359/IF(SUM(L358:L360)=0,1,SUM(L358:L360))*(SUM(G97:G110)))</f>
        <v>0</v>
      </c>
      <c r="H661" s="19">
        <f>(L360/IF(SUM(L358:L360)=0,1,SUM(L358:L360))*(SUM(G97:G110)))</f>
        <v>39820.177480046594</v>
      </c>
      <c r="I661" s="19">
        <f>SUM(F661:H661)</f>
        <v>127019.48999999996</v>
      </c>
      <c r="J661"/>
      <c r="K661" s="13"/>
      <c r="L661" s="13"/>
      <c r="M661" s="9"/>
    </row>
    <row r="662" spans="1:13" s="3" customFormat="1" ht="12.2" customHeight="1" x14ac:dyDescent="0.2">
      <c r="A662" s="1" t="s">
        <v>128</v>
      </c>
      <c r="F662" s="19">
        <f>(L208+L287)-(J208+J287)</f>
        <v>436407.85</v>
      </c>
      <c r="G662" s="19">
        <f>(L226+L306)-(J226+J306)</f>
        <v>0</v>
      </c>
      <c r="H662" s="19">
        <f>(L244+L325)-(J244+J325)</f>
        <v>219912.53</v>
      </c>
      <c r="I662" s="19">
        <f>SUM(F662:H662)</f>
        <v>656320.38</v>
      </c>
      <c r="J662"/>
      <c r="K662" s="13"/>
      <c r="L662" s="13"/>
      <c r="M662" s="8"/>
    </row>
    <row r="663" spans="1:13" s="3" customFormat="1" ht="12.2" customHeight="1" x14ac:dyDescent="0.15">
      <c r="A663" s="198" t="s">
        <v>129</v>
      </c>
      <c r="B663" s="169"/>
      <c r="C663" s="169"/>
      <c r="D663" s="169"/>
      <c r="E663" s="169"/>
      <c r="F663" s="199">
        <f>SUM(F575:F587)+SUM(H602:H604)+SUM(L611)</f>
        <v>764232.89</v>
      </c>
      <c r="G663" s="199">
        <f>SUM(G575:G587)+SUM(I602:I604)+L612</f>
        <v>0</v>
      </c>
      <c r="H663" s="199">
        <f>SUM(H575:H587)+SUM(J602:J604)+L613</f>
        <v>391578.07</v>
      </c>
      <c r="I663" s="19">
        <f>SUM(F663:H663)</f>
        <v>1155810.96</v>
      </c>
      <c r="J663" s="13"/>
      <c r="K663" s="13"/>
      <c r="L663" s="13"/>
      <c r="M663" s="9"/>
    </row>
    <row r="664" spans="1:13" s="3" customFormat="1" ht="12.2" customHeight="1" x14ac:dyDescent="0.15">
      <c r="A664" s="1" t="s">
        <v>130</v>
      </c>
      <c r="F664" s="19">
        <f>F660-SUM(F661:F663)</f>
        <v>9365308.8074800465</v>
      </c>
      <c r="G664" s="19">
        <f>G660-SUM(G661:G663)</f>
        <v>0</v>
      </c>
      <c r="H664" s="19">
        <f>H660-SUM(H661:H663)</f>
        <v>4606672.8025199519</v>
      </c>
      <c r="I664" s="19">
        <f>I660-SUM(I661:I663)</f>
        <v>13971981.609999998</v>
      </c>
      <c r="J664" s="13"/>
      <c r="K664" s="13"/>
      <c r="L664" s="13"/>
      <c r="M664" s="9"/>
    </row>
    <row r="665" spans="1:13" s="3" customFormat="1" ht="12.2" customHeight="1" x14ac:dyDescent="0.2">
      <c r="A665" s="1" t="s">
        <v>131</v>
      </c>
      <c r="F665" s="246">
        <v>634.49</v>
      </c>
      <c r="G665" s="247"/>
      <c r="H665" s="247">
        <v>269.94</v>
      </c>
      <c r="I665" s="19">
        <f>SUM(F665:H665)</f>
        <v>904.43000000000006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14760.37</v>
      </c>
      <c r="G667" s="19" t="e">
        <f>ROUND(G664/G665,2)</f>
        <v>#DIV/0!</v>
      </c>
      <c r="H667" s="19">
        <f>ROUND(H664/H665,2)</f>
        <v>17065.54</v>
      </c>
      <c r="I667" s="19">
        <f>ROUND(I664/I665,2)</f>
        <v>15448.38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-5.84</v>
      </c>
      <c r="I670" s="19">
        <f>SUM(F670:H670)</f>
        <v>-5.84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14760.37</v>
      </c>
      <c r="G672" s="19" t="e">
        <f>ROUND((G664+G669)/(G665+G670),2)</f>
        <v>#DIV/0!</v>
      </c>
      <c r="H672" s="19">
        <f>ROUND((H664+H669)/(H665+H670),2)</f>
        <v>17442.91</v>
      </c>
      <c r="I672" s="19">
        <f>ROUND((I664+I669)/(I665+I670),2)</f>
        <v>15548.78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F44" sqref="F4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Franklin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3378860.64</v>
      </c>
      <c r="C9" s="229">
        <f>'DOE25'!G197+'DOE25'!G215+'DOE25'!G233+'DOE25'!G276+'DOE25'!G295+'DOE25'!G314</f>
        <v>1636149.78</v>
      </c>
    </row>
    <row r="10" spans="1:3" x14ac:dyDescent="0.2">
      <c r="A10" t="s">
        <v>775</v>
      </c>
      <c r="B10" s="240">
        <f>2840362.56+353153.64</f>
        <v>3193516.2</v>
      </c>
      <c r="C10" s="240">
        <f>244303.99+554394.41+787372.54</f>
        <v>1586070.94</v>
      </c>
    </row>
    <row r="11" spans="1:3" x14ac:dyDescent="0.2">
      <c r="A11" t="s">
        <v>776</v>
      </c>
      <c r="B11" s="240">
        <f>31352.7+74515.4</f>
        <v>105868.09999999999</v>
      </c>
      <c r="C11" s="240">
        <v>28028.84</v>
      </c>
    </row>
    <row r="12" spans="1:3" x14ac:dyDescent="0.2">
      <c r="A12" t="s">
        <v>777</v>
      </c>
      <c r="B12" s="240">
        <f>64292.7+15183.64</f>
        <v>79476.34</v>
      </c>
      <c r="C12" s="240">
        <v>22050</v>
      </c>
    </row>
    <row r="13" spans="1:3" x14ac:dyDescent="0.2">
      <c r="A13" t="str">
        <f>IF(B9=B13,IF(C9=C13,"Check Total OK","Check Total Error"),"Check Total Error")</f>
        <v>Check Total OK</v>
      </c>
      <c r="B13" s="231">
        <f>SUM(B10:B12)</f>
        <v>3378860.64</v>
      </c>
      <c r="C13" s="231">
        <f>SUM(C10:C12)</f>
        <v>1636149.78</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1448266.0999999999</v>
      </c>
      <c r="C18" s="229">
        <f>'DOE25'!G198+'DOE25'!G216+'DOE25'!G234+'DOE25'!G277+'DOE25'!G296+'DOE25'!G315</f>
        <v>725715.82</v>
      </c>
    </row>
    <row r="19" spans="1:3" x14ac:dyDescent="0.2">
      <c r="A19" t="s">
        <v>775</v>
      </c>
      <c r="B19" s="240">
        <f>471837.87+198601.4</f>
        <v>670439.27</v>
      </c>
      <c r="C19" s="240">
        <f>340486.52+116388.26</f>
        <v>456874.78</v>
      </c>
    </row>
    <row r="20" spans="1:3" x14ac:dyDescent="0.2">
      <c r="A20" t="s">
        <v>776</v>
      </c>
      <c r="B20" s="240">
        <v>658583.07999999996</v>
      </c>
      <c r="C20" s="240">
        <v>213422.29</v>
      </c>
    </row>
    <row r="21" spans="1:3" x14ac:dyDescent="0.2">
      <c r="A21" t="s">
        <v>777</v>
      </c>
      <c r="B21" s="240">
        <v>119243.75</v>
      </c>
      <c r="C21" s="240">
        <f>9122.15+46296.6</f>
        <v>55418.75</v>
      </c>
    </row>
    <row r="22" spans="1:3" x14ac:dyDescent="0.2">
      <c r="A22" t="str">
        <f>IF(B18=B22,IF(C18=C22,"Check Total OK","Check Total Error"),"Check Total Error")</f>
        <v>Check Total OK</v>
      </c>
      <c r="B22" s="231">
        <f>SUM(B19:B21)</f>
        <v>1448266.1</v>
      </c>
      <c r="C22" s="231">
        <f>SUM(C19:C21)</f>
        <v>725715.82000000007</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157737.76999999999</v>
      </c>
      <c r="C36" s="235">
        <f>'DOE25'!G200+'DOE25'!G218+'DOE25'!G236+'DOE25'!G279+'DOE25'!G298+'DOE25'!G317</f>
        <v>52256.200000000004</v>
      </c>
    </row>
    <row r="37" spans="1:3" x14ac:dyDescent="0.2">
      <c r="A37" t="s">
        <v>775</v>
      </c>
      <c r="B37" s="240">
        <f>124905.27+31572.5</f>
        <v>156477.77000000002</v>
      </c>
      <c r="C37" s="240">
        <v>52159.81</v>
      </c>
    </row>
    <row r="38" spans="1:3" x14ac:dyDescent="0.2">
      <c r="A38" t="s">
        <v>776</v>
      </c>
      <c r="B38" s="240">
        <v>1260</v>
      </c>
      <c r="C38" s="240">
        <v>96.39</v>
      </c>
    </row>
    <row r="39" spans="1:3" x14ac:dyDescent="0.2">
      <c r="A39" t="s">
        <v>777</v>
      </c>
      <c r="B39" s="240"/>
      <c r="C39" s="240"/>
    </row>
    <row r="40" spans="1:3" x14ac:dyDescent="0.2">
      <c r="A40" t="str">
        <f>IF(B36=B40,IF(C36=C40,"Check Total OK","Check Total Error"),"Check Total Error")</f>
        <v>Check Total OK</v>
      </c>
      <c r="B40" s="231">
        <f>SUM(B37:B39)</f>
        <v>157737.77000000002</v>
      </c>
      <c r="C40" s="231">
        <f>SUM(C37:C39)</f>
        <v>52256.2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Franklin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7706130.2800000012</v>
      </c>
      <c r="D5" s="20">
        <f>SUM('DOE25'!L197:L200)+SUM('DOE25'!L215:L218)+SUM('DOE25'!L233:L236)-F5-G5-H5</f>
        <v>7517265.9500000011</v>
      </c>
      <c r="E5" s="243"/>
      <c r="F5" s="244">
        <v>149596</v>
      </c>
      <c r="G5" s="53">
        <f>SUM('DOE25'!J197:J200)+SUM('DOE25'!J215:J218)+SUM('DOE25'!J233:J236)</f>
        <v>24740</v>
      </c>
      <c r="H5" s="53">
        <f>SUM('DOE25'!K197:K200)+SUM('DOE25'!K215:K218)+SUM('DOE25'!K233:K236)</f>
        <v>14528.33</v>
      </c>
      <c r="I5" s="256"/>
    </row>
    <row r="6" spans="1:9" x14ac:dyDescent="0.2">
      <c r="A6" s="32">
        <v>2100</v>
      </c>
      <c r="B6" t="s">
        <v>796</v>
      </c>
      <c r="C6" s="276">
        <f t="shared" si="0"/>
        <v>1586866.83</v>
      </c>
      <c r="D6" s="20">
        <f>'DOE25'!L202+'DOE25'!L220+'DOE25'!L238-F6-G6-H6</f>
        <v>1429468.11</v>
      </c>
      <c r="E6" s="243"/>
      <c r="F6" s="244">
        <f>69629+86558.75</f>
        <v>156187.75</v>
      </c>
      <c r="G6" s="53">
        <f>'DOE25'!J202+'DOE25'!J220+'DOE25'!J238</f>
        <v>281.47000000000003</v>
      </c>
      <c r="H6" s="53">
        <f>'DOE25'!K202+'DOE25'!K220+'DOE25'!K238</f>
        <v>929.5</v>
      </c>
      <c r="I6" s="256"/>
    </row>
    <row r="7" spans="1:9" x14ac:dyDescent="0.2">
      <c r="A7" s="32">
        <v>2200</v>
      </c>
      <c r="B7" t="s">
        <v>821</v>
      </c>
      <c r="C7" s="276">
        <f t="shared" si="0"/>
        <v>334770.36</v>
      </c>
      <c r="D7" s="20">
        <f>'DOE25'!L203+'DOE25'!L221+'DOE25'!L239-F7-G7-H7</f>
        <v>213219.83999999997</v>
      </c>
      <c r="E7" s="243"/>
      <c r="F7" s="244"/>
      <c r="G7" s="53">
        <f>'DOE25'!J203+'DOE25'!J221+'DOE25'!J239</f>
        <v>121550.52</v>
      </c>
      <c r="H7" s="53">
        <f>'DOE25'!K203+'DOE25'!K221+'DOE25'!K239</f>
        <v>0</v>
      </c>
      <c r="I7" s="256"/>
    </row>
    <row r="8" spans="1:9" x14ac:dyDescent="0.2">
      <c r="A8" s="32">
        <v>2300</v>
      </c>
      <c r="B8" t="s">
        <v>797</v>
      </c>
      <c r="C8" s="276">
        <f t="shared" si="0"/>
        <v>38084.409999999996</v>
      </c>
      <c r="D8" s="243"/>
      <c r="E8" s="20">
        <f>'DOE25'!L204+'DOE25'!L222+'DOE25'!L240-F8-G8-H8-D9-D11</f>
        <v>29417.619999999995</v>
      </c>
      <c r="F8" s="244"/>
      <c r="G8" s="53">
        <f>'DOE25'!J204+'DOE25'!J222+'DOE25'!J240</f>
        <v>0</v>
      </c>
      <c r="H8" s="53">
        <f>'DOE25'!K204+'DOE25'!K222+'DOE25'!K240</f>
        <v>8666.7900000000009</v>
      </c>
      <c r="I8" s="256"/>
    </row>
    <row r="9" spans="1:9" ht="14.25" x14ac:dyDescent="0.2">
      <c r="A9" s="32">
        <v>2310</v>
      </c>
      <c r="B9" s="185" t="s">
        <v>890</v>
      </c>
      <c r="C9" s="276">
        <f t="shared" si="0"/>
        <v>12277.6</v>
      </c>
      <c r="D9" s="244">
        <v>12277.6</v>
      </c>
      <c r="E9" s="243"/>
      <c r="F9" s="253"/>
      <c r="G9" s="253"/>
      <c r="H9" s="253"/>
      <c r="I9" s="256"/>
    </row>
    <row r="10" spans="1:9" ht="14.25" x14ac:dyDescent="0.2">
      <c r="A10" s="32">
        <v>2317</v>
      </c>
      <c r="B10" s="185" t="s">
        <v>891</v>
      </c>
      <c r="C10" s="276">
        <f t="shared" si="0"/>
        <v>26975</v>
      </c>
      <c r="D10" s="243"/>
      <c r="E10" s="244">
        <v>26975</v>
      </c>
      <c r="F10" s="253"/>
      <c r="G10" s="253"/>
      <c r="H10" s="253"/>
      <c r="I10" s="256"/>
    </row>
    <row r="11" spans="1:9" ht="14.25" x14ac:dyDescent="0.2">
      <c r="A11" s="32">
        <v>2321</v>
      </c>
      <c r="B11" s="185" t="s">
        <v>892</v>
      </c>
      <c r="C11" s="276">
        <f t="shared" si="0"/>
        <v>293331.69</v>
      </c>
      <c r="D11" s="244">
        <v>293331.69</v>
      </c>
      <c r="E11" s="243"/>
      <c r="F11" s="253"/>
      <c r="G11" s="253"/>
      <c r="H11" s="253"/>
      <c r="I11" s="256"/>
    </row>
    <row r="12" spans="1:9" x14ac:dyDescent="0.2">
      <c r="A12" s="32">
        <v>2400</v>
      </c>
      <c r="B12" t="s">
        <v>711</v>
      </c>
      <c r="C12" s="276">
        <f t="shared" si="0"/>
        <v>766842.09</v>
      </c>
      <c r="D12" s="20">
        <f>'DOE25'!L205+'DOE25'!L223+'DOE25'!L241-F12-G12-H12</f>
        <v>758388.87</v>
      </c>
      <c r="E12" s="243"/>
      <c r="F12" s="244"/>
      <c r="G12" s="53">
        <f>'DOE25'!J205+'DOE25'!J223+'DOE25'!J241</f>
        <v>0</v>
      </c>
      <c r="H12" s="53">
        <f>'DOE25'!K205+'DOE25'!K223+'DOE25'!K241</f>
        <v>8453.2199999999993</v>
      </c>
      <c r="I12" s="256"/>
    </row>
    <row r="13" spans="1:9" x14ac:dyDescent="0.2">
      <c r="A13" s="32">
        <v>2500</v>
      </c>
      <c r="B13" t="s">
        <v>798</v>
      </c>
      <c r="C13" s="276">
        <f t="shared" si="0"/>
        <v>250681.14</v>
      </c>
      <c r="D13" s="243"/>
      <c r="E13" s="20">
        <f>'DOE25'!L206+'DOE25'!L224+'DOE25'!L242-F13-G13-H13</f>
        <v>250681.14</v>
      </c>
      <c r="F13" s="244"/>
      <c r="G13" s="53">
        <f>'DOE25'!J206+'DOE25'!J224+'DOE25'!J242</f>
        <v>0</v>
      </c>
      <c r="H13" s="53">
        <f>'DOE25'!K206+'DOE25'!K224+'DOE25'!K242</f>
        <v>0</v>
      </c>
      <c r="I13" s="256"/>
    </row>
    <row r="14" spans="1:9" x14ac:dyDescent="0.2">
      <c r="A14" s="32">
        <v>2600</v>
      </c>
      <c r="B14" t="s">
        <v>819</v>
      </c>
      <c r="C14" s="276">
        <f t="shared" si="0"/>
        <v>1097488.1200000001</v>
      </c>
      <c r="D14" s="20">
        <f>'DOE25'!L207+'DOE25'!L225+'DOE25'!L243-F14-G14-H14</f>
        <v>1088177.79</v>
      </c>
      <c r="E14" s="243"/>
      <c r="F14" s="244"/>
      <c r="G14" s="53">
        <f>'DOE25'!J207+'DOE25'!J225+'DOE25'!J243</f>
        <v>9310.33</v>
      </c>
      <c r="H14" s="53">
        <f>'DOE25'!K207+'DOE25'!K225+'DOE25'!K243</f>
        <v>0</v>
      </c>
      <c r="I14" s="256"/>
    </row>
    <row r="15" spans="1:9" x14ac:dyDescent="0.2">
      <c r="A15" s="32">
        <v>2700</v>
      </c>
      <c r="B15" t="s">
        <v>799</v>
      </c>
      <c r="C15" s="276">
        <f t="shared" si="0"/>
        <v>644506.92999999993</v>
      </c>
      <c r="D15" s="20">
        <f>'DOE25'!L208+'DOE25'!L226+'DOE25'!L244-F15-G15-H15</f>
        <v>200122.1399999999</v>
      </c>
      <c r="E15" s="243"/>
      <c r="F15" s="244">
        <f>304344.19+106345.6+9020+24675</f>
        <v>444384.79000000004</v>
      </c>
      <c r="G15" s="53">
        <f>'DOE25'!J208+'DOE25'!J226+'DOE25'!J244</f>
        <v>0</v>
      </c>
      <c r="H15" s="53">
        <f>'DOE25'!K208+'DOE25'!K226+'DOE25'!K244</f>
        <v>0</v>
      </c>
      <c r="I15" s="256"/>
    </row>
    <row r="16" spans="1:9" x14ac:dyDescent="0.2">
      <c r="A16" s="32">
        <v>2800</v>
      </c>
      <c r="B16" t="s">
        <v>800</v>
      </c>
      <c r="C16" s="276">
        <f t="shared" si="0"/>
        <v>140858.53999999998</v>
      </c>
      <c r="D16" s="243"/>
      <c r="E16" s="20">
        <f>'DOE25'!L209+'DOE25'!L227+'DOE25'!L245-F16-G16-H16</f>
        <v>140858.53999999998</v>
      </c>
      <c r="F16" s="244"/>
      <c r="G16" s="53">
        <f>'DOE25'!J209+'DOE25'!J227+'DOE25'!J245</f>
        <v>0</v>
      </c>
      <c r="H16" s="53">
        <f>'DOE25'!K209+'DOE25'!K227+'DOE25'!K245</f>
        <v>0</v>
      </c>
      <c r="I16" s="256"/>
    </row>
    <row r="17" spans="1:9" x14ac:dyDescent="0.2">
      <c r="A17" s="32">
        <v>1600</v>
      </c>
      <c r="B17" t="s">
        <v>801</v>
      </c>
      <c r="C17" s="276">
        <f t="shared" si="0"/>
        <v>21298.12</v>
      </c>
      <c r="D17" s="20">
        <f>'DOE25'!L251-F17-G17-H17</f>
        <v>21298.12</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458677.55</v>
      </c>
      <c r="D25" s="243"/>
      <c r="E25" s="243"/>
      <c r="F25" s="255"/>
      <c r="G25" s="253"/>
      <c r="H25" s="253"/>
      <c r="I25" s="254">
        <f>'DOE25'!L260+'DOE25'!L261+'DOE25'!L341+'DOE25'!L342</f>
        <v>458677.55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338337.42000000016</v>
      </c>
      <c r="D29" s="284">
        <f>'DOE25'!L358+'DOE25'!L359+'DOE25'!L360-'DOE25'!I367-F29-G29-H29</f>
        <v>331106.52000000014</v>
      </c>
      <c r="E29" s="243"/>
      <c r="F29" s="244"/>
      <c r="G29" s="53">
        <f>'DOE25'!J358+'DOE25'!J359+'DOE25'!J360</f>
        <v>6615.89</v>
      </c>
      <c r="H29" s="53">
        <f>'DOE25'!K358+'DOE25'!K359+'DOE25'!K360</f>
        <v>615.01</v>
      </c>
      <c r="I29" s="256"/>
    </row>
    <row r="30" spans="1:9" x14ac:dyDescent="0.2">
      <c r="A30" s="32"/>
      <c r="C30" s="277"/>
      <c r="D30" s="20"/>
      <c r="E30" s="281"/>
      <c r="F30" s="271"/>
      <c r="G30" s="53"/>
      <c r="H30" s="53"/>
      <c r="I30" s="256"/>
    </row>
    <row r="31" spans="1:9" x14ac:dyDescent="0.2">
      <c r="A31" s="32" t="s">
        <v>818</v>
      </c>
      <c r="B31" t="s">
        <v>817</v>
      </c>
      <c r="C31" s="276">
        <f>SUM(D31:I31)</f>
        <v>2505963.96</v>
      </c>
      <c r="D31" s="20">
        <f>'DOE25'!L290+'DOE25'!L309+'DOE25'!L328+'DOE25'!L333+'DOE25'!L334+'DOE25'!L335-F31-G31-H31</f>
        <v>2273228.62</v>
      </c>
      <c r="E31" s="243"/>
      <c r="F31" s="244">
        <f>18000</f>
        <v>18000</v>
      </c>
      <c r="G31" s="53">
        <f>'DOE25'!J290+'DOE25'!J309+'DOE25'!J328+'DOE25'!J333+'DOE25'!J334+'DOE25'!J335</f>
        <v>214640.09</v>
      </c>
      <c r="H31" s="53">
        <f>'DOE25'!K290+'DOE25'!K309+'DOE25'!K328+'DOE25'!K333+'DOE25'!K334+'DOE25'!K335</f>
        <v>95.25</v>
      </c>
      <c r="I31" s="256"/>
    </row>
    <row r="32" spans="1:9" ht="12" thickBot="1" x14ac:dyDescent="0.25">
      <c r="C32" s="277"/>
      <c r="G32" s="251"/>
      <c r="H32" s="251"/>
      <c r="I32" s="258"/>
    </row>
    <row r="33" spans="1:9" ht="12" thickTop="1" x14ac:dyDescent="0.2">
      <c r="B33" t="s">
        <v>809</v>
      </c>
      <c r="D33" s="245">
        <f t="shared" ref="D33:I33" si="1">SUM(D5:D31)</f>
        <v>14137885.249999996</v>
      </c>
      <c r="E33" s="245">
        <f t="shared" si="1"/>
        <v>447932.3</v>
      </c>
      <c r="F33" s="245">
        <f t="shared" si="1"/>
        <v>768168.54</v>
      </c>
      <c r="G33" s="245">
        <f t="shared" si="1"/>
        <v>377138.3</v>
      </c>
      <c r="H33" s="245">
        <f t="shared" si="1"/>
        <v>33288.100000000006</v>
      </c>
      <c r="I33" s="245">
        <f t="shared" si="1"/>
        <v>458677.55</v>
      </c>
    </row>
    <row r="35" spans="1:9" ht="12" thickBot="1" x14ac:dyDescent="0.25">
      <c r="B35" s="251" t="s">
        <v>831</v>
      </c>
      <c r="D35" s="252">
        <f>E33</f>
        <v>447932.3</v>
      </c>
      <c r="E35" s="248"/>
    </row>
    <row r="36" spans="1:9" ht="12" thickTop="1" x14ac:dyDescent="0.2">
      <c r="B36" t="s">
        <v>810</v>
      </c>
      <c r="D36" s="20">
        <f>D33</f>
        <v>14137885.249999996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25" sqref="E2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Franklin School District</v>
      </c>
      <c r="B2" s="126">
        <f>'DOE25'!B2</f>
        <v>185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10266535</v>
      </c>
      <c r="G4" s="303">
        <f>'DOE25'!L211+'DOE25'!L290</f>
        <v>10266535</v>
      </c>
      <c r="H4" s="304">
        <f>F4-G4</f>
        <v>0</v>
      </c>
      <c r="I4" s="310" t="str">
        <f>IF(H4=0,"","Does not match DOE25 page 7 and 11 Totals!!")</f>
        <v/>
      </c>
      <c r="N4"/>
    </row>
    <row r="5" spans="1:18" x14ac:dyDescent="0.2">
      <c r="A5" s="21" t="s">
        <v>1067</v>
      </c>
      <c r="B5" s="305">
        <f>IFERROR(VLOOKUP(A5,'School Tables'!$C$3:$D$368,2,FALSE),"")</f>
        <v>20650</v>
      </c>
      <c r="C5" s="297" t="str">
        <f>IFERROR(INDEX('School Tables'!$B$3:$B$368,MATCH('School Level Expenditures'!B5,'School Tables'!$D$3:$D$368,0)),"")</f>
        <v>Franklin</v>
      </c>
      <c r="D5" s="294">
        <f>4356104.65+260.16+130.11+652.33</f>
        <v>4357147.2500000009</v>
      </c>
      <c r="E5" s="294">
        <f>971021.27-260.16-130.11-652.33</f>
        <v>969978.67</v>
      </c>
      <c r="F5" s="313">
        <f>D5+E5</f>
        <v>5327125.9200000009</v>
      </c>
      <c r="G5" s="297"/>
      <c r="H5" s="297"/>
      <c r="I5" s="126"/>
      <c r="N5"/>
    </row>
    <row r="6" spans="1:18" x14ac:dyDescent="0.2">
      <c r="A6" s="21" t="s">
        <v>1069</v>
      </c>
      <c r="B6" s="305">
        <f>IFERROR(VLOOKUP(A6,'School Tables'!$C$3:$D$368,2,FALSE),"")</f>
        <v>26755</v>
      </c>
      <c r="C6" s="297" t="str">
        <f>IFERROR(INDEX('School Tables'!$B$3:$B$368,MATCH('School Level Expenditures'!B6,'School Tables'!$D$3:$D$368,0)),"")</f>
        <v>Franklin</v>
      </c>
      <c r="D6" s="294">
        <f>4033635.17+283.04+141.55+709.71</f>
        <v>4034769.4699999997</v>
      </c>
      <c r="E6" s="294">
        <f>905773.91-283.04-141.55-709.71</f>
        <v>904639.61</v>
      </c>
      <c r="F6" s="308">
        <f t="shared" ref="F6:F20" si="0">D6+E6</f>
        <v>4939409.08</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5081433.6499999994</v>
      </c>
      <c r="G36" s="303">
        <f>'DOE25'!L247+'DOE25'!L328</f>
        <v>5081433.6499999985</v>
      </c>
      <c r="H36" s="304">
        <f>F36-G36</f>
        <v>0</v>
      </c>
      <c r="I36" s="310" t="str">
        <f>IF(H36=0,"","Does not match DOE25 page 9 and 13 Totals!!")</f>
        <v/>
      </c>
      <c r="N36"/>
    </row>
    <row r="37" spans="1:14" x14ac:dyDescent="0.2">
      <c r="A37" s="21" t="s">
        <v>1068</v>
      </c>
      <c r="B37" s="305">
        <f>IFERROR(VLOOKUP(A37,'School Tables'!$O$3:$P$122,2,FALSE),"")</f>
        <v>20660</v>
      </c>
      <c r="C37" s="297" t="str">
        <f t="array" ref="C37">IFERROR(INDEX('School Tables'!$N$3:$N$122,MATCH('School Level Expenditures'!B37,'School Tables'!$P$3:$P$122,0)),"")</f>
        <v>Franklin</v>
      </c>
      <c r="D37" s="294">
        <f>4482098.17+256.8+2150+1350+6500+529.86+128.43+122.96+643.91</f>
        <v>4493780.13</v>
      </c>
      <c r="E37" s="294">
        <f>599335.48-256.8-2150-1350-6500-529.86-128.43-122.96-643.91</f>
        <v>587653.5199999999</v>
      </c>
      <c r="F37" s="308">
        <f>D37+E37</f>
        <v>5081433.6499999994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L37" sqref="L3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Franklin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113497.58</v>
      </c>
      <c r="D8" s="95">
        <f>'DOE25'!G9</f>
        <v>87071.21</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1054935.43</v>
      </c>
      <c r="D12" s="95">
        <f>'DOE25'!G13</f>
        <v>31223.63</v>
      </c>
      <c r="E12" s="95">
        <f>'DOE25'!H13</f>
        <v>585689.06999999995</v>
      </c>
      <c r="F12" s="95">
        <f>'DOE25'!I13</f>
        <v>0</v>
      </c>
      <c r="G12" s="95">
        <f>'DOE25'!J13</f>
        <v>0</v>
      </c>
      <c r="H12" s="124"/>
      <c r="I12" s="124"/>
    </row>
    <row r="13" spans="1:9" x14ac:dyDescent="0.2">
      <c r="A13" s="1" t="s">
        <v>144</v>
      </c>
      <c r="B13" s="6">
        <v>150</v>
      </c>
      <c r="C13" s="95">
        <f>'DOE25'!F14</f>
        <v>1897.64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27705.48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1170330.6499999999</v>
      </c>
      <c r="D18" s="41">
        <f>SUM(D8:D17)</f>
        <v>146000.32000000001</v>
      </c>
      <c r="E18" s="41">
        <f>SUM(E8:E17)</f>
        <v>585689.06999999995</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-346295.89</v>
      </c>
      <c r="D21" s="95">
        <f>'DOE25'!G22</f>
        <v>137227.07</v>
      </c>
      <c r="E21" s="95">
        <f>'DOE25'!H22</f>
        <v>389800.95000000007</v>
      </c>
      <c r="F21" s="95">
        <f>'DOE25'!I22</f>
        <v>-180601.1</v>
      </c>
      <c r="G21" s="95">
        <f>'DOE25'!J22</f>
        <v>0</v>
      </c>
      <c r="H21" s="124"/>
      <c r="I21" s="124"/>
    </row>
    <row r="22" spans="1:9" x14ac:dyDescent="0.2">
      <c r="A22" s="1" t="s">
        <v>151</v>
      </c>
      <c r="B22" s="6">
        <v>410</v>
      </c>
      <c r="C22" s="95">
        <f>'DOE25'!F23</f>
        <v>962.55</v>
      </c>
      <c r="D22" s="95">
        <f>'DOE25'!G23</f>
        <v>0</v>
      </c>
      <c r="E22" s="95">
        <f>'DOE25'!H23</f>
        <v>0</v>
      </c>
      <c r="F22" s="95">
        <f>'DOE25'!I23</f>
        <v>22500</v>
      </c>
      <c r="G22" s="95">
        <f>'DOE25'!J23</f>
        <v>0</v>
      </c>
      <c r="H22" s="124"/>
      <c r="I22" s="124"/>
    </row>
    <row r="23" spans="1:9" x14ac:dyDescent="0.2">
      <c r="A23" s="1" t="s">
        <v>152</v>
      </c>
      <c r="B23" s="6">
        <v>420</v>
      </c>
      <c r="C23" s="95">
        <f>'DOE25'!F24</f>
        <v>263641.81</v>
      </c>
      <c r="D23" s="95">
        <f>'DOE25'!G24</f>
        <v>3657.12</v>
      </c>
      <c r="E23" s="95">
        <f>'DOE25'!H24</f>
        <v>50170.879999999997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-22491.16</v>
      </c>
      <c r="D27" s="95">
        <f>'DOE25'!G28</f>
        <v>0</v>
      </c>
      <c r="E27" s="95">
        <f>'DOE25'!H28</f>
        <v>0</v>
      </c>
      <c r="F27" s="95">
        <f>'DOE25'!I28</f>
        <v>0</v>
      </c>
      <c r="G27" s="24" t="s">
        <v>288</v>
      </c>
      <c r="H27" s="124"/>
      <c r="I27" s="124"/>
    </row>
    <row r="28" spans="1:9" x14ac:dyDescent="0.2">
      <c r="A28" s="1" t="s">
        <v>157</v>
      </c>
      <c r="B28" s="6">
        <v>470</v>
      </c>
      <c r="C28" s="95">
        <f>'DOE25'!F29</f>
        <v>-97.1</v>
      </c>
      <c r="D28" s="95">
        <f>'DOE25'!G29</f>
        <v>0</v>
      </c>
      <c r="E28" s="95">
        <f>'DOE25'!H29</f>
        <v>0</v>
      </c>
      <c r="F28" s="95">
        <f>'DOE25'!I29</f>
        <v>0</v>
      </c>
      <c r="G28" s="24" t="s">
        <v>288</v>
      </c>
      <c r="H28" s="124"/>
      <c r="I28" s="124"/>
    </row>
    <row r="29" spans="1:9" x14ac:dyDescent="0.2">
      <c r="A29" s="1" t="s">
        <v>158</v>
      </c>
      <c r="B29" s="6">
        <v>480</v>
      </c>
      <c r="C29" s="95">
        <f>'DOE25'!F30</f>
        <v>0</v>
      </c>
      <c r="D29" s="95">
        <f>'DOE25'!G30</f>
        <v>5116.13</v>
      </c>
      <c r="E29" s="95">
        <f>'DOE25'!H30</f>
        <v>6070.93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-104279.79000000004</v>
      </c>
      <c r="D31" s="41">
        <f>SUM(D21:D30)</f>
        <v>146000.32000000001</v>
      </c>
      <c r="E31" s="41">
        <f>SUM(E21:E30)</f>
        <v>446042.76000000007</v>
      </c>
      <c r="F31" s="41">
        <f>SUM(F21:F30)</f>
        <v>-158101.1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34280.239999999998</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1031751</v>
      </c>
      <c r="D47" s="95">
        <f>'DOE25'!G48</f>
        <v>0</v>
      </c>
      <c r="E47" s="95">
        <f>'DOE25'!H48</f>
        <v>139646.31000000003</v>
      </c>
      <c r="F47" s="95">
        <f>'DOE25'!I48</f>
        <v>158101.1</v>
      </c>
      <c r="G47" s="95">
        <f>'DOE25'!J48</f>
        <v>0</v>
      </c>
      <c r="H47" s="124"/>
      <c r="I47" s="124"/>
    </row>
    <row r="48" spans="1:9" x14ac:dyDescent="0.2">
      <c r="A48" s="1" t="s">
        <v>882</v>
      </c>
      <c r="B48" s="6">
        <v>753</v>
      </c>
      <c r="C48" s="95">
        <f>'DOE25'!F49</f>
        <v>208579.20000000001</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1274610.44</v>
      </c>
      <c r="D50" s="41">
        <f>SUM(D34:D49)</f>
        <v>0</v>
      </c>
      <c r="E50" s="41">
        <f>SUM(E34:E49)</f>
        <v>139646.31000000003</v>
      </c>
      <c r="F50" s="41">
        <f>SUM(F34:F49)</f>
        <v>158101.1</v>
      </c>
      <c r="G50" s="41">
        <f>SUM(G34:G49)</f>
        <v>0</v>
      </c>
      <c r="H50" s="124"/>
      <c r="I50" s="124"/>
    </row>
    <row r="51" spans="1:9" ht="12" thickTop="1" x14ac:dyDescent="0.2">
      <c r="A51" s="38" t="s">
        <v>885</v>
      </c>
      <c r="B51" s="2"/>
      <c r="C51" s="41">
        <f>C50+C31</f>
        <v>1170330.6499999999</v>
      </c>
      <c r="D51" s="41">
        <f>D50+D31</f>
        <v>146000.32000000001</v>
      </c>
      <c r="E51" s="41">
        <f>E50+E31</f>
        <v>585689.07000000007</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4257639</v>
      </c>
      <c r="D56" s="95">
        <f>'DOE25'!G60</f>
        <v>0</v>
      </c>
      <c r="E56" s="95">
        <f>'DOE25'!H60</f>
        <v>0</v>
      </c>
      <c r="F56" s="95">
        <f>'DOE25'!I60</f>
        <v>0</v>
      </c>
      <c r="G56" s="95">
        <f>'DOE25'!J60</f>
        <v>0</v>
      </c>
      <c r="H56"/>
      <c r="I56"/>
    </row>
    <row r="57" spans="1:9" x14ac:dyDescent="0.2">
      <c r="A57" s="1" t="s">
        <v>164</v>
      </c>
      <c r="B57" s="6" t="s">
        <v>165</v>
      </c>
      <c r="C57" s="95">
        <f>'DOE25'!F79</f>
        <v>33831.25</v>
      </c>
      <c r="D57" s="24" t="s">
        <v>288</v>
      </c>
      <c r="E57" s="95">
        <f>'DOE25'!H79</f>
        <v>925</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20266.43</v>
      </c>
      <c r="D59" s="95">
        <f>'DOE25'!G96</f>
        <v>93.77</v>
      </c>
      <c r="E59" s="95">
        <f>'DOE25'!H96</f>
        <v>0</v>
      </c>
      <c r="F59" s="95">
        <f>'DOE25'!I96</f>
        <v>0</v>
      </c>
      <c r="G59" s="95">
        <f>'DOE25'!J96</f>
        <v>0</v>
      </c>
      <c r="H59"/>
      <c r="I59"/>
    </row>
    <row r="60" spans="1:9" x14ac:dyDescent="0.2">
      <c r="A60" s="1" t="s">
        <v>170</v>
      </c>
      <c r="B60" s="118" t="s">
        <v>171</v>
      </c>
      <c r="C60" s="24" t="s">
        <v>288</v>
      </c>
      <c r="D60" s="95">
        <f>'DOE25'!G97</f>
        <v>127019.48999999998</v>
      </c>
      <c r="E60" s="24" t="s">
        <v>288</v>
      </c>
      <c r="F60" s="24" t="s">
        <v>288</v>
      </c>
      <c r="G60" s="24" t="s">
        <v>288</v>
      </c>
      <c r="H60"/>
      <c r="I60"/>
    </row>
    <row r="61" spans="1:9" ht="12" thickBot="1" x14ac:dyDescent="0.25">
      <c r="A61" s="1" t="s">
        <v>172</v>
      </c>
      <c r="B61" s="118" t="s">
        <v>173</v>
      </c>
      <c r="C61" s="95">
        <f>SUM('DOE25'!F98:F110)</f>
        <v>366477.13000000006</v>
      </c>
      <c r="D61" s="95">
        <f>SUM('DOE25'!G98:G110)</f>
        <v>0</v>
      </c>
      <c r="E61" s="95">
        <f>SUM('DOE25'!H98:H110)</f>
        <v>22785.18</v>
      </c>
      <c r="F61" s="95">
        <f>SUM('DOE25'!I98:I110)</f>
        <v>0</v>
      </c>
      <c r="G61" s="95">
        <f>SUM('DOE25'!J98:J110)</f>
        <v>0</v>
      </c>
      <c r="H61"/>
      <c r="I61"/>
    </row>
    <row r="62" spans="1:9" ht="12.75" thickTop="1" thickBot="1" x14ac:dyDescent="0.25">
      <c r="A62" s="29" t="s">
        <v>174</v>
      </c>
      <c r="B62" s="6"/>
      <c r="C62" s="130">
        <f>SUM(C57:C61)</f>
        <v>420574.81000000006</v>
      </c>
      <c r="D62" s="130">
        <f>SUM(D57:D61)</f>
        <v>127113.25999999998</v>
      </c>
      <c r="E62" s="130">
        <f>SUM(E57:E61)</f>
        <v>23710.18</v>
      </c>
      <c r="F62" s="130">
        <f>SUM(F57:F61)</f>
        <v>0</v>
      </c>
      <c r="G62" s="130">
        <f>SUM(G57:G61)</f>
        <v>0</v>
      </c>
      <c r="H62"/>
      <c r="I62"/>
    </row>
    <row r="63" spans="1:9" ht="12" thickTop="1" x14ac:dyDescent="0.2">
      <c r="A63" s="29" t="s">
        <v>175</v>
      </c>
      <c r="B63" s="6"/>
      <c r="C63" s="22">
        <f>C56+C62</f>
        <v>4678213.8100000005</v>
      </c>
      <c r="D63" s="22">
        <f>D56+D62</f>
        <v>127113.25999999998</v>
      </c>
      <c r="E63" s="22">
        <f>E56+E62</f>
        <v>23710.18</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7080826.2699999996</v>
      </c>
      <c r="D66" s="24" t="s">
        <v>288</v>
      </c>
      <c r="E66" s="24" t="s">
        <v>288</v>
      </c>
      <c r="F66" s="24" t="s">
        <v>288</v>
      </c>
      <c r="G66" s="24" t="s">
        <v>288</v>
      </c>
      <c r="H66"/>
      <c r="I66"/>
    </row>
    <row r="67" spans="1:9" x14ac:dyDescent="0.2">
      <c r="A67" s="1" t="s">
        <v>770</v>
      </c>
      <c r="B67" s="6">
        <v>3112</v>
      </c>
      <c r="C67" s="95">
        <f>'DOE25'!F118</f>
        <v>1178555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25804.15</v>
      </c>
      <c r="D69" s="95">
        <f>'DOE25'!G120</f>
        <v>0</v>
      </c>
      <c r="E69" s="95">
        <f>'DOE25'!H120</f>
        <v>0</v>
      </c>
      <c r="F69" s="95">
        <f>'DOE25'!I120</f>
        <v>0</v>
      </c>
      <c r="G69" s="95">
        <f>'DOE25'!J120</f>
        <v>0</v>
      </c>
      <c r="H69"/>
      <c r="I69"/>
    </row>
    <row r="70" spans="1:9" ht="12" thickTop="1" x14ac:dyDescent="0.2">
      <c r="A70" s="29" t="s">
        <v>252</v>
      </c>
      <c r="B70" s="2"/>
      <c r="C70" s="139">
        <f>SUM(C66:C69)</f>
        <v>8285185.4199999999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181944.16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66447.59</v>
      </c>
      <c r="D74" s="24"/>
      <c r="E74" s="24"/>
      <c r="F74" s="24"/>
      <c r="G74" s="24"/>
      <c r="H74"/>
      <c r="I74"/>
    </row>
    <row r="75" spans="1:9" x14ac:dyDescent="0.2">
      <c r="A75" s="1" t="s">
        <v>256</v>
      </c>
      <c r="B75" s="6">
        <v>3230</v>
      </c>
      <c r="C75" s="95">
        <f>'DOE25'!F126</f>
        <v>52651.7</v>
      </c>
      <c r="D75" s="24" t="s">
        <v>288</v>
      </c>
      <c r="E75" s="24" t="s">
        <v>288</v>
      </c>
      <c r="F75" s="24" t="s">
        <v>288</v>
      </c>
      <c r="G75" s="24" t="s">
        <v>288</v>
      </c>
      <c r="H75"/>
      <c r="I75"/>
    </row>
    <row r="76" spans="1:9" x14ac:dyDescent="0.2">
      <c r="A76" s="1" t="s">
        <v>257</v>
      </c>
      <c r="B76" s="6" t="s">
        <v>179</v>
      </c>
      <c r="C76" s="95">
        <f>SUM('DOE25'!F127:F130)</f>
        <v>8914.1</v>
      </c>
      <c r="D76" s="24" t="s">
        <v>288</v>
      </c>
      <c r="E76" s="95">
        <f>SUM('DOE25'!H127:H130)</f>
        <v>4278.17</v>
      </c>
      <c r="F76" s="95">
        <f>SUM('DOE25'!I127:I130)</f>
        <v>0</v>
      </c>
      <c r="G76" s="24" t="s">
        <v>288</v>
      </c>
      <c r="H76"/>
      <c r="I76"/>
    </row>
    <row r="77" spans="1:9" ht="12" thickBot="1" x14ac:dyDescent="0.25">
      <c r="A77" s="1" t="s">
        <v>258</v>
      </c>
      <c r="B77" s="6" t="s">
        <v>180</v>
      </c>
      <c r="C77" s="95">
        <f>SUM('DOE25'!F131:F135)</f>
        <v>0</v>
      </c>
      <c r="D77" s="95">
        <f>SUM('DOE25'!G131:G135)</f>
        <v>7761.59</v>
      </c>
      <c r="E77" s="95">
        <f>SUM('DOE25'!H131:H135)</f>
        <v>353477.41</v>
      </c>
      <c r="F77" s="95">
        <f>SUM('DOE25'!I131:I135)</f>
        <v>0</v>
      </c>
      <c r="G77" s="95">
        <f>SUM('DOE25'!J131:J135)</f>
        <v>0</v>
      </c>
      <c r="H77"/>
      <c r="I77"/>
    </row>
    <row r="78" spans="1:9" ht="12.75" thickTop="1" thickBot="1" x14ac:dyDescent="0.25">
      <c r="A78" s="29" t="s">
        <v>259</v>
      </c>
      <c r="B78" s="6"/>
      <c r="C78" s="130">
        <f>SUM(C72:C77)</f>
        <v>309957.55</v>
      </c>
      <c r="D78" s="130">
        <f>SUM(D72:D77)</f>
        <v>7761.59</v>
      </c>
      <c r="E78" s="130">
        <f>SUM(E72:E77)</f>
        <v>357755.57999999996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8595142.9700000007</v>
      </c>
      <c r="D81" s="130">
        <f>SUM(D79:D80)+D78+D70</f>
        <v>7761.59</v>
      </c>
      <c r="E81" s="130">
        <f>SUM(E79:E80)+E78+E70</f>
        <v>357755.57999999996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385481.16000000003</v>
      </c>
      <c r="D88" s="95">
        <f>SUM('DOE25'!G153:G161)</f>
        <v>382571.23</v>
      </c>
      <c r="E88" s="95">
        <f>SUM('DOE25'!H153:H161)</f>
        <v>2163295.5499999998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385481.16000000003</v>
      </c>
      <c r="D91" s="131">
        <f>SUM(D85:D90)</f>
        <v>382571.23</v>
      </c>
      <c r="E91" s="131">
        <f>SUM(E85:E90)</f>
        <v>2163295.5499999998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2000000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28353.81</v>
      </c>
      <c r="E96" s="95">
        <f>'DOE25'!H179</f>
        <v>33585.230000000003</v>
      </c>
      <c r="F96" s="95">
        <f>'DOE25'!I179</f>
        <v>0</v>
      </c>
      <c r="G96" s="95">
        <f>'DOE25'!J179</f>
        <v>0</v>
      </c>
    </row>
    <row r="97" spans="1:7" x14ac:dyDescent="0.2">
      <c r="A97" t="s">
        <v>754</v>
      </c>
      <c r="B97" s="32" t="s">
        <v>188</v>
      </c>
      <c r="C97" s="95">
        <f>SUM('DOE25'!F180:F181)</f>
        <v>68399.44</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192041</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260440.44</v>
      </c>
      <c r="D103" s="86">
        <f>SUM(D93:D102)</f>
        <v>28353.81</v>
      </c>
      <c r="E103" s="86">
        <f>SUM(E93:E102)</f>
        <v>33585.230000000003</v>
      </c>
      <c r="F103" s="86">
        <f>SUM(F93:F102)</f>
        <v>2000000</v>
      </c>
      <c r="G103" s="86">
        <f>SUM(G93:G102)</f>
        <v>0</v>
      </c>
    </row>
    <row r="104" spans="1:7" ht="12.75" thickTop="1" thickBot="1" x14ac:dyDescent="0.25">
      <c r="A104" s="33" t="s">
        <v>761</v>
      </c>
      <c r="C104" s="86">
        <f>C63+C81+C91+C103</f>
        <v>13919278.380000001</v>
      </c>
      <c r="D104" s="86">
        <f>D63+D81+D91+D103</f>
        <v>545799.89</v>
      </c>
      <c r="E104" s="86">
        <f>E63+E81+E91+E103</f>
        <v>2578346.5399999996</v>
      </c>
      <c r="F104" s="86">
        <f>F63+F81+F91+F103</f>
        <v>2000000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4590464.8900000006</v>
      </c>
      <c r="D109" s="24" t="s">
        <v>288</v>
      </c>
      <c r="E109" s="95">
        <f>('DOE25'!L276)+('DOE25'!L295)+('DOE25'!L314)</f>
        <v>724220.20000000007</v>
      </c>
      <c r="F109" s="24" t="s">
        <v>288</v>
      </c>
      <c r="G109" s="24" t="s">
        <v>288</v>
      </c>
    </row>
    <row r="110" spans="1:7" x14ac:dyDescent="0.2">
      <c r="A110" t="s">
        <v>198</v>
      </c>
      <c r="B110" s="32" t="s">
        <v>199</v>
      </c>
      <c r="C110" s="95">
        <f>('DOE25'!L198)+('DOE25'!L216)+('DOE25'!L234)</f>
        <v>2824660.8000000003</v>
      </c>
      <c r="D110" s="24" t="s">
        <v>288</v>
      </c>
      <c r="E110" s="95">
        <f>('DOE25'!L277)+('DOE25'!L296)+('DOE25'!L315)</f>
        <v>385966.31</v>
      </c>
      <c r="F110" s="24" t="s">
        <v>288</v>
      </c>
      <c r="G110" s="24" t="s">
        <v>288</v>
      </c>
    </row>
    <row r="111" spans="1:7" x14ac:dyDescent="0.2">
      <c r="A111" t="s">
        <v>200</v>
      </c>
      <c r="B111" s="32" t="s">
        <v>165</v>
      </c>
      <c r="C111" s="95">
        <f>('DOE25'!L199)+('DOE25'!L217)+('DOE25'!L235)</f>
        <v>53417.08</v>
      </c>
      <c r="D111" s="24" t="s">
        <v>288</v>
      </c>
      <c r="E111" s="95">
        <f>('DOE25'!L278)+('DOE25'!L297)+('DOE25'!L316)</f>
        <v>0</v>
      </c>
      <c r="F111" s="24" t="s">
        <v>288</v>
      </c>
      <c r="G111" s="24" t="s">
        <v>288</v>
      </c>
    </row>
    <row r="112" spans="1:7" x14ac:dyDescent="0.2">
      <c r="A112" t="s">
        <v>201</v>
      </c>
      <c r="B112" s="32" t="s">
        <v>167</v>
      </c>
      <c r="C112" s="95">
        <f>('DOE25'!L200)+('DOE25'!L218)+('DOE25'!L236)</f>
        <v>237587.51</v>
      </c>
      <c r="D112" s="24" t="s">
        <v>288</v>
      </c>
      <c r="E112" s="95">
        <f>+('DOE25'!L279)+('DOE25'!L298)+('DOE25'!L317)</f>
        <v>42145.85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21298.12</v>
      </c>
      <c r="D114" s="24" t="s">
        <v>288</v>
      </c>
      <c r="E114" s="95">
        <f>+ SUM('DOE25'!L333:L335)</f>
        <v>29833.3</v>
      </c>
      <c r="F114" s="24" t="s">
        <v>288</v>
      </c>
      <c r="G114" s="24" t="s">
        <v>288</v>
      </c>
    </row>
    <row r="115" spans="1:7" ht="12.75" thickTop="1" thickBot="1" x14ac:dyDescent="0.25">
      <c r="A115" s="33" t="s">
        <v>205</v>
      </c>
      <c r="C115" s="86">
        <f>SUM(C109:C114)</f>
        <v>7727428.4000000013</v>
      </c>
      <c r="D115" s="86">
        <f>SUM(D109:D114)</f>
        <v>0</v>
      </c>
      <c r="E115" s="86">
        <f>SUM(E109:E114)</f>
        <v>1182165.6600000001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1586866.83</v>
      </c>
      <c r="D118" s="24" t="s">
        <v>288</v>
      </c>
      <c r="E118" s="95">
        <f>+('DOE25'!L281)+('DOE25'!L300)+('DOE25'!L319)</f>
        <v>280222.95</v>
      </c>
      <c r="F118" s="24" t="s">
        <v>288</v>
      </c>
      <c r="G118" s="24" t="s">
        <v>288</v>
      </c>
    </row>
    <row r="119" spans="1:7" x14ac:dyDescent="0.2">
      <c r="A119" t="s">
        <v>208</v>
      </c>
      <c r="B119" s="32" t="s">
        <v>209</v>
      </c>
      <c r="C119" s="95">
        <f>('DOE25'!L203)+('DOE25'!L221)+('DOE25'!L239)</f>
        <v>334770.36</v>
      </c>
      <c r="D119" s="24" t="s">
        <v>288</v>
      </c>
      <c r="E119" s="95">
        <f>+('DOE25'!L282)+('DOE25'!L301)+('DOE25'!L320)</f>
        <v>164886.03</v>
      </c>
      <c r="F119" s="24" t="s">
        <v>288</v>
      </c>
      <c r="G119" s="24" t="s">
        <v>288</v>
      </c>
    </row>
    <row r="120" spans="1:7" x14ac:dyDescent="0.2">
      <c r="A120" t="s">
        <v>210</v>
      </c>
      <c r="B120" s="32" t="s">
        <v>211</v>
      </c>
      <c r="C120" s="95">
        <f>('DOE25'!L204)+('DOE25'!L222)+('DOE25'!L240)</f>
        <v>343693.69999999995</v>
      </c>
      <c r="D120" s="24" t="s">
        <v>288</v>
      </c>
      <c r="E120" s="95">
        <f>+('DOE25'!L283)+('DOE25'!L302)+('DOE25'!L321)</f>
        <v>688231.47</v>
      </c>
      <c r="F120" s="24" t="s">
        <v>288</v>
      </c>
      <c r="G120" s="24" t="s">
        <v>288</v>
      </c>
    </row>
    <row r="121" spans="1:7" x14ac:dyDescent="0.2">
      <c r="A121" t="s">
        <v>212</v>
      </c>
      <c r="B121" s="32" t="s">
        <v>213</v>
      </c>
      <c r="C121" s="95">
        <f>('DOE25'!L205)+('DOE25'!L223)+('DOE25'!L241)</f>
        <v>766842.09</v>
      </c>
      <c r="D121" s="24" t="s">
        <v>288</v>
      </c>
      <c r="E121" s="95">
        <f>+('DOE25'!L284)+('DOE25'!L303)+('DOE25'!L322)</f>
        <v>9018.49</v>
      </c>
      <c r="F121" s="24" t="s">
        <v>288</v>
      </c>
      <c r="G121" s="24" t="s">
        <v>288</v>
      </c>
    </row>
    <row r="122" spans="1:7" x14ac:dyDescent="0.2">
      <c r="A122" t="s">
        <v>214</v>
      </c>
      <c r="B122" s="32" t="s">
        <v>215</v>
      </c>
      <c r="C122" s="95">
        <f>('DOE25'!L206)+('DOE25'!L224)+('DOE25'!L242)</f>
        <v>250681.14</v>
      </c>
      <c r="D122" s="24" t="s">
        <v>288</v>
      </c>
      <c r="E122" s="95">
        <f>+('DOE25'!L285)+('DOE25'!L304)+('DOE25'!L323)</f>
        <v>0</v>
      </c>
      <c r="F122" s="24" t="s">
        <v>288</v>
      </c>
      <c r="G122" s="24" t="s">
        <v>288</v>
      </c>
    </row>
    <row r="123" spans="1:7" x14ac:dyDescent="0.2">
      <c r="A123" t="s">
        <v>216</v>
      </c>
      <c r="B123" s="32" t="s">
        <v>217</v>
      </c>
      <c r="C123" s="95">
        <f>('DOE25'!L207)+('DOE25'!L225)+('DOE25'!L243)</f>
        <v>1097488.1200000001</v>
      </c>
      <c r="D123" s="24" t="s">
        <v>288</v>
      </c>
      <c r="E123" s="95">
        <f>+('DOE25'!L286)+('DOE25'!L305)+('DOE25'!L324)</f>
        <v>169625.91</v>
      </c>
      <c r="F123" s="24" t="s">
        <v>288</v>
      </c>
      <c r="G123" s="24" t="s">
        <v>288</v>
      </c>
    </row>
    <row r="124" spans="1:7" x14ac:dyDescent="0.2">
      <c r="A124" t="s">
        <v>218</v>
      </c>
      <c r="B124" s="32" t="s">
        <v>219</v>
      </c>
      <c r="C124" s="95">
        <f>('DOE25'!L208)+('DOE25'!L226)+('DOE25'!L244+'DOE25'!L254)</f>
        <v>644506.92999999993</v>
      </c>
      <c r="D124" s="24" t="s">
        <v>288</v>
      </c>
      <c r="E124" s="95">
        <f>+('DOE25'!L287)+('DOE25'!L306)+('DOE25'!L325)</f>
        <v>11813.45</v>
      </c>
      <c r="F124" s="24" t="s">
        <v>288</v>
      </c>
      <c r="G124" s="24" t="s">
        <v>288</v>
      </c>
    </row>
    <row r="125" spans="1:7" x14ac:dyDescent="0.2">
      <c r="A125" t="s">
        <v>220</v>
      </c>
      <c r="B125" s="32" t="s">
        <v>221</v>
      </c>
      <c r="C125" s="95">
        <f>('DOE25'!L209)+('DOE25'!L227)+('DOE25'!L245)</f>
        <v>140858.53999999998</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563163.79000000015</v>
      </c>
      <c r="E127" s="24" t="s">
        <v>288</v>
      </c>
      <c r="F127" s="24" t="s">
        <v>288</v>
      </c>
      <c r="G127" s="24" t="s">
        <v>288</v>
      </c>
    </row>
    <row r="128" spans="1:7" ht="12.75" thickTop="1" thickBot="1" x14ac:dyDescent="0.25">
      <c r="A128" s="33" t="s">
        <v>226</v>
      </c>
      <c r="C128" s="86">
        <f>SUM(C118:C127)</f>
        <v>5165707.71</v>
      </c>
      <c r="D128" s="86">
        <f>SUM(D118:D127)</f>
        <v>563163.79000000015</v>
      </c>
      <c r="E128" s="86">
        <f>SUM(E118:E127)</f>
        <v>1323798.2999999998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1841898.9</v>
      </c>
      <c r="G130" s="24" t="s">
        <v>288</v>
      </c>
    </row>
    <row r="131" spans="1:7" x14ac:dyDescent="0.2">
      <c r="A131" t="s">
        <v>229</v>
      </c>
      <c r="B131" s="32">
        <v>5110</v>
      </c>
      <c r="C131" s="95">
        <f>'DOE25'!L260</f>
        <v>392105.26</v>
      </c>
      <c r="D131" s="24" t="s">
        <v>288</v>
      </c>
      <c r="E131" s="129">
        <f>'DOE25'!L341</f>
        <v>0</v>
      </c>
      <c r="F131" s="24" t="s">
        <v>288</v>
      </c>
      <c r="G131" s="24" t="s">
        <v>288</v>
      </c>
    </row>
    <row r="132" spans="1:7" x14ac:dyDescent="0.2">
      <c r="A132" t="s">
        <v>230</v>
      </c>
      <c r="B132" s="32">
        <v>5120</v>
      </c>
      <c r="C132" s="95">
        <f>'DOE25'!L261</f>
        <v>66572.289999999994</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68399.44</v>
      </c>
      <c r="F134" s="95">
        <f>'DOE25'!K381</f>
        <v>0</v>
      </c>
      <c r="G134" s="95">
        <f>'DOE25'!K434</f>
        <v>0</v>
      </c>
    </row>
    <row r="135" spans="1:7" x14ac:dyDescent="0.2">
      <c r="A135" t="s">
        <v>233</v>
      </c>
      <c r="B135" s="32" t="s">
        <v>234</v>
      </c>
      <c r="C135" s="95">
        <f>'DOE25'!L263</f>
        <v>28353.81</v>
      </c>
      <c r="D135" s="24" t="s">
        <v>288</v>
      </c>
      <c r="E135" s="129">
        <f>'DOE25'!L345</f>
        <v>0</v>
      </c>
      <c r="F135" s="24" t="s">
        <v>288</v>
      </c>
      <c r="G135" s="24" t="s">
        <v>288</v>
      </c>
    </row>
    <row r="136" spans="1:7" x14ac:dyDescent="0.2">
      <c r="A136" t="s">
        <v>235</v>
      </c>
      <c r="B136" s="32" t="s">
        <v>236</v>
      </c>
      <c r="C136" s="95">
        <f>'DOE25'!L264</f>
        <v>33585.230000000003</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520616.58999999997</v>
      </c>
      <c r="D144" s="141">
        <f>SUM(D130:D143)</f>
        <v>0</v>
      </c>
      <c r="E144" s="141">
        <f>SUM(E130:E143)</f>
        <v>68399.44</v>
      </c>
      <c r="F144" s="141">
        <f>SUM(F130:F143)</f>
        <v>1841898.9</v>
      </c>
      <c r="G144" s="141">
        <f>SUM(G130:G143)</f>
        <v>0</v>
      </c>
    </row>
    <row r="145" spans="1:9" ht="12.75" thickTop="1" thickBot="1" x14ac:dyDescent="0.25">
      <c r="A145" s="33" t="s">
        <v>244</v>
      </c>
      <c r="C145" s="86">
        <f>(C115+C128+C144)</f>
        <v>13413752.700000001</v>
      </c>
      <c r="D145" s="86">
        <f>(D115+D128+D144)</f>
        <v>563163.79000000015</v>
      </c>
      <c r="E145" s="86">
        <f>(E115+E128+E144)</f>
        <v>2574363.4</v>
      </c>
      <c r="F145" s="86">
        <f>(F115+F128+F144)</f>
        <v>1841898.9</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20</v>
      </c>
      <c r="D151" s="153">
        <f>'DOE25'!H490</f>
        <v>20</v>
      </c>
      <c r="E151" s="153">
        <f>'DOE25'!I490</f>
        <v>0</v>
      </c>
      <c r="F151" s="153">
        <f>'DOE25'!J490</f>
        <v>0</v>
      </c>
      <c r="G151" s="24" t="s">
        <v>288</v>
      </c>
    </row>
    <row r="152" spans="1:9" x14ac:dyDescent="0.2">
      <c r="A152" s="136" t="s">
        <v>28</v>
      </c>
      <c r="B152" s="152" t="str">
        <f>'DOE25'!F491</f>
        <v>8/99</v>
      </c>
      <c r="C152" s="152" t="str">
        <f>'DOE25'!G491</f>
        <v>05/06</v>
      </c>
      <c r="D152" s="152" t="str">
        <f>'DOE25'!H491</f>
        <v>08/19</v>
      </c>
      <c r="E152" s="152">
        <f>'DOE25'!I491</f>
        <v>0</v>
      </c>
      <c r="F152" s="152">
        <f>'DOE25'!J491</f>
        <v>0</v>
      </c>
      <c r="G152" s="24" t="s">
        <v>288</v>
      </c>
    </row>
    <row r="153" spans="1:9" x14ac:dyDescent="0.2">
      <c r="A153" s="136" t="s">
        <v>29</v>
      </c>
      <c r="B153" s="152" t="str">
        <f>'DOE25'!F492</f>
        <v>8/19</v>
      </c>
      <c r="C153" s="152" t="str">
        <f>'DOE25'!G492</f>
        <v>05/26</v>
      </c>
      <c r="D153" s="152" t="str">
        <f>'DOE25'!H492</f>
        <v>08/39</v>
      </c>
      <c r="E153" s="152">
        <f>'DOE25'!I492</f>
        <v>0</v>
      </c>
      <c r="F153" s="152">
        <f>'DOE25'!J492</f>
        <v>0</v>
      </c>
      <c r="G153" s="24" t="s">
        <v>288</v>
      </c>
    </row>
    <row r="154" spans="1:9" x14ac:dyDescent="0.2">
      <c r="A154" s="136" t="s">
        <v>30</v>
      </c>
      <c r="B154" s="137">
        <f>'DOE25'!F493</f>
        <v>5010376</v>
      </c>
      <c r="C154" s="137">
        <f>'DOE25'!G493</f>
        <v>2700000</v>
      </c>
      <c r="D154" s="137">
        <f>'DOE25'!H493</f>
        <v>0</v>
      </c>
      <c r="E154" s="137">
        <f>'DOE25'!I493</f>
        <v>0</v>
      </c>
      <c r="F154" s="137">
        <f>'DOE25'!J493</f>
        <v>0</v>
      </c>
      <c r="G154" s="24" t="s">
        <v>288</v>
      </c>
    </row>
    <row r="155" spans="1:9" x14ac:dyDescent="0.2">
      <c r="A155" s="136" t="s">
        <v>31</v>
      </c>
      <c r="B155" s="137">
        <f>'DOE25'!F494</f>
        <v>5.2</v>
      </c>
      <c r="C155" s="137">
        <f>'DOE25'!G494</f>
        <v>4.26</v>
      </c>
      <c r="D155" s="137">
        <f>'DOE25'!H494</f>
        <v>3.5489999999999999</v>
      </c>
      <c r="E155" s="137">
        <f>'DOE25'!I494</f>
        <v>0</v>
      </c>
      <c r="F155" s="137">
        <f>'DOE25'!J494</f>
        <v>0</v>
      </c>
      <c r="G155" s="24" t="s">
        <v>288</v>
      </c>
    </row>
    <row r="156" spans="1:9" x14ac:dyDescent="0.2">
      <c r="A156" s="22" t="s">
        <v>32</v>
      </c>
      <c r="B156" s="137">
        <f>'DOE25'!F495</f>
        <v>500000</v>
      </c>
      <c r="C156" s="137">
        <f>'DOE25'!G495</f>
        <v>1296657.19</v>
      </c>
      <c r="D156" s="137">
        <f>'DOE25'!H495</f>
        <v>0</v>
      </c>
      <c r="E156" s="137">
        <f>'DOE25'!I495</f>
        <v>0</v>
      </c>
      <c r="F156" s="137">
        <f>'DOE25'!J495</f>
        <v>0</v>
      </c>
      <c r="G156" s="138">
        <f>SUM(B156:F156)</f>
        <v>1796657.19</v>
      </c>
    </row>
    <row r="157" spans="1:9" x14ac:dyDescent="0.2">
      <c r="A157" s="22" t="s">
        <v>33</v>
      </c>
      <c r="B157" s="137">
        <f>'DOE25'!F496</f>
        <v>0</v>
      </c>
      <c r="C157" s="137">
        <f>'DOE25'!G496</f>
        <v>0</v>
      </c>
      <c r="D157" s="137">
        <f>'DOE25'!H496</f>
        <v>2000000</v>
      </c>
      <c r="E157" s="137">
        <f>'DOE25'!I496</f>
        <v>0</v>
      </c>
      <c r="F157" s="137">
        <f>'DOE25'!J496</f>
        <v>0</v>
      </c>
      <c r="G157" s="138">
        <f t="shared" ref="G157:G164" si="0">SUM(B157:F157)</f>
        <v>2000000</v>
      </c>
    </row>
    <row r="158" spans="1:9" x14ac:dyDescent="0.2">
      <c r="A158" s="22" t="s">
        <v>34</v>
      </c>
      <c r="B158" s="137">
        <f>'DOE25'!F497</f>
        <v>250000</v>
      </c>
      <c r="C158" s="137">
        <f>'DOE25'!G497</f>
        <v>142105.26</v>
      </c>
      <c r="D158" s="137">
        <f>'DOE25'!H497</f>
        <v>0</v>
      </c>
      <c r="E158" s="137">
        <f>'DOE25'!I497</f>
        <v>0</v>
      </c>
      <c r="F158" s="137">
        <f>'DOE25'!J497</f>
        <v>0</v>
      </c>
      <c r="G158" s="138">
        <f t="shared" si="0"/>
        <v>392105.26</v>
      </c>
    </row>
    <row r="159" spans="1:9" x14ac:dyDescent="0.2">
      <c r="A159" s="22" t="s">
        <v>35</v>
      </c>
      <c r="B159" s="137">
        <f>'DOE25'!F498</f>
        <v>250000</v>
      </c>
      <c r="C159" s="137">
        <f>'DOE25'!G498</f>
        <v>1154551.93</v>
      </c>
      <c r="D159" s="137">
        <f>'DOE25'!H498</f>
        <v>2000000</v>
      </c>
      <c r="E159" s="137">
        <f>'DOE25'!I498</f>
        <v>0</v>
      </c>
      <c r="F159" s="137">
        <f>'DOE25'!J498</f>
        <v>0</v>
      </c>
      <c r="G159" s="138">
        <f t="shared" si="0"/>
        <v>3404551.9299999997</v>
      </c>
    </row>
    <row r="160" spans="1:9" x14ac:dyDescent="0.2">
      <c r="A160" s="22" t="s">
        <v>36</v>
      </c>
      <c r="B160" s="137">
        <f>'DOE25'!F499</f>
        <v>6562</v>
      </c>
      <c r="C160" s="137">
        <f>'DOE25'!G499</f>
        <v>160207</v>
      </c>
      <c r="D160" s="137">
        <f>'DOE25'!H499</f>
        <v>745208</v>
      </c>
      <c r="E160" s="137">
        <f>'DOE25'!I499</f>
        <v>0</v>
      </c>
      <c r="F160" s="137">
        <f>'DOE25'!J499</f>
        <v>0</v>
      </c>
      <c r="G160" s="138">
        <f t="shared" si="0"/>
        <v>911977</v>
      </c>
    </row>
    <row r="161" spans="1:7" x14ac:dyDescent="0.2">
      <c r="A161" s="22" t="s">
        <v>37</v>
      </c>
      <c r="B161" s="137">
        <f>'DOE25'!F500</f>
        <v>256562</v>
      </c>
      <c r="C161" s="137">
        <f>'DOE25'!G500</f>
        <v>1314758.93</v>
      </c>
      <c r="D161" s="137">
        <f>'DOE25'!H500</f>
        <v>2745208</v>
      </c>
      <c r="E161" s="137">
        <f>'DOE25'!I500</f>
        <v>0</v>
      </c>
      <c r="F161" s="137">
        <f>'DOE25'!J500</f>
        <v>0</v>
      </c>
      <c r="G161" s="138">
        <f t="shared" si="0"/>
        <v>4316528.93</v>
      </c>
    </row>
    <row r="162" spans="1:7" x14ac:dyDescent="0.2">
      <c r="A162" s="22" t="s">
        <v>38</v>
      </c>
      <c r="B162" s="137">
        <f>'DOE25'!F501</f>
        <v>250000</v>
      </c>
      <c r="C162" s="137">
        <f>'DOE25'!G501</f>
        <v>142105.26</v>
      </c>
      <c r="D162" s="137">
        <f>'DOE25'!H501</f>
        <v>100000</v>
      </c>
      <c r="E162" s="137">
        <f>'DOE25'!I501</f>
        <v>0</v>
      </c>
      <c r="F162" s="137">
        <f>'DOE25'!J501</f>
        <v>0</v>
      </c>
      <c r="G162" s="138">
        <f t="shared" si="0"/>
        <v>492105.26</v>
      </c>
    </row>
    <row r="163" spans="1:7" x14ac:dyDescent="0.2">
      <c r="A163" s="22" t="s">
        <v>39</v>
      </c>
      <c r="B163" s="137">
        <f>'DOE25'!F502</f>
        <v>6562</v>
      </c>
      <c r="C163" s="137">
        <f>'DOE25'!G502</f>
        <v>41150</v>
      </c>
      <c r="D163" s="137">
        <f>'DOE25'!H502</f>
        <v>70972</v>
      </c>
      <c r="E163" s="137">
        <f>'DOE25'!I502</f>
        <v>0</v>
      </c>
      <c r="F163" s="137">
        <f>'DOE25'!J502</f>
        <v>0</v>
      </c>
      <c r="G163" s="138">
        <f t="shared" si="0"/>
        <v>118684</v>
      </c>
    </row>
    <row r="164" spans="1:7" x14ac:dyDescent="0.2">
      <c r="A164" s="22" t="s">
        <v>246</v>
      </c>
      <c r="B164" s="137">
        <f>'DOE25'!F503</f>
        <v>256562</v>
      </c>
      <c r="C164" s="137">
        <f>'DOE25'!G503</f>
        <v>183255.26</v>
      </c>
      <c r="D164" s="137">
        <f>'DOE25'!H503</f>
        <v>170972</v>
      </c>
      <c r="E164" s="137">
        <f>'DOE25'!I503</f>
        <v>0</v>
      </c>
      <c r="F164" s="137">
        <f>'DOE25'!J503</f>
        <v>0</v>
      </c>
      <c r="G164" s="138">
        <f t="shared" si="0"/>
        <v>610789.26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Franklin School District</v>
      </c>
    </row>
    <row r="3" spans="1:4" x14ac:dyDescent="0.2">
      <c r="B3" s="188" t="s">
        <v>1602</v>
      </c>
    </row>
    <row r="4" spans="1:4" x14ac:dyDescent="0.2">
      <c r="B4" t="s">
        <v>61</v>
      </c>
      <c r="C4" s="179">
        <f>IF('DOE25'!F665+'DOE25'!F670=0,0,ROUND('DOE25'!F672,0))</f>
        <v>14760</v>
      </c>
    </row>
    <row r="5" spans="1:4" x14ac:dyDescent="0.2">
      <c r="B5" t="s">
        <v>700</v>
      </c>
      <c r="C5" s="179">
        <f>IF('DOE25'!G665+'DOE25'!G670=0,0,ROUND('DOE25'!G672,0))</f>
        <v>0</v>
      </c>
    </row>
    <row r="6" spans="1:4" x14ac:dyDescent="0.2">
      <c r="B6" t="s">
        <v>62</v>
      </c>
      <c r="C6" s="179">
        <f>IF('DOE25'!H665+'DOE25'!H670=0,0,ROUND('DOE25'!H672,0))</f>
        <v>17443</v>
      </c>
    </row>
    <row r="7" spans="1:4" x14ac:dyDescent="0.2">
      <c r="B7" t="s">
        <v>701</v>
      </c>
      <c r="C7" s="179">
        <f>IF('DOE25'!I665+'DOE25'!I670=0,0,ROUND('DOE25'!I672,0))</f>
        <v>15549</v>
      </c>
    </row>
    <row r="9" spans="1:4" x14ac:dyDescent="0.2">
      <c r="A9" s="187" t="s">
        <v>94</v>
      </c>
      <c r="B9" s="188" t="s">
        <v>1603</v>
      </c>
      <c r="C9" s="181" t="s">
        <v>720</v>
      </c>
      <c r="D9" s="181" t="s">
        <v>721</v>
      </c>
    </row>
    <row r="10" spans="1:4" x14ac:dyDescent="0.2">
      <c r="A10">
        <v>1100</v>
      </c>
      <c r="B10" t="s">
        <v>702</v>
      </c>
      <c r="C10" s="179">
        <f>ROUND('DOE25'!L197+'DOE25'!L215+'DOE25'!L233+'DOE25'!L276+'DOE25'!L295+'DOE25'!L314,0)</f>
        <v>5314685</v>
      </c>
      <c r="D10" s="182">
        <f>ROUND((C10/$C$28)*100,1)</f>
        <v>33.4</v>
      </c>
    </row>
    <row r="11" spans="1:4" x14ac:dyDescent="0.2">
      <c r="A11">
        <v>1200</v>
      </c>
      <c r="B11" t="s">
        <v>703</v>
      </c>
      <c r="C11" s="179">
        <f>ROUND('DOE25'!L198+'DOE25'!L216+'DOE25'!L234+'DOE25'!L277+'DOE25'!L296+'DOE25'!L315,0)</f>
        <v>3210627</v>
      </c>
      <c r="D11" s="182">
        <f>ROUND((C11/$C$28)*100,1)</f>
        <v>20.2</v>
      </c>
    </row>
    <row r="12" spans="1:4" x14ac:dyDescent="0.2">
      <c r="A12">
        <v>1300</v>
      </c>
      <c r="B12" t="s">
        <v>704</v>
      </c>
      <c r="C12" s="179">
        <f>ROUND('DOE25'!L199+'DOE25'!L217+'DOE25'!L235+'DOE25'!L278+'DOE25'!L297+'DOE25'!L316,0)</f>
        <v>53417</v>
      </c>
      <c r="D12" s="182">
        <f>ROUND((C12/$C$28)*100,1)</f>
        <v>0.3</v>
      </c>
    </row>
    <row r="13" spans="1:4" x14ac:dyDescent="0.2">
      <c r="A13">
        <v>1400</v>
      </c>
      <c r="B13" t="s">
        <v>705</v>
      </c>
      <c r="C13" s="179">
        <f>ROUND('DOE25'!L200+'DOE25'!L218+'DOE25'!L236+'DOE25'!L279+'DOE25'!L298+'DOE25'!L317,0)</f>
        <v>279733</v>
      </c>
      <c r="D13" s="182">
        <f>ROUND((C13/$C$28)*100,1)</f>
        <v>1.8</v>
      </c>
    </row>
    <row r="14" spans="1:4" x14ac:dyDescent="0.2">
      <c r="D14" s="182"/>
    </row>
    <row r="15" spans="1:4" x14ac:dyDescent="0.2">
      <c r="A15">
        <v>2100</v>
      </c>
      <c r="B15" t="s">
        <v>706</v>
      </c>
      <c r="C15" s="179">
        <f>ROUND('DOE25'!L202+'DOE25'!L220+'DOE25'!L238+'DOE25'!L281+'DOE25'!L300+'DOE25'!L319,0)</f>
        <v>1867090</v>
      </c>
      <c r="D15" s="182">
        <f t="shared" ref="D15:D27" si="0">ROUND((C15/$C$28)*100,1)</f>
        <v>11.7</v>
      </c>
    </row>
    <row r="16" spans="1:4" x14ac:dyDescent="0.2">
      <c r="A16">
        <v>2200</v>
      </c>
      <c r="B16" t="s">
        <v>707</v>
      </c>
      <c r="C16" s="179">
        <f>ROUND('DOE25'!L203+'DOE25'!L221+'DOE25'!L239+'DOE25'!L282+'DOE25'!L301+'DOE25'!L320,0)</f>
        <v>499656</v>
      </c>
      <c r="D16" s="182">
        <f t="shared" si="0"/>
        <v>3.1</v>
      </c>
    </row>
    <row r="17" spans="1:4" x14ac:dyDescent="0.2">
      <c r="A17" s="183" t="s">
        <v>723</v>
      </c>
      <c r="B17" t="s">
        <v>738</v>
      </c>
      <c r="C17" s="179">
        <f>ROUND('DOE25'!L204+'DOE25'!L209+'DOE25'!L222+'DOE25'!L227+'DOE25'!L240+'DOE25'!L245+'DOE25'!L283+'DOE25'!L288+'DOE25'!L302+'DOE25'!L307+'DOE25'!L321+'DOE25'!L326,0)</f>
        <v>1172784</v>
      </c>
      <c r="D17" s="182">
        <f t="shared" si="0"/>
        <v>7.4</v>
      </c>
    </row>
    <row r="18" spans="1:4" x14ac:dyDescent="0.2">
      <c r="A18">
        <v>2400</v>
      </c>
      <c r="B18" t="s">
        <v>711</v>
      </c>
      <c r="C18" s="179">
        <f>ROUND('DOE25'!L205+'DOE25'!L223+'DOE25'!L241+'DOE25'!L284+'DOE25'!L303+'DOE25'!L322,0)</f>
        <v>775861</v>
      </c>
      <c r="D18" s="182">
        <f t="shared" si="0"/>
        <v>4.9000000000000004</v>
      </c>
    </row>
    <row r="19" spans="1:4" x14ac:dyDescent="0.2">
      <c r="A19">
        <v>2500</v>
      </c>
      <c r="B19" t="s">
        <v>708</v>
      </c>
      <c r="C19" s="179">
        <f>ROUND('DOE25'!L206+'DOE25'!L224+'DOE25'!L242+'DOE25'!L285+'DOE25'!L304+'DOE25'!L323,0)</f>
        <v>250681</v>
      </c>
      <c r="D19" s="182">
        <f t="shared" si="0"/>
        <v>1.6</v>
      </c>
    </row>
    <row r="20" spans="1:4" x14ac:dyDescent="0.2">
      <c r="A20">
        <v>2600</v>
      </c>
      <c r="B20" t="s">
        <v>709</v>
      </c>
      <c r="C20" s="179">
        <f>ROUND('DOE25'!L207+'DOE25'!L225+'DOE25'!L243+'DOE25'!L286+'DOE25'!L305+'DOE25'!L324,0)</f>
        <v>1267114</v>
      </c>
      <c r="D20" s="182">
        <f t="shared" si="0"/>
        <v>8</v>
      </c>
    </row>
    <row r="21" spans="1:4" x14ac:dyDescent="0.2">
      <c r="A21">
        <v>2700</v>
      </c>
      <c r="B21" t="s">
        <v>710</v>
      </c>
      <c r="C21" s="179">
        <f>ROUND('DOE25'!L208+'DOE25'!L226+'DOE25'!L244+'DOE25'!L287+'DOE25'!L306+'DOE25'!L325,0)</f>
        <v>656320</v>
      </c>
      <c r="D21" s="182">
        <f t="shared" si="0"/>
        <v>4.0999999999999996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51131</v>
      </c>
      <c r="D24" s="182">
        <f t="shared" si="0"/>
        <v>0.3</v>
      </c>
    </row>
    <row r="25" spans="1:4" x14ac:dyDescent="0.2">
      <c r="A25">
        <v>5120</v>
      </c>
      <c r="B25" t="s">
        <v>716</v>
      </c>
      <c r="C25" s="179">
        <f>ROUND('DOE25'!L261+'DOE25'!L342,0)</f>
        <v>66572</v>
      </c>
      <c r="D25" s="182">
        <f t="shared" si="0"/>
        <v>0.4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436144.51</v>
      </c>
      <c r="D27" s="182">
        <f t="shared" si="0"/>
        <v>2.7</v>
      </c>
    </row>
    <row r="28" spans="1:4" x14ac:dyDescent="0.2">
      <c r="B28" s="187" t="s">
        <v>719</v>
      </c>
      <c r="C28" s="180">
        <f>SUM(C10:C27)</f>
        <v>15901815.51</v>
      </c>
      <c r="D28" s="184">
        <f>ROUND(SUM(D10:D27),0)</f>
        <v>100</v>
      </c>
    </row>
    <row r="29" spans="1:4" x14ac:dyDescent="0.2">
      <c r="A29">
        <v>4000</v>
      </c>
      <c r="B29" t="s">
        <v>724</v>
      </c>
      <c r="C29" s="179">
        <f>ROUND('DOE25'!L255+'DOE25'!L336+'DOE25'!L374+'DOE25'!L375+'DOE25'!L376+'DOE25'!L377+'DOE25'!L378+'DOE25'!L379+'DOE25'!L380,0)</f>
        <v>1841899</v>
      </c>
    </row>
    <row r="30" spans="1:4" x14ac:dyDescent="0.2">
      <c r="B30" s="187" t="s">
        <v>725</v>
      </c>
      <c r="C30" s="180">
        <f>SUM(C28:C29)</f>
        <v>17743714.509999998</v>
      </c>
    </row>
    <row r="31" spans="1:4" x14ac:dyDescent="0.2">
      <c r="B31" s="33"/>
      <c r="C31" s="180"/>
    </row>
    <row r="32" spans="1:4" x14ac:dyDescent="0.2">
      <c r="A32">
        <v>5100</v>
      </c>
      <c r="B32" s="33" t="s">
        <v>726</v>
      </c>
      <c r="C32" s="180">
        <f>ROUND('DOE25'!L260+'DOE25'!L341,0)</f>
        <v>392105</v>
      </c>
    </row>
    <row r="34" spans="1:4" x14ac:dyDescent="0.2">
      <c r="A34" s="187" t="s">
        <v>94</v>
      </c>
      <c r="B34" s="188" t="s">
        <v>1604</v>
      </c>
      <c r="C34" s="181" t="s">
        <v>720</v>
      </c>
      <c r="D34" s="181" t="s">
        <v>721</v>
      </c>
    </row>
    <row r="35" spans="1:4" x14ac:dyDescent="0.2">
      <c r="A35">
        <v>1100</v>
      </c>
      <c r="B35" s="185" t="s">
        <v>727</v>
      </c>
      <c r="C35" s="179">
        <f>ROUND('DOE25'!F60+'DOE25'!G60+'DOE25'!H60+'DOE25'!I60+'DOE25'!J60,0)</f>
        <v>4257639</v>
      </c>
      <c r="D35" s="182">
        <f t="shared" ref="D35:D40" si="1">ROUND((C35/$C$41)*100,1)</f>
        <v>25.7</v>
      </c>
    </row>
    <row r="36" spans="1:4" x14ac:dyDescent="0.2">
      <c r="B36" s="185" t="s">
        <v>739</v>
      </c>
      <c r="C36" s="179">
        <f>SUM('DOE25'!F112:J112)-SUM('DOE25'!G97:G110)+('DOE25'!F174+'DOE25'!F175+'DOE25'!I174+'DOE25'!I175)-C35</f>
        <v>444378.75999999978</v>
      </c>
      <c r="D36" s="182">
        <f t="shared" si="1"/>
        <v>2.7</v>
      </c>
    </row>
    <row r="37" spans="1:4" x14ac:dyDescent="0.2">
      <c r="A37" s="183" t="s">
        <v>835</v>
      </c>
      <c r="B37" s="185" t="s">
        <v>728</v>
      </c>
      <c r="C37" s="179">
        <f>ROUND('DOE25'!F117+'DOE25'!F118,0)</f>
        <v>8259381</v>
      </c>
      <c r="D37" s="182">
        <f t="shared" si="1"/>
        <v>49.8</v>
      </c>
    </row>
    <row r="38" spans="1:4" x14ac:dyDescent="0.2">
      <c r="A38" s="183" t="s">
        <v>734</v>
      </c>
      <c r="B38" s="185" t="s">
        <v>729</v>
      </c>
      <c r="C38" s="179">
        <f>ROUND(SUM('DOE25'!F140:J140)-SUM('DOE25'!F117:F119),0)</f>
        <v>701279</v>
      </c>
      <c r="D38" s="182">
        <f t="shared" si="1"/>
        <v>4.2</v>
      </c>
    </row>
    <row r="39" spans="1:4" x14ac:dyDescent="0.2">
      <c r="A39">
        <v>4000</v>
      </c>
      <c r="B39" s="185" t="s">
        <v>730</v>
      </c>
      <c r="C39" s="179">
        <f>ROUND('DOE25'!F169+'DOE25'!G169+'DOE25'!H169+'DOE25'!I169,0)</f>
        <v>2931348</v>
      </c>
      <c r="D39" s="182">
        <f t="shared" si="1"/>
        <v>17.7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16594025.76</v>
      </c>
      <c r="D41" s="184">
        <f>SUM(D35:D40)</f>
        <v>100.1</v>
      </c>
    </row>
    <row r="42" spans="1:4" x14ac:dyDescent="0.2">
      <c r="A42" s="183" t="s">
        <v>737</v>
      </c>
      <c r="B42" s="185" t="s">
        <v>733</v>
      </c>
      <c r="C42" s="179">
        <f>ROUND('DOE25'!F173+'DOE25'!I173+'DOE25'!F176+'DOE25'!I176,0)</f>
        <v>2000000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Franklin School District</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v>5</v>
      </c>
      <c r="B4" s="219">
        <v>14</v>
      </c>
      <c r="C4" s="334" t="s">
        <v>1622</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t="s">
        <v>1619</v>
      </c>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t="s">
        <v>1618</v>
      </c>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t="s">
        <v>1620</v>
      </c>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t="s">
        <v>1621</v>
      </c>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2019-09-19T16:55:07Z</cp:lastPrinted>
  <dcterms:created xsi:type="dcterms:W3CDTF">1997-12-04T19:04:30Z</dcterms:created>
  <dcterms:modified xsi:type="dcterms:W3CDTF">2019-11-22T15:50:28Z</dcterms:modified>
</cp:coreProperties>
</file>