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48" i="2" l="1"/>
  <c r="E21" i="2"/>
  <c r="E22" i="2"/>
  <c r="E12" i="2"/>
  <c r="D39" i="2"/>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G655" i="1"/>
  <c r="F48" i="2"/>
  <c r="E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C112" i="2" s="1"/>
  <c r="G6" i="13"/>
  <c r="H6" i="13"/>
  <c r="L202" i="1"/>
  <c r="L220" i="1"/>
  <c r="L238" i="1"/>
  <c r="G7" i="13"/>
  <c r="H7" i="13"/>
  <c r="L203" i="1"/>
  <c r="L221" i="1"/>
  <c r="L239" i="1"/>
  <c r="G12" i="13"/>
  <c r="H12" i="13"/>
  <c r="L205" i="1"/>
  <c r="L223" i="1"/>
  <c r="L241" i="1"/>
  <c r="G14" i="13"/>
  <c r="H14" i="13"/>
  <c r="L207" i="1"/>
  <c r="L225" i="1"/>
  <c r="L243" i="1"/>
  <c r="G15" i="13"/>
  <c r="H15" i="13"/>
  <c r="L208" i="1"/>
  <c r="F662" i="1"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25" i="10" s="1"/>
  <c r="L341" i="1"/>
  <c r="L342" i="1"/>
  <c r="L255" i="1"/>
  <c r="C130" i="2" s="1"/>
  <c r="L336" i="1"/>
  <c r="G22" i="13" s="1"/>
  <c r="C22" i="13"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35" i="10" s="1"/>
  <c r="G60" i="1"/>
  <c r="H60" i="1"/>
  <c r="I60" i="1"/>
  <c r="F79" i="1"/>
  <c r="F112" i="1" s="1"/>
  <c r="F94" i="1"/>
  <c r="F111" i="1"/>
  <c r="G111" i="1"/>
  <c r="H79" i="1"/>
  <c r="H112" i="1" s="1"/>
  <c r="H94" i="1"/>
  <c r="H111" i="1"/>
  <c r="I111" i="1"/>
  <c r="I112" i="1" s="1"/>
  <c r="J111" i="1"/>
  <c r="J112" i="1" s="1"/>
  <c r="F121" i="1"/>
  <c r="F136" i="1"/>
  <c r="G121" i="1"/>
  <c r="G136" i="1"/>
  <c r="H121" i="1"/>
  <c r="H136" i="1"/>
  <c r="I121" i="1"/>
  <c r="I136" i="1"/>
  <c r="J121" i="1"/>
  <c r="J136" i="1"/>
  <c r="F147" i="1"/>
  <c r="C85" i="2" s="1"/>
  <c r="F162" i="1"/>
  <c r="F169" i="1" s="1"/>
  <c r="G147" i="1"/>
  <c r="G162" i="1"/>
  <c r="H147" i="1"/>
  <c r="E85" i="2" s="1"/>
  <c r="H162" i="1"/>
  <c r="H169" i="1" s="1"/>
  <c r="I147" i="1"/>
  <c r="I162" i="1"/>
  <c r="L250" i="1"/>
  <c r="L332" i="1"/>
  <c r="E113" i="2" s="1"/>
  <c r="L254" i="1"/>
  <c r="L268" i="1"/>
  <c r="L269" i="1"/>
  <c r="C143" i="2" s="1"/>
  <c r="L349" i="1"/>
  <c r="C26" i="10" s="1"/>
  <c r="L350" i="1"/>
  <c r="I665" i="1"/>
  <c r="I670" i="1"/>
  <c r="I669" i="1"/>
  <c r="C42" i="10"/>
  <c r="C32" i="10"/>
  <c r="L374" i="1"/>
  <c r="L375" i="1"/>
  <c r="L376" i="1"/>
  <c r="L377" i="1"/>
  <c r="L378" i="1"/>
  <c r="L379" i="1"/>
  <c r="L380" i="1"/>
  <c r="B2" i="10"/>
  <c r="L344" i="1"/>
  <c r="E134" i="2"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F21" i="2"/>
  <c r="I448" i="1"/>
  <c r="J22" i="1" s="1"/>
  <c r="C22" i="2"/>
  <c r="D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3" i="2"/>
  <c r="D115" i="2"/>
  <c r="F115" i="2"/>
  <c r="G115" i="2"/>
  <c r="E119" i="2"/>
  <c r="E120" i="2"/>
  <c r="E123" i="2"/>
  <c r="E124" i="2"/>
  <c r="E125" i="2"/>
  <c r="F128" i="2"/>
  <c r="G128" i="2"/>
  <c r="D134" i="2"/>
  <c r="D144" i="2" s="1"/>
  <c r="F134" i="2"/>
  <c r="K419" i="1"/>
  <c r="K427" i="1"/>
  <c r="K433" i="1"/>
  <c r="L263" i="1"/>
  <c r="C135" i="2" s="1"/>
  <c r="E135" i="2"/>
  <c r="L264" i="1"/>
  <c r="C136" i="2" s="1"/>
  <c r="L265" i="1"/>
  <c r="C137" i="2" s="1"/>
  <c r="C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41" i="1"/>
  <c r="G643" i="1"/>
  <c r="J643" i="1" s="1"/>
  <c r="G644" i="1"/>
  <c r="G652" i="1"/>
  <c r="H652" i="1"/>
  <c r="G653" i="1"/>
  <c r="H653" i="1"/>
  <c r="G654" i="1"/>
  <c r="H654" i="1"/>
  <c r="H655" i="1"/>
  <c r="G62" i="2"/>
  <c r="I169" i="1"/>
  <c r="J140" i="1"/>
  <c r="H140" i="1"/>
  <c r="L570" i="1"/>
  <c r="A40" i="12" l="1"/>
  <c r="K550" i="1"/>
  <c r="F661" i="1"/>
  <c r="L362" i="1"/>
  <c r="G635" i="1" s="1"/>
  <c r="J635" i="1" s="1"/>
  <c r="E110" i="2"/>
  <c r="C125" i="2"/>
  <c r="L309" i="1"/>
  <c r="I476" i="1"/>
  <c r="H625" i="1" s="1"/>
  <c r="G461" i="1"/>
  <c r="H640" i="1" s="1"/>
  <c r="J640" i="1" s="1"/>
  <c r="E122" i="2"/>
  <c r="L427" i="1"/>
  <c r="F338" i="1"/>
  <c r="F352" i="1" s="1"/>
  <c r="K551" i="1"/>
  <c r="E112" i="2"/>
  <c r="F461" i="1"/>
  <c r="H639" i="1" s="1"/>
  <c r="G192" i="1"/>
  <c r="H552" i="1"/>
  <c r="E121" i="2"/>
  <c r="F476" i="1"/>
  <c r="H622" i="1" s="1"/>
  <c r="J622" i="1" s="1"/>
  <c r="H192" i="1"/>
  <c r="H193" i="1" s="1"/>
  <c r="G629" i="1" s="1"/>
  <c r="J629" i="1" s="1"/>
  <c r="C70" i="2"/>
  <c r="E118" i="2"/>
  <c r="E128" i="2" s="1"/>
  <c r="K545" i="1"/>
  <c r="E142" i="2"/>
  <c r="L270" i="1"/>
  <c r="J552" i="1"/>
  <c r="I552" i="1"/>
  <c r="G552" i="1"/>
  <c r="F552" i="1"/>
  <c r="F130" i="2"/>
  <c r="F144" i="2" s="1"/>
  <c r="F145" i="2" s="1"/>
  <c r="L393" i="1"/>
  <c r="C138" i="2" s="1"/>
  <c r="C29" i="10"/>
  <c r="L328" i="1"/>
  <c r="E109" i="2"/>
  <c r="C111" i="2"/>
  <c r="G649" i="1"/>
  <c r="J649" i="1" s="1"/>
  <c r="K571" i="1"/>
  <c r="L565" i="1"/>
  <c r="H571" i="1"/>
  <c r="I408" i="1"/>
  <c r="L534" i="1"/>
  <c r="H545" i="1"/>
  <c r="H461" i="1"/>
  <c r="H641" i="1" s="1"/>
  <c r="J641" i="1" s="1"/>
  <c r="G408" i="1"/>
  <c r="H645" i="1" s="1"/>
  <c r="L382" i="1"/>
  <c r="G636" i="1" s="1"/>
  <c r="J636" i="1" s="1"/>
  <c r="K338" i="1"/>
  <c r="K352" i="1" s="1"/>
  <c r="E57" i="2"/>
  <c r="C56" i="2"/>
  <c r="C20" i="10"/>
  <c r="C122" i="2"/>
  <c r="C19" i="10"/>
  <c r="C121" i="2"/>
  <c r="E78" i="2"/>
  <c r="E81" i="2" s="1"/>
  <c r="F18" i="2"/>
  <c r="C91" i="2"/>
  <c r="E62" i="2"/>
  <c r="E63" i="2" s="1"/>
  <c r="G156" i="2"/>
  <c r="E103" i="2"/>
  <c r="F78" i="2"/>
  <c r="F81" i="2" s="1"/>
  <c r="D62" i="2"/>
  <c r="D63" i="2" s="1"/>
  <c r="D50" i="2"/>
  <c r="E31" i="2"/>
  <c r="D31" i="2"/>
  <c r="A31" i="12"/>
  <c r="K549" i="1"/>
  <c r="L290" i="1"/>
  <c r="K605" i="1"/>
  <c r="G648" i="1" s="1"/>
  <c r="K598" i="1"/>
  <c r="G647" i="1" s="1"/>
  <c r="I571" i="1"/>
  <c r="J571" i="1"/>
  <c r="F571" i="1"/>
  <c r="L560" i="1"/>
  <c r="L571" i="1" s="1"/>
  <c r="L539" i="1"/>
  <c r="G545" i="1"/>
  <c r="J545" i="1"/>
  <c r="I545" i="1"/>
  <c r="K503" i="1"/>
  <c r="I452" i="1"/>
  <c r="L433" i="1"/>
  <c r="L419" i="1"/>
  <c r="J338" i="1"/>
  <c r="J352" i="1" s="1"/>
  <c r="G164" i="2"/>
  <c r="G161" i="2"/>
  <c r="G157" i="2"/>
  <c r="C18" i="10"/>
  <c r="L401" i="1"/>
  <c r="C139" i="2" s="1"/>
  <c r="J634" i="1"/>
  <c r="G338" i="1"/>
  <c r="G352" i="1" s="1"/>
  <c r="L351" i="1"/>
  <c r="L544" i="1"/>
  <c r="L524" i="1"/>
  <c r="I52" i="1"/>
  <c r="H620" i="1" s="1"/>
  <c r="J620" i="1" s="1"/>
  <c r="E130" i="2"/>
  <c r="D127" i="2"/>
  <c r="D128" i="2" s="1"/>
  <c r="D145" i="2" s="1"/>
  <c r="D91" i="2"/>
  <c r="C18" i="2"/>
  <c r="C132" i="2"/>
  <c r="H661" i="1"/>
  <c r="H662" i="1"/>
  <c r="I25" i="13"/>
  <c r="L614" i="1"/>
  <c r="L529" i="1"/>
  <c r="H408" i="1"/>
  <c r="H644" i="1" s="1"/>
  <c r="J644" i="1" s="1"/>
  <c r="L256" i="1"/>
  <c r="F192" i="1"/>
  <c r="C123" i="2"/>
  <c r="C114" i="2"/>
  <c r="D81" i="2"/>
  <c r="C78" i="2"/>
  <c r="D17" i="13"/>
  <c r="C17" i="13" s="1"/>
  <c r="G662" i="1"/>
  <c r="I662" i="1" s="1"/>
  <c r="E16" i="13"/>
  <c r="C16" i="13" s="1"/>
  <c r="C17" i="10"/>
  <c r="C120" i="2"/>
  <c r="G651" i="1"/>
  <c r="J651" i="1" s="1"/>
  <c r="G650" i="1"/>
  <c r="J650" i="1" s="1"/>
  <c r="H647" i="1"/>
  <c r="C21" i="10"/>
  <c r="C124" i="2"/>
  <c r="C119" i="2"/>
  <c r="D7" i="13"/>
  <c r="C7" i="13" s="1"/>
  <c r="C15" i="10"/>
  <c r="C118" i="2"/>
  <c r="K257" i="1"/>
  <c r="K271" i="1" s="1"/>
  <c r="C13" i="10"/>
  <c r="C12" i="10"/>
  <c r="L247" i="1"/>
  <c r="C110" i="2"/>
  <c r="F257" i="1"/>
  <c r="F271" i="1" s="1"/>
  <c r="L211" i="1"/>
  <c r="C11" i="10"/>
  <c r="J257" i="1"/>
  <c r="J271" i="1" s="1"/>
  <c r="I257" i="1"/>
  <c r="I271" i="1" s="1"/>
  <c r="H257" i="1"/>
  <c r="H271" i="1" s="1"/>
  <c r="C57" i="2"/>
  <c r="C62" i="2" s="1"/>
  <c r="I460" i="1"/>
  <c r="J639" i="1"/>
  <c r="I446" i="1"/>
  <c r="G642" i="1" s="1"/>
  <c r="G645" i="1"/>
  <c r="J655" i="1"/>
  <c r="G625" i="1"/>
  <c r="J625" i="1" s="1"/>
  <c r="H52" i="1"/>
  <c r="H619" i="1" s="1"/>
  <c r="J619" i="1" s="1"/>
  <c r="H476" i="1"/>
  <c r="H624" i="1" s="1"/>
  <c r="G476" i="1"/>
  <c r="H623" i="1" s="1"/>
  <c r="J623" i="1" s="1"/>
  <c r="D18" i="2"/>
  <c r="J617" i="1"/>
  <c r="G81" i="2"/>
  <c r="D15" i="13"/>
  <c r="C15" i="13" s="1"/>
  <c r="D6" i="13"/>
  <c r="C6" i="13" s="1"/>
  <c r="E13" i="13"/>
  <c r="C13" i="13" s="1"/>
  <c r="G624" i="1"/>
  <c r="K500" i="1"/>
  <c r="H338" i="1"/>
  <c r="H352" i="1" s="1"/>
  <c r="G112" i="1"/>
  <c r="D19" i="13"/>
  <c r="C19" i="13" s="1"/>
  <c r="D14" i="13"/>
  <c r="C14" i="13" s="1"/>
  <c r="G257" i="1"/>
  <c r="G271" i="1" s="1"/>
  <c r="A13" i="12"/>
  <c r="D29" i="13"/>
  <c r="C29" i="13" s="1"/>
  <c r="D12" i="13"/>
  <c r="C12" i="13" s="1"/>
  <c r="D5" i="13"/>
  <c r="C5" i="13" s="1"/>
  <c r="E8" i="13"/>
  <c r="C8" i="13" s="1"/>
  <c r="C16" i="10"/>
  <c r="C10" i="10"/>
  <c r="C109" i="2"/>
  <c r="L229" i="1"/>
  <c r="L337" i="1"/>
  <c r="F62" i="2"/>
  <c r="F63" i="2" s="1"/>
  <c r="C23" i="10"/>
  <c r="G163" i="2"/>
  <c r="G162" i="2"/>
  <c r="G160" i="2"/>
  <c r="G159" i="2"/>
  <c r="G158" i="2"/>
  <c r="G103" i="2"/>
  <c r="F103" i="2"/>
  <c r="C103" i="2"/>
  <c r="F91" i="2"/>
  <c r="E50" i="2"/>
  <c r="C50" i="2"/>
  <c r="F31" i="2"/>
  <c r="C31" i="2"/>
  <c r="E18" i="2"/>
  <c r="F50" i="2"/>
  <c r="C24" i="10"/>
  <c r="H31" i="13"/>
  <c r="H33" i="13" s="1"/>
  <c r="I338" i="1"/>
  <c r="I352" i="1" s="1"/>
  <c r="L407" i="1"/>
  <c r="C140" i="2" s="1"/>
  <c r="I192" i="1"/>
  <c r="E91" i="2"/>
  <c r="J654" i="1"/>
  <c r="J653" i="1"/>
  <c r="G21" i="2"/>
  <c r="G31" i="2" s="1"/>
  <c r="J32" i="1"/>
  <c r="J434" i="1"/>
  <c r="F434" i="1"/>
  <c r="K434" i="1"/>
  <c r="G134" i="2" s="1"/>
  <c r="G144" i="2" s="1"/>
  <c r="G145" i="2" s="1"/>
  <c r="G31" i="13"/>
  <c r="G33" i="13" s="1"/>
  <c r="J193" i="1"/>
  <c r="G646" i="1" s="1"/>
  <c r="G169" i="1"/>
  <c r="C39" i="10" s="1"/>
  <c r="G140" i="1"/>
  <c r="F140" i="1"/>
  <c r="F193" i="1" s="1"/>
  <c r="G627" i="1" s="1"/>
  <c r="J627" i="1" s="1"/>
  <c r="C36" i="10"/>
  <c r="G63" i="2"/>
  <c r="J618" i="1"/>
  <c r="G42" i="2"/>
  <c r="G50" i="2" s="1"/>
  <c r="J51" i="1"/>
  <c r="G16" i="2"/>
  <c r="G18" i="2" s="1"/>
  <c r="J19" i="1"/>
  <c r="G621" i="1" s="1"/>
  <c r="F545" i="1"/>
  <c r="H434" i="1"/>
  <c r="D103" i="2"/>
  <c r="I140" i="1"/>
  <c r="A22" i="12"/>
  <c r="J652" i="1"/>
  <c r="G571" i="1"/>
  <c r="I434" i="1"/>
  <c r="G434" i="1"/>
  <c r="I663" i="1"/>
  <c r="C27" i="10"/>
  <c r="E51" i="2" l="1"/>
  <c r="K552" i="1"/>
  <c r="I661" i="1"/>
  <c r="G24" i="14"/>
  <c r="H24" i="14" s="1"/>
  <c r="I24" i="14" s="1"/>
  <c r="E115" i="2"/>
  <c r="J645" i="1"/>
  <c r="E144" i="2"/>
  <c r="L434" i="1"/>
  <c r="G638" i="1" s="1"/>
  <c r="J638" i="1" s="1"/>
  <c r="J647" i="1"/>
  <c r="C81" i="2"/>
  <c r="F51" i="2"/>
  <c r="G51" i="2"/>
  <c r="E145" i="2"/>
  <c r="L338" i="1"/>
  <c r="L352" i="1" s="1"/>
  <c r="G633" i="1" s="1"/>
  <c r="J633" i="1" s="1"/>
  <c r="J624" i="1"/>
  <c r="D51" i="2"/>
  <c r="C63" i="2"/>
  <c r="H660" i="1"/>
  <c r="H664" i="1" s="1"/>
  <c r="H667" i="1" s="1"/>
  <c r="F104" i="2"/>
  <c r="E104" i="2"/>
  <c r="D104" i="2"/>
  <c r="L545" i="1"/>
  <c r="L408" i="1"/>
  <c r="G637" i="1" s="1"/>
  <c r="J637" i="1" s="1"/>
  <c r="C141" i="2"/>
  <c r="C144" i="2" s="1"/>
  <c r="C25" i="13"/>
  <c r="I33" i="13"/>
  <c r="I461" i="1"/>
  <c r="H642" i="1" s="1"/>
  <c r="J642" i="1" s="1"/>
  <c r="G4" i="14"/>
  <c r="H4" i="14" s="1"/>
  <c r="I4" i="14" s="1"/>
  <c r="E33" i="13"/>
  <c r="D35" i="13" s="1"/>
  <c r="C128" i="2"/>
  <c r="G36" i="14"/>
  <c r="H36" i="14" s="1"/>
  <c r="I36" i="14" s="1"/>
  <c r="F660" i="1"/>
  <c r="F664" i="1" s="1"/>
  <c r="F667" i="1" s="1"/>
  <c r="G660" i="1"/>
  <c r="G664" i="1" s="1"/>
  <c r="G667" i="1" s="1"/>
  <c r="C115" i="2"/>
  <c r="H648" i="1"/>
  <c r="J648" i="1" s="1"/>
  <c r="L257" i="1"/>
  <c r="L271" i="1" s="1"/>
  <c r="G632" i="1" s="1"/>
  <c r="J632" i="1" s="1"/>
  <c r="D31" i="13"/>
  <c r="C31" i="13" s="1"/>
  <c r="I193" i="1"/>
  <c r="G630" i="1" s="1"/>
  <c r="J630" i="1" s="1"/>
  <c r="G104" i="2"/>
  <c r="C28" i="10"/>
  <c r="D23" i="10" s="1"/>
  <c r="C51" i="2"/>
  <c r="G631" i="1"/>
  <c r="J631" i="1" s="1"/>
  <c r="G193" i="1"/>
  <c r="G628" i="1" s="1"/>
  <c r="J628" i="1" s="1"/>
  <c r="G626" i="1"/>
  <c r="J52" i="1"/>
  <c r="H621" i="1" s="1"/>
  <c r="J621" i="1" s="1"/>
  <c r="C38" i="10"/>
  <c r="C104" i="2" l="1"/>
  <c r="H646" i="1"/>
  <c r="J646" i="1" s="1"/>
  <c r="F672" i="1"/>
  <c r="C4" i="10" s="1"/>
  <c r="H672" i="1"/>
  <c r="C6" i="10" s="1"/>
  <c r="C145" i="2"/>
  <c r="G672" i="1"/>
  <c r="C5" i="10" s="1"/>
  <c r="I660" i="1"/>
  <c r="I664" i="1" s="1"/>
  <c r="I672" i="1" s="1"/>
  <c r="C7" i="10" s="1"/>
  <c r="D25" i="10"/>
  <c r="D22" i="10"/>
  <c r="D18" i="10"/>
  <c r="D27" i="10"/>
  <c r="D15" i="10"/>
  <c r="D21" i="10"/>
  <c r="D24" i="10"/>
  <c r="D20" i="10"/>
  <c r="D11" i="10"/>
  <c r="D12" i="10"/>
  <c r="D13" i="10"/>
  <c r="D17" i="10"/>
  <c r="D19" i="10"/>
  <c r="D10" i="10"/>
  <c r="D26" i="10"/>
  <c r="C30" i="10"/>
  <c r="D16" i="10"/>
  <c r="D33" i="13"/>
  <c r="D36" i="13" s="1"/>
  <c r="C41" i="10"/>
  <c r="D38" i="10" s="1"/>
  <c r="I667" i="1" l="1"/>
  <c r="D28" i="10"/>
  <c r="D37" i="10"/>
  <c r="D36" i="10"/>
  <c r="D35" i="10"/>
  <c r="D40" i="10"/>
  <c r="D39" i="10"/>
  <c r="D41" i="10" l="1"/>
  <c r="J476" i="1"/>
  <c r="H626" i="1" s="1"/>
  <c r="H656" i="1" l="1"/>
  <c r="J62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<sst xmlns="http://schemas.openxmlformats.org/spreadsheetml/2006/main" count="5509" uniqueCount="1614">
  <si>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</si>
  <si>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</si>
  <si>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</si>
  <si>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</si>
  <si>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</si>
  <si>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</si>
  <si>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</si>
  <si>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</si>
  <si>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</si>
  <si>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</si>
  <si>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</si>
  <si>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</si>
  <si>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</si>
  <si>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</si>
  <si>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</si>
  <si>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</si>
  <si>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</si>
  <si>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</si>
  <si>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</si>
  <si>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</si>
  <si>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</si>
  <si>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</si>
  <si>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</si>
  <si>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</si>
  <si>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</si>
  <si>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</si>
  <si>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</si>
  <si>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</si>
  <si>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</si>
  <si>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</si>
  <si>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</si>
  <si>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</si>
  <si>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</si>
  <si>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</si>
  <si>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</si>
  <si>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</si>
  <si>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</si>
  <si>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</si>
  <si>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</si>
  <si>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</si>
  <si>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</si>
  <si>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</si>
  <si>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</si>
  <si>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</si>
  <si>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</si>
  <si>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</si>
  <si>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</si>
  <si>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</si>
  <si>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</si>
  <si>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</si>
  <si>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</si>
  <si>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</si>
  <si>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</si>
  <si>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</si>
  <si>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</si>
  <si>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</si>
  <si>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</si>
  <si>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</si>
  <si>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</si>
  <si>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</si>
  <si>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</si>
  <si>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</si>
  <si>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</si>
  <si>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</si>
  <si>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</si>
  <si>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</si>
  <si>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</si>
  <si>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</si>
  <si>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</si>
  <si>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</si>
  <si>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</si>
  <si>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</si>
  <si>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</si>
  <si>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</si>
  <si>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</si>
  <si>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</si>
  <si>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</si>
  <si>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</si>
  <si>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</si>
  <si>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</si>
  <si>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</si>
  <si>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</si>
  <si>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</si>
  <si>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</si>
  <si>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</si>
  <si>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</si>
  <si>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</si>
  <si>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</si>
  <si>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</si>
  <si>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</si>
  <si>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</si>
  <si>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</si>
  <si>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</si>
  <si>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</si>
  <si>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</si>
  <si>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</si>
  <si>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</si>
  <si>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</si>
  <si>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</si>
  <si>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</si>
  <si>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</si>
  <si>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</si>
  <si>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</si>
  <si>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</si>
  <si>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</si>
  <si>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</si>
  <si>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</si>
  <si>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</si>
  <si>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</si>
  <si>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</si>
  <si>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</si>
  <si>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</si>
  <si>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</si>
  <si>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</si>
  <si>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</si>
  <si>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</si>
  <si>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</si>
  <si>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</si>
  <si>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</si>
  <si>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</si>
  <si>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</si>
  <si>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</si>
  <si>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</si>
  <si>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</si>
  <si>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</si>
  <si>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</si>
  <si>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</si>
  <si>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</si>
  <si>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</si>
  <si>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</si>
  <si>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</si>
  <si>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</si>
  <si>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</si>
  <si>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</si>
  <si>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</si>
  <si>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</si>
  <si>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</si>
  <si>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</si>
  <si>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</si>
  <si>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</si>
  <si>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</si>
  <si>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</si>
  <si>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</si>
  <si>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</si>
  <si>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</si>
  <si>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</si>
  <si>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</si>
  <si>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</si>
  <si>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</si>
  <si>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</si>
  <si>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</si>
  <si>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</si>
  <si>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</si>
  <si>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</si>
  <si>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</si>
  <si>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</si>
  <si>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</si>
  <si>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</si>
  <si>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</si>
  <si>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</si>
  <si>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</si>
  <si>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</si>
  <si>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</si>
  <si>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</si>
  <si>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</si>
  <si>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</si>
  <si>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</si>
  <si>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</si>
  <si>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</si>
  <si>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</si>
  <si>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</si>
  <si>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</si>
  <si>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</si>
  <si>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</si>
  <si>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</si>
  <si>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</si>
  <si>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</si>
  <si>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</si>
  <si>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</si>
  <si>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</si>
  <si>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</si>
  <si>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</si>
  <si>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</si>
  <si>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</si>
  <si>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</si>
  <si>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</si>
  <si>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</si>
  <si>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</si>
  <si>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</si>
  <si>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</si>
  <si>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</si>
  <si>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</si>
  <si>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</si>
  <si>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</si>
  <si>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</si>
  <si>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</si>
  <si>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</si>
  <si>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</si>
  <si>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</si>
  <si>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</si>
  <si>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</si>
  <si>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</si>
  <si>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</si>
  <si>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</si>
  <si>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</si>
  <si>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</si>
  <si>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</si>
  <si>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</si>
  <si>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</si>
  <si>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</si>
  <si>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</si>
  <si>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</si>
  <si>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</si>
  <si>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</si>
  <si>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</si>
  <si>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</si>
  <si>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</si>
  <si>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</si>
  <si>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</si>
  <si>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</si>
  <si>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</si>
  <si>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</si>
  <si>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</si>
  <si>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</si>
  <si>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</si>
  <si>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</si>
  <si>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</si>
  <si>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</si>
  <si>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</si>
  <si>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</si>
  <si>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</si>
  <si>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</si>
  <si>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</si>
  <si>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</si>
  <si>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</si>
  <si>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</si>
  <si>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</si>
  <si>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</si>
  <si>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</si>
  <si>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</si>
  <si>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</si>
  <si>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</si>
  <si>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</si>
  <si>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</si>
  <si>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</si>
  <si>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</si>
  <si>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</si>
  <si>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</si>
  <si>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</si>
  <si>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</si>
  <si>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</si>
  <si>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</si>
  <si>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</si>
  <si>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</si>
  <si>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</si>
  <si>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</si>
  <si>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</si>
  <si>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</si>
  <si>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</si>
  <si>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</si>
  <si>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</si>
  <si>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</si>
  <si>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</si>
  <si>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</si>
  <si>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</si>
  <si>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</si>
  <si>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</si>
  <si>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</si>
  <si>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</si>
  <si>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</si>
  <si>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</si>
  <si>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</si>
  <si>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</si>
  <si>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</si>
  <si>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</si>
  <si>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</si>
  <si>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</si>
  <si>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</si>
  <si>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</si>
  <si>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</si>
  <si>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</si>
  <si>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</si>
  <si>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</si>
  <si>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</si>
  <si>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</si>
  <si>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</si>
  <si>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</si>
  <si>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</si>
  <si>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</si>
  <si>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</si>
  <si>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</si>
  <si>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</si>
  <si>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</si>
  <si>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</si>
  <si>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</si>
  <si>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</si>
  <si>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</si>
  <si>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</si>
  <si>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</si>
  <si>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</si>
  <si>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</si>
  <si>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</si>
  <si>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</si>
  <si>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</si>
  <si>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</si>
  <si>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</si>
  <si>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</si>
  <si>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</si>
  <si>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</si>
  <si>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</si>
  <si>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</si>
  <si>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</si>
  <si>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</si>
  <si>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</si>
  <si>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</si>
  <si>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</si>
  <si>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</si>
  <si>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</si>
  <si>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</si>
  <si>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</si>
  <si>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</si>
  <si>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</si>
  <si>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</si>
  <si>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</si>
  <si>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</si>
  <si>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</si>
  <si>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</si>
  <si>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</si>
  <si>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</si>
  <si>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</si>
  <si>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</si>
  <si>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</si>
  <si>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</si>
  <si>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</si>
  <si>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</si>
  <si>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</si>
  <si>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</si>
  <si>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</si>
  <si>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</si>
  <si>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</si>
  <si>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</si>
  <si>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</si>
  <si>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</si>
  <si>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</si>
  <si>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</si>
  <si>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</si>
  <si>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</si>
  <si>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</si>
  <si>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</si>
  <si>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</si>
  <si>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</si>
  <si>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</si>
  <si>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</si>
  <si>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</si>
  <si>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</si>
  <si>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</si>
  <si>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</si>
  <si>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</si>
  <si>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</si>
  <si>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</si>
  <si>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</si>
  <si>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</si>
  <si>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</si>
  <si>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</si>
  <si>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</si>
  <si>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</si>
  <si>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</si>
  <si>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</si>
  <si>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</si>
  <si>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</si>
  <si>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</si>
  <si>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</si>
  <si>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</si>
  <si>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</si>
  <si>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</si>
  <si>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</si>
  <si>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</si>
  <si>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</si>
  <si>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</si>
  <si>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</si>
  <si>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</si>
  <si>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</si>
  <si>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</si>
  <si>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</si>
  <si>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</si>
  <si>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</si>
  <si>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</si>
  <si>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</si>
  <si>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</si>
  <si>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</si>
  <si>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</si>
  <si>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</si>
  <si>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</si>
  <si>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</si>
  <si>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</si>
  <si>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</si>
  <si>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</si>
  <si>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</si>
  <si>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</si>
  <si>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</si>
  <si>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</si>
  <si>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</si>
  <si>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</si>
  <si>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</si>
  <si>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</si>
  <si>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</si>
  <si>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</si>
  <si>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</si>
  <si>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</si>
  <si>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</si>
  <si>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</si>
  <si>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</si>
  <si>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</si>
  <si>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</si>
  <si>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</si>
  <si>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</si>
  <si>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</si>
  <si>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</si>
  <si>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</si>
  <si>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</si>
  <si>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</si>
  <si>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</si>
  <si>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</si>
  <si>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</si>
  <si>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</si>
  <si>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</si>
  <si>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</si>
  <si>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</si>
  <si>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</si>
  <si>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</si>
  <si>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</si>
  <si>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</si>
  <si>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</si>
  <si>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</si>
  <si>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</si>
  <si>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</si>
  <si>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</si>
  <si>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</si>
  <si>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</si>
  <si>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</si>
  <si>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</si>
  <si>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</si>
  <si>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</si>
  <si>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</si>
  <si>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</si>
  <si>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</si>
  <si>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</si>
  <si>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</si>
  <si>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</si>
  <si>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</si>
  <si>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</si>
  <si>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</si>
  <si>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</si>
  <si>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</si>
  <si>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</si>
  <si>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</si>
  <si>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</si>
  <si>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</si>
  <si>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</si>
  <si>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</si>
  <si>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</si>
  <si>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</si>
  <si>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</si>
  <si>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</si>
  <si>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</si>
  <si>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</si>
  <si>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</si>
  <si>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</si>
  <si>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</si>
  <si>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</si>
  <si>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</si>
  <si>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</si>
  <si>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</si>
  <si>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</si>
  <si>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</si>
  <si>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</si>
  <si>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</si>
  <si>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</si>
  <si>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</si>
  <si>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</si>
  <si>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</si>
  <si>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</si>
  <si>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</si>
  <si>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</si>
  <si>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</si>
  <si>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</si>
  <si>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</si>
  <si>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</si>
  <si>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</si>
  <si>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</si>
  <si>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</si>
  <si>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</si>
  <si>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</si>
  <si>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</si>
  <si>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</si>
  <si>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</si>
  <si>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</si>
  <si>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</si>
  <si>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</si>
  <si>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</si>
  <si>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</si>
  <si>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</si>
  <si>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</si>
  <si>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</si>
  <si>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</si>
  <si>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</si>
  <si>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</si>
  <si>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</si>
  <si>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</si>
  <si>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</si>
  <si>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</si>
  <si>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</si>
  <si>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</si>
  <si>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</si>
  <si>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</si>
  <si>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</si>
  <si>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</si>
  <si>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</si>
  <si>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</si>
  <si>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</si>
  <si>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</si>
  <si>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</si>
  <si>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</si>
  <si>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</si>
  <si>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</si>
  <si>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</si>
  <si>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</si>
  <si>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</si>
  <si>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</si>
  <si>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</si>
  <si>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</si>
  <si>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</si>
  <si>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</si>
  <si>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</si>
  <si>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</si>
  <si>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</si>
  <si>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</si>
  <si>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</si>
  <si>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</si>
  <si>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</si>
  <si>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</si>
  <si>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</si>
  <si>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</si>
  <si>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</si>
  <si>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</si>
  <si>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</si>
  <si>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</si>
  <si>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</si>
  <si>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</si>
  <si>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</si>
  <si>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</si>
  <si>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</si>
  <si>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</si>
  <si>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</si>
  <si>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</si>
  <si>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</si>
  <si>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</si>
  <si>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</si>
  <si>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</si>
  <si>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</si>
  <si>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</si>
  <si>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</si>
  <si>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</si>
  <si>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</si>
  <si>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</si>
  <si>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</si>
  <si>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</si>
  <si>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</si>
  <si>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</si>
  <si>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</si>
  <si>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</si>
  <si>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</si>
  <si>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</si>
  <si>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</si>
  <si>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</si>
  <si>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</si>
  <si>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</si>
  <si>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</si>
  <si>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</si>
  <si>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</si>
  <si>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</si>
  <si>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</si>
  <si>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</si>
  <si>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</si>
  <si>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</si>
  <si>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</si>
  <si>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</si>
  <si>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</si>
  <si>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</si>
  <si>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</si>
  <si>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</si>
  <si>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</si>
  <si>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</si>
  <si>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</si>
  <si>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</si>
  <si>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</si>
  <si>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</si>
  <si>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</si>
  <si>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</si>
  <si>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</si>
  <si>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</si>
  <si>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</si>
  <si>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</si>
  <si>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</si>
  <si>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</si>
  <si>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</si>
  <si>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</si>
  <si>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</si>
  <si>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</si>
  <si>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</si>
  <si>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</si>
  <si>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</si>
  <si>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</si>
  <si>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</si>
  <si>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</si>
  <si>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</si>
  <si>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</si>
  <si>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</si>
  <si>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</si>
  <si>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</si>
  <si>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</si>
  <si>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</si>
  <si>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</si>
  <si>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</si>
  <si>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</si>
  <si>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</si>
  <si>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</si>
  <si>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</si>
  <si>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</si>
  <si>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</si>
  <si>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</si>
  <si>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</si>
  <si>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</si>
  <si>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</si>
  <si>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</si>
  <si>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</si>
  <si>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</si>
  <si>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</si>
  <si>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</si>
  <si>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</si>
  <si>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</si>
  <si>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</si>
  <si>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</si>
  <si>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</si>
  <si>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</si>
  <si>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</si>
  <si>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</si>
  <si>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</si>
  <si>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</si>
  <si>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</si>
  <si>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</si>
  <si>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</si>
  <si>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</si>
  <si>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</si>
  <si>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</si>
  <si>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</si>
  <si>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</si>
  <si>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</si>
  <si>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</si>
  <si>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</si>
  <si>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</si>
  <si>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</si>
  <si>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</si>
  <si>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</si>
  <si>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</si>
  <si>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</si>
  <si>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</si>
  <si>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</si>
  <si>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</si>
  <si>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</si>
  <si>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</si>
  <si>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</si>
  <si>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</si>
  <si>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</si>
  <si>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</si>
  <si>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</si>
  <si>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</si>
  <si>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</si>
  <si>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</si>
  <si>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</si>
  <si>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</si>
  <si>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</si>
  <si>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</si>
  <si>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</si>
  <si>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</si>
  <si>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</si>
  <si>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</si>
  <si>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</si>
  <si>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</si>
  <si>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</si>
  <si>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</si>
  <si>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</si>
  <si>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</si>
  <si>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</si>
  <si>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</si>
  <si>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</si>
  <si>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</si>
  <si>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</si>
  <si>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</si>
  <si>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</si>
  <si>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</si>
  <si>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</si>
  <si>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</si>
  <si>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</si>
  <si>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</si>
  <si>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</si>
  <si>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</si>
  <si>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</si>
  <si>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</si>
  <si>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</si>
  <si>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</si>
  <si>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</si>
  <si>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</si>
  <si>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</si>
  <si>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</si>
  <si>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</si>
  <si>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</si>
  <si>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</si>
  <si>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</si>
  <si>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</si>
  <si>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</si>
  <si>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</si>
  <si>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</si>
  <si>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</si>
  <si>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</si>
  <si>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</si>
  <si>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</si>
  <si>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</si>
  <si>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</si>
  <si>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</si>
  <si>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</si>
  <si>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</si>
  <si>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</si>
  <si>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</si>
  <si>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</si>
  <si>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</si>
  <si>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</si>
  <si>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</si>
  <si>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</si>
  <si>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</si>
  <si>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</si>
  <si>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</si>
  <si>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</si>
  <si>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</si>
  <si>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</si>
  <si>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</si>
  <si>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</si>
  <si>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</si>
  <si>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</si>
  <si>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</si>
  <si>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</si>
  <si>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</si>
  <si>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</si>
  <si>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</si>
  <si>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</si>
  <si>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</si>
  <si>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</si>
  <si>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</si>
  <si>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</si>
  <si>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</si>
  <si>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</si>
  <si>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</si>
  <si>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</si>
  <si>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</si>
  <si>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</si>
  <si>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</si>
  <si>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</si>
  <si>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</si>
  <si>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</si>
  <si>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</si>
  <si>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</si>
  <si>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</si>
  <si>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</si>
  <si>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</si>
  <si>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</si>
  <si>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</si>
  <si>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</si>
  <si>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</si>
  <si>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</si>
  <si>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</si>
  <si>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</si>
  <si>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</si>
  <si>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</si>
  <si>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</si>
  <si>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</si>
  <si>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</si>
  <si>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</si>
  <si>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</si>
  <si>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</si>
  <si>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</si>
  <si>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</si>
  <si>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</si>
  <si>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</si>
  <si>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</si>
  <si>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</si>
  <si>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</si>
  <si>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</si>
  <si>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</si>
  <si>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</si>
  <si>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</si>
  <si>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</si>
  <si>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</si>
  <si>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</si>
  <si>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</si>
  <si>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</si>
  <si>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</si>
  <si>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</si>
  <si>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</si>
  <si>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</si>
  <si>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</si>
  <si>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</si>
  <si>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</si>
  <si>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</si>
  <si>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</si>
  <si>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</si>
  <si>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</si>
  <si>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</si>
  <si>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</si>
  <si>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</si>
  <si>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</si>
  <si>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</si>
  <si>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</si>
  <si>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</si>
  <si>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</si>
  <si>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</si>
  <si>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</si>
  <si>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</si>
  <si>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</si>
  <si>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</si>
  <si>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</si>
  <si>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</si>
  <si>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</si>
  <si>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</si>
  <si>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</si>
  <si>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</si>
  <si>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</si>
  <si>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</si>
  <si>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</si>
  <si>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</si>
  <si>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</si>
  <si>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</si>
  <si>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</si>
  <si>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</si>
  <si>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</si>
  <si>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</si>
  <si>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</si>
  <si>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</si>
  <si>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</si>
  <si>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</si>
  <si>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</si>
  <si>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</si>
  <si>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</si>
  <si>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</si>
  <si>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</si>
  <si>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</si>
  <si>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</si>
  <si>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</si>
  <si>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</si>
  <si>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</si>
  <si>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</si>
  <si>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</si>
  <si>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</si>
  <si>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</si>
  <si>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</si>
  <si>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</si>
  <si>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</si>
  <si>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</si>
  <si>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</si>
  <si>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</si>
  <si>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</si>
  <si>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</si>
  <si>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</si>
  <si>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</si>
  <si>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</si>
  <si>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</si>
  <si>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</si>
  <si>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</si>
  <si>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</si>
  <si>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</si>
  <si>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</si>
  <si>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</si>
  <si>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</si>
  <si>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</si>
  <si>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</si>
  <si>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</si>
  <si>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</si>
  <si>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</si>
  <si>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</si>
  <si>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</si>
  <si>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</si>
  <si>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</si>
  <si>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</si>
  <si>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</si>
  <si>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</si>
  <si>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</si>
  <si>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</si>
  <si>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</si>
  <si>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</si>
  <si>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</si>
  <si>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</si>
  <si>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</si>
  <si>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</si>
  <si>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</si>
  <si>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</si>
  <si>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</si>
  <si>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</si>
  <si>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</si>
  <si>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</si>
  <si>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</si>
  <si>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</si>
  <si>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</si>
  <si>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</si>
  <si>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</si>
  <si>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</si>
  <si>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</si>
  <si>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</si>
  <si>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</si>
  <si>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</si>
  <si>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</si>
  <si>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</si>
  <si>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</si>
  <si>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</si>
  <si>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</si>
  <si>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</si>
  <si>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</si>
  <si>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</si>
  <si>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</si>
  <si>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</si>
  <si>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</si>
  <si>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</si>
  <si>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</si>
  <si>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</si>
  <si>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</si>
  <si>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</si>
  <si>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</si>
  <si>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</si>
  <si>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</si>
  <si>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</si>
  <si>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</si>
  <si>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</si>
  <si>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</si>
  <si>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</si>
  <si>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</si>
  <si>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</si>
  <si>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</si>
  <si>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</si>
  <si>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</si>
  <si>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</si>
  <si>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</si>
  <si>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</si>
  <si>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</si>
  <si>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</si>
  <si>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</si>
  <si>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</si>
  <si>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</si>
  <si>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</si>
  <si>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</si>
  <si>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</si>
  <si>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</si>
  <si>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</si>
  <si>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</si>
  <si>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</si>
  <si>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</si>
  <si>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</si>
  <si>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</si>
  <si>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</si>
  <si>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</si>
  <si>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</si>
  <si>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</si>
  <si>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</si>
  <si>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</si>
  <si>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</si>
  <si>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</si>
  <si>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</si>
  <si>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</si>
  <si>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</si>
  <si>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</si>
  <si>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</si>
  <si>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</si>
  <si>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</si>
  <si>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</si>
  <si>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</si>
  <si>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</si>
  <si>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</si>
  <si>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</si>
  <si>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</si>
  <si>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</si>
  <si>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</si>
  <si>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</si>
  <si>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</si>
  <si>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</si>
  <si>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</si>
  <si>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</si>
  <si>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</si>
  <si>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</si>
  <si>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</si>
  <si>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</si>
  <si>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</si>
  <si>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</si>
  <si>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</si>
  <si>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</si>
  <si>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</si>
  <si>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</si>
  <si>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</si>
  <si>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</si>
  <si>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</si>
  <si>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</si>
  <si>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</si>
  <si>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</si>
  <si>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</si>
  <si>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</si>
  <si>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</si>
  <si>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</si>
  <si>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</si>
  <si>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</si>
  <si>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</si>
  <si>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</si>
  <si>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</si>
  <si>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</si>
  <si>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</si>
  <si>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</si>
  <si>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</si>
  <si>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</si>
  <si>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</si>
  <si>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</si>
  <si>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</si>
  <si>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</si>
  <si>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</si>
  <si>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</si>
  <si>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</si>
  <si>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</si>
  <si>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</si>
  <si>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</si>
  <si>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</si>
  <si>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</si>
  <si>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</si>
  <si>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</si>
  <si>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</si>
  <si>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</si>
  <si>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</si>
  <si>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</si>
  <si>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</si>
  <si>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</si>
  <si>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</si>
  <si>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</si>
  <si>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</si>
  <si>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</si>
  <si>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</si>
  <si>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</si>
  <si>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</si>
  <si>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</si>
  <si>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</si>
  <si>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</si>
  <si>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</si>
  <si>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</si>
  <si>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</si>
  <si>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</si>
  <si>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</si>
  <si>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</si>
  <si>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</si>
  <si>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</si>
  <si>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</si>
  <si>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</si>
  <si>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</si>
  <si>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</si>
  <si>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</si>
  <si>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</si>
  <si>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</si>
  <si>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</si>
  <si>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</si>
  <si>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</si>
  <si>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</si>
  <si>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</si>
  <si>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</si>
  <si>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</si>
  <si>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</si>
  <si>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</si>
  <si>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</si>
  <si>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</si>
  <si>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</si>
  <si>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</si>
  <si>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</si>
  <si>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</si>
  <si>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</si>
  <si>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</si>
  <si>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</si>
  <si>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</si>
  <si>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</si>
  <si>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</si>
  <si>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</si>
  <si>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</si>
  <si>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</si>
  <si>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</si>
  <si>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</si>
  <si>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</si>
  <si>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</si>
  <si>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</si>
  <si>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</si>
  <si>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</si>
  <si>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</si>
  <si>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</si>
  <si>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</si>
  <si>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</si>
  <si>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</si>
  <si>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</si>
  <si>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</si>
  <si>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</si>
  <si>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</si>
  <si>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</si>
  <si>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</si>
  <si>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</si>
  <si>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</si>
  <si>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</si>
  <si>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</si>
  <si>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</si>
  <si>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</si>
  <si>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</si>
  <si>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</si>
  <si>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</si>
  <si>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</si>
  <si>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</si>
  <si>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</si>
  <si>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</si>
  <si>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</si>
  <si>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</si>
  <si>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</si>
  <si>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</si>
  <si>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</si>
  <si>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</si>
  <si>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</si>
  <si>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</si>
  <si>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</si>
  <si>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</si>
  <si>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</si>
  <si>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</si>
  <si>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</si>
  <si>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</si>
  <si>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</si>
  <si>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</si>
  <si>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</si>
  <si>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</si>
  <si>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</si>
  <si>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</si>
  <si>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</si>
  <si>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</si>
  <si>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</si>
  <si>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</si>
  <si>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</si>
  <si>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</si>
  <si>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</si>
  <si>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</si>
  <si>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</si>
  <si>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</si>
  <si>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</si>
  <si>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</si>
  <si>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</si>
  <si>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</si>
  <si>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</si>
  <si>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</si>
  <si>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</si>
  <si>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</si>
  <si>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</si>
  <si>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</si>
  <si>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</si>
  <si>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</si>
  <si>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</si>
  <si>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</si>
  <si>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</si>
  <si>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</si>
  <si>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</si>
  <si>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</si>
  <si>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</si>
  <si>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</si>
  <si>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</si>
  <si>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</si>
  <si>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</si>
  <si>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</si>
  <si>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</si>
  <si>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</si>
  <si>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</si>
  <si>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</si>
  <si>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</si>
  <si>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</si>
  <si>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</si>
  <si>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</si>
  <si>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</si>
  <si>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</si>
  <si>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</si>
  <si>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</si>
  <si>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</si>
  <si>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</si>
  <si>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</si>
  <si>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</si>
  <si>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</si>
  <si>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</si>
  <si>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</si>
  <si>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</si>
  <si>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</si>
  <si>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</si>
  <si>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</si>
  <si>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</si>
  <si>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</si>
  <si>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</si>
  <si>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</si>
  <si>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</si>
  <si>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</si>
  <si>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</si>
  <si>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</si>
  <si>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</si>
  <si>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</si>
  <si>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</si>
  <si>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</si>
  <si>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</si>
  <si>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</si>
  <si>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</si>
  <si>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</si>
  <si>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</si>
  <si>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</si>
  <si>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</si>
  <si>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</si>
  <si>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</si>
  <si>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</si>
  <si>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</si>
  <si>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</si>
  <si>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</si>
  <si>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</si>
  <si>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</si>
  <si>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</si>
  <si>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</si>
  <si>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</si>
  <si>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</si>
  <si>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</si>
  <si>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</si>
  <si>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</si>
  <si>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</si>
  <si>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</si>
  <si>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</si>
  <si>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</si>
  <si>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</si>
  <si>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</si>
  <si>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</si>
  <si>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</si>
  <si>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</si>
  <si>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</si>
  <si>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</si>
  <si>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</si>
  <si>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</si>
  <si>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</si>
  <si>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</si>
  <si>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</si>
  <si>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</si>
  <si>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</si>
  <si>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</si>
  <si>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</si>
  <si>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</si>
  <si>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</si>
  <si>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</si>
  <si>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</si>
  <si>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</si>
  <si>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</si>
  <si>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</si>
  <si>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</si>
  <si>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</si>
  <si>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</si>
  <si>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</si>
  <si>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</si>
  <si>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</si>
  <si>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</si>
  <si>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</si>
  <si>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</si>
  <si>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</si>
  <si>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</si>
  <si>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</si>
  <si>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</si>
  <si>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</si>
  <si>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</si>
  <si>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</si>
  <si>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</si>
  <si>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</si>
  <si>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</si>
  <si>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</si>
  <si>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</si>
  <si>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</si>
  <si>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</si>
  <si>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</si>
  <si>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</si>
  <si>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</si>
  <si>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</si>
  <si>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</si>
  <si>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</si>
  <si>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</si>
  <si>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</si>
  <si>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</si>
  <si>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</si>
  <si>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</si>
  <si>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</si>
  <si>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</si>
  <si>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</si>
  <si>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</si>
  <si>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</si>
  <si>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</si>
  <si>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</si>
  <si>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</si>
  <si>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</si>
  <si>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</si>
  <si>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</si>
  <si>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</si>
  <si>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</si>
  <si>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</si>
  <si>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</si>
  <si>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</si>
  <si>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</si>
  <si>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</si>
  <si>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</si>
  <si>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</si>
  <si>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</si>
  <si>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</si>
  <si>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</si>
  <si>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</si>
  <si>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</si>
  <si>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</si>
  <si>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</si>
  <si>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</si>
  <si>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</si>
  <si>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</si>
  <si>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</si>
  <si>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</si>
  <si>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</si>
  <si>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</si>
  <si>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</si>
  <si>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</si>
  <si>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</si>
  <si>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</si>
  <si>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</si>
  <si>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</si>
  <si>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</si>
  <si>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</si>
  <si>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</si>
  <si>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</si>
  <si>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</si>
  <si>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</si>
  <si>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</si>
  <si>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</si>
  <si>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</si>
  <si>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</si>
  <si>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</si>
  <si>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</si>
  <si>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</si>
  <si>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</si>
  <si>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</si>
  <si>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</si>
  <si>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</si>
  <si>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</si>
  <si>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</si>
  <si>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</si>
  <si>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</si>
  <si>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</si>
  <si>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</si>
  <si>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</si>
  <si>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</si>
  <si>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</si>
  <si>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</si>
  <si>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</si>
  <si>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</si>
  <si>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</si>
  <si>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</si>
  <si>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</si>
  <si>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</si>
  <si>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</si>
  <si>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</si>
  <si>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</si>
  <si>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</si>
  <si>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</si>
  <si>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</si>
  <si>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</si>
  <si>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</si>
  <si>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</si>
  <si>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</si>
  <si>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</si>
  <si>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</si>
  <si>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</si>
  <si>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</si>
  <si>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</si>
  <si>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</si>
  <si>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</si>
  <si>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</si>
  <si>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</si>
  <si>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</si>
  <si>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</si>
  <si>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</si>
  <si>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</si>
  <si>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</si>
  <si>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</si>
  <si>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</si>
  <si>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</si>
  <si>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</si>
  <si>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</si>
  <si>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</si>
  <si>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</si>
  <si>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</si>
  <si>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</si>
  <si>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</si>
  <si>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</si>
  <si>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</si>
  <si>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</si>
  <si>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</si>
  <si>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</si>
  <si>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</si>
  <si>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</si>
  <si>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</si>
  <si>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</si>
  <si>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</si>
  <si>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</si>
  <si>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</si>
  <si>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</si>
  <si>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</si>
  <si>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</si>
  <si>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</si>
  <si>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</si>
  <si>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</si>
  <si>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</si>
  <si>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</si>
  <si>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</si>
  <si>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</si>
  <si>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</si>
  <si>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</si>
  <si>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</si>
  <si>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</si>
  <si>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</si>
  <si>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</si>
  <si>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</si>
  <si>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</si>
  <si>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</si>
  <si>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</si>
  <si>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</si>
  <si>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</si>
  <si>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</si>
  <si>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</si>
  <si>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</si>
  <si>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</si>
  <si>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</si>
  <si>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</si>
  <si>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</si>
  <si>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</si>
  <si>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</si>
  <si>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</si>
  <si>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</si>
  <si>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</si>
  <si>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</si>
  <si>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</si>
  <si>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</si>
  <si>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</si>
  <si>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</si>
  <si>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</si>
  <si>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</si>
  <si>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</si>
  <si>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</si>
  <si>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</si>
  <si>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</si>
  <si>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</si>
  <si>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</si>
  <si>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</si>
  <si>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</si>
  <si>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</si>
  <si>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</si>
  <si>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</si>
  <si>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</si>
  <si>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</si>
  <si>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</si>
  <si>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</si>
  <si>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</si>
  <si>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</si>
  <si>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</si>
  <si>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</si>
  <si>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</si>
  <si>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</si>
  <si>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</si>
  <si>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</si>
  <si>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</si>
  <si>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</si>
  <si>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</si>
  <si>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</si>
  <si>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</si>
  <si>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</si>
  <si>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</si>
  <si>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</si>
  <si>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</si>
  <si>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</si>
  <si>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</si>
  <si>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</si>
  <si>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</si>
  <si>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</si>
  <si>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</si>
  <si>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</si>
  <si>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</si>
  <si>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</si>
  <si>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</si>
  <si>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</si>
  <si>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</si>
  <si>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</si>
  <si>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</si>
  <si>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</si>
  <si>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</si>
  <si>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</si>
  <si>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</si>
  <si>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</si>
  <si>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</si>
  <si>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</si>
  <si>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</si>
  <si>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</si>
  <si>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</si>
  <si>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</si>
  <si>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</si>
  <si>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</si>
  <si>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</si>
  <si>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</si>
  <si>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</si>
  <si>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</si>
  <si>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</si>
  <si>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</si>
  <si>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</si>
  <si>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</si>
  <si>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</si>
  <si>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</si>
  <si>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</si>
  <si>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</si>
  <si>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</si>
  <si>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</si>
  <si>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</si>
  <si>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</si>
  <si>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</si>
  <si>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</si>
  <si>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</si>
  <si>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</si>
  <si>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</si>
  <si>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</si>
  <si>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</si>
  <si>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</si>
  <si>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</si>
  <si>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</si>
  <si>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</si>
  <si>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</si>
  <si>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</si>
  <si>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</si>
  <si>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</si>
  <si>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</si>
  <si>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</si>
  <si>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</si>
  <si>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</si>
  <si>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</si>
  <si>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</si>
  <si>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</si>
  <si>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</si>
  <si>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</si>
  <si>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</si>
  <si>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</si>
  <si>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</si>
  <si>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</si>
  <si>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</si>
  <si>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</si>
  <si>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</si>
  <si>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</si>
  <si>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</si>
  <si>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</si>
  <si>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</si>
  <si>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</si>
  <si>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</si>
  <si>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</si>
  <si>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</si>
  <si>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</si>
  <si>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</si>
  <si>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</si>
  <si>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</si>
  <si>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</si>
  <si>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</si>
  <si>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</si>
  <si>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</si>
  <si>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</si>
  <si>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</si>
  <si>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</si>
  <si>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</si>
  <si>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</si>
  <si>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</si>
  <si>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</si>
  <si>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</si>
  <si>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</si>
  <si>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</si>
  <si>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</si>
  <si>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</si>
  <si>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</si>
  <si>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</si>
  <si>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</si>
  <si>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</si>
  <si>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</si>
  <si>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</si>
  <si>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</si>
  <si>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</si>
  <si>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</si>
  <si>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</si>
  <si>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</si>
  <si>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</si>
  <si>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</si>
  <si>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</si>
  <si>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</si>
  <si>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</si>
  <si>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</si>
  <si>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</si>
  <si>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</si>
  <si>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</si>
  <si>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08/02</t>
  </si>
  <si>
    <t>08/22</t>
  </si>
  <si>
    <t>08/16</t>
  </si>
  <si>
    <t>08/31</t>
  </si>
  <si>
    <t>Gilford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</si>
</sst>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1"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191</v>
      </c>
      <c r="C2" s="21">
        <v>191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1058062.3999999999</v>
      </c>
      <c r="G9" s="18">
        <v>22207.55</v>
      </c>
      <c r="H9" s="4"/>
      <c r="I9" s="18">
        <v>0</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547768.19999999995</v>
      </c>
      <c r="K12" s="24" t="s">
        <v>288</v>
      </c>
      <c r="L12" s="24" t="s">
        <v>288</v>
      </c>
      <c r="M12" s="8"/>
      <c r="N12" s="266"/>
    </row>
    <row r="13" spans="1:14" s="3" customFormat="1" ht="12.2" customHeight="1" x14ac:dyDescent="0.15">
      <c r="A13" s="1" t="s">
        <v>604</v>
      </c>
      <c r="B13" s="2" t="s">
        <v>289</v>
      </c>
      <c r="C13" s="6">
        <v>5</v>
      </c>
      <c r="D13" s="2" t="s">
        <v>428</v>
      </c>
      <c r="E13" s="6">
        <v>140</v>
      </c>
      <c r="F13" s="18">
        <v>40479.31</v>
      </c>
      <c r="G13" s="18">
        <v>24517.35</v>
      </c>
      <c r="H13" s="18">
        <v>62536.86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1139613.22</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2262.48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24553</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2262707.9299999997</v>
      </c>
      <c r="G19" s="41">
        <f>SUM(G9:G18)</f>
        <v>48987.38</v>
      </c>
      <c r="H19" s="41">
        <f>SUM(H10:H18)</f>
        <v>62536.86</v>
      </c>
      <c r="I19" s="41">
        <f>SUM(I9:I18)</f>
        <v>0</v>
      </c>
      <c r="J19" s="41">
        <f>SUM(J9:J18)</f>
        <v>547768.19999999995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62536.86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782778.07</v>
      </c>
      <c r="G23" s="18"/>
      <c r="H23" s="4"/>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26795</v>
      </c>
      <c r="G30" s="18">
        <v>12141.15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809573.07</v>
      </c>
      <c r="G32" s="41">
        <f>SUM(G22:G31)</f>
        <v>12141.15</v>
      </c>
      <c r="H32" s="41">
        <f>SUM(H22:H31)</f>
        <v>62536.86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24553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547768.19999999995</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4380</v>
      </c>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36846.230000000003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242500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467712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20000</v>
      </c>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4"/>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693989.86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1453134.8599999999</v>
      </c>
      <c r="G51" s="41">
        <f>SUM(G35:G50)</f>
        <v>36846.230000000003</v>
      </c>
      <c r="H51" s="41">
        <f>SUM(H35:H50)</f>
        <v>0</v>
      </c>
      <c r="I51" s="41">
        <f>SUM(I35:I50)</f>
        <v>0</v>
      </c>
      <c r="J51" s="41">
        <f>SUM(J35:J50)</f>
        <v>547768.19999999995</v>
      </c>
      <c r="K51" s="45" t="s">
        <v>288</v>
      </c>
      <c r="L51" s="45" t="s">
        <v>288</v>
      </c>
      <c r="N51" s="264"/>
    </row>
    <row r="52" spans="1:14" s="3" customFormat="1" ht="12.2" customHeight="1" thickTop="1" x14ac:dyDescent="0.15">
      <c r="A52" s="38" t="s">
        <v>455</v>
      </c>
      <c r="B52" s="39" t="s">
        <v>289</v>
      </c>
      <c r="C52" s="6">
        <v>37</v>
      </c>
      <c r="D52" s="39" t="s">
        <v>653</v>
      </c>
      <c r="E52" s="39"/>
      <c r="F52" s="41">
        <f>F51+F32</f>
        <v>2262707.9299999997</v>
      </c>
      <c r="G52" s="41">
        <f>G51+G32</f>
        <v>48987.380000000005</v>
      </c>
      <c r="H52" s="41">
        <f>H51+H32</f>
        <v>62536.86</v>
      </c>
      <c r="I52" s="41">
        <f>I51+I32</f>
        <v>0</v>
      </c>
      <c r="J52" s="41">
        <f>J51+J32</f>
        <v>547768.19999999995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14879023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14879023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106887</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2730701.59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2837588.59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75502.98</v>
      </c>
      <c r="G96" s="18"/>
      <c r="H96" s="18"/>
      <c r="I96" s="18"/>
      <c r="J96" s="18">
        <v>9998.15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275272.78000000003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6823.75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329166.71999999997</v>
      </c>
      <c r="G110" s="18">
        <v>25477</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411493.44999999995</v>
      </c>
      <c r="G111" s="41">
        <f>SUM(G96:G110)</f>
        <v>300749.78000000003</v>
      </c>
      <c r="H111" s="41">
        <f>SUM(H96:H110)</f>
        <v>0</v>
      </c>
      <c r="I111" s="41">
        <f>SUM(I96:I110)</f>
        <v>0</v>
      </c>
      <c r="J111" s="41">
        <f>SUM(J96:J110)</f>
        <v>9998.15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18128105.039999999</v>
      </c>
      <c r="G112" s="41">
        <f>G60+G111</f>
        <v>300749.78000000003</v>
      </c>
      <c r="H112" s="41">
        <f>H60+H79+H94+H111</f>
        <v>0</v>
      </c>
      <c r="I112" s="41">
        <f>I60+I111</f>
        <v>0</v>
      </c>
      <c r="J112" s="41">
        <f>J60+J111</f>
        <v>9998.15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623889.81000000006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3829475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4453364.8100000005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314593.78999999998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71099.929999999993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65083.66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9036.9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5853.9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459814.28</v>
      </c>
      <c r="G136" s="41">
        <f>SUM(G123:G135)</f>
        <v>5853.9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4913179.0900000008</v>
      </c>
      <c r="G140" s="41">
        <f>G121+SUM(G136:G137)</f>
        <v>5853.9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165604.70000000001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123590.24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123933.83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247958.61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46264.57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46264.57</v>
      </c>
      <c r="G162" s="41">
        <f>SUM(G150:G161)</f>
        <v>123933.83</v>
      </c>
      <c r="H162" s="41">
        <f>SUM(H150:H161)</f>
        <v>537153.55000000005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46264.57</v>
      </c>
      <c r="G169" s="41">
        <f>G147+G162+SUM(G163:G168)</f>
        <v>123933.83</v>
      </c>
      <c r="H169" s="41">
        <f>H147+H162+SUM(H163:H168)</f>
        <v>537153.55000000005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167500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167500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167500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23087548.699999999</v>
      </c>
      <c r="G193" s="47">
        <f>G112+G140+G169+G192</f>
        <v>430537.51000000007</v>
      </c>
      <c r="H193" s="47">
        <f>H112+H140+H169+H192</f>
        <v>537153.55000000005</v>
      </c>
      <c r="I193" s="47">
        <f>I112+I140+I169+I192</f>
        <v>0</v>
      </c>
      <c r="J193" s="47">
        <f>J112+J140+J192</f>
        <v>177498.15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1713610.16</v>
      </c>
      <c r="G197" s="18">
        <v>991159.27</v>
      </c>
      <c r="H197" s="18">
        <v>10296.6</v>
      </c>
      <c r="I197" s="18">
        <v>59757.96</v>
      </c>
      <c r="J197" s="18">
        <v>24908.49</v>
      </c>
      <c r="K197" s="18">
        <v>0</v>
      </c>
      <c r="L197" s="19">
        <f>SUM(F197:K197)</f>
        <v>2799732.48</v>
      </c>
      <c r="M197" s="8"/>
      <c r="N197" s="266"/>
    </row>
    <row r="198" spans="1:14" s="3" customFormat="1" ht="12.2" customHeight="1" x14ac:dyDescent="0.15">
      <c r="A198" s="1" t="s">
        <v>439</v>
      </c>
      <c r="B198" s="2" t="s">
        <v>341</v>
      </c>
      <c r="C198" s="2" t="s">
        <v>291</v>
      </c>
      <c r="D198" s="2" t="s">
        <v>431</v>
      </c>
      <c r="E198" s="6">
        <v>1200</v>
      </c>
      <c r="F198" s="18">
        <v>650051.13</v>
      </c>
      <c r="G198" s="18">
        <v>628059.68000000005</v>
      </c>
      <c r="H198" s="18">
        <v>188023.16</v>
      </c>
      <c r="I198" s="18">
        <v>1913.18</v>
      </c>
      <c r="J198" s="18">
        <v>5549.87</v>
      </c>
      <c r="K198" s="18">
        <v>0</v>
      </c>
      <c r="L198" s="19">
        <f>SUM(F198:K198)</f>
        <v>1473597.02</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79601.88</v>
      </c>
      <c r="G200" s="18">
        <v>31592.01</v>
      </c>
      <c r="H200" s="18">
        <v>10758.63</v>
      </c>
      <c r="I200" s="18">
        <v>0</v>
      </c>
      <c r="J200" s="18">
        <v>0</v>
      </c>
      <c r="K200" s="18">
        <v>0</v>
      </c>
      <c r="L200" s="19">
        <f>SUM(F200:K200)</f>
        <v>121952.52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132471.88</v>
      </c>
      <c r="G202" s="18">
        <v>80777.69</v>
      </c>
      <c r="H202" s="18">
        <v>12903.58</v>
      </c>
      <c r="I202" s="18">
        <v>2212.9899999999998</v>
      </c>
      <c r="J202" s="18">
        <v>0</v>
      </c>
      <c r="K202" s="18">
        <v>0</v>
      </c>
      <c r="L202" s="19">
        <f t="shared" ref="L202:L208" si="0">SUM(F202:K202)</f>
        <v>228366.13999999998</v>
      </c>
      <c r="M202" s="8"/>
      <c r="N202" s="266"/>
    </row>
    <row r="203" spans="1:14" s="3" customFormat="1" ht="12.2" customHeight="1" x14ac:dyDescent="0.15">
      <c r="A203" s="1" t="s">
        <v>443</v>
      </c>
      <c r="B203" s="2" t="s">
        <v>341</v>
      </c>
      <c r="C203" s="2" t="s">
        <v>295</v>
      </c>
      <c r="D203" s="2" t="s">
        <v>431</v>
      </c>
      <c r="E203" s="6">
        <v>2200</v>
      </c>
      <c r="F203" s="18">
        <v>131137.91</v>
      </c>
      <c r="G203" s="18">
        <v>59721.69</v>
      </c>
      <c r="H203" s="18">
        <v>29668.75</v>
      </c>
      <c r="I203" s="18">
        <v>48519.11</v>
      </c>
      <c r="J203" s="18">
        <v>20118.53</v>
      </c>
      <c r="K203" s="18">
        <v>0</v>
      </c>
      <c r="L203" s="19">
        <f t="shared" si="0"/>
        <v>289165.99</v>
      </c>
      <c r="M203" s="8"/>
      <c r="N203" s="266"/>
    </row>
    <row r="204" spans="1:14" s="3" customFormat="1" ht="12.2" customHeight="1" x14ac:dyDescent="0.15">
      <c r="A204" s="1" t="s">
        <v>444</v>
      </c>
      <c r="B204" s="2" t="s">
        <v>341</v>
      </c>
      <c r="C204" s="2" t="s">
        <v>296</v>
      </c>
      <c r="D204" s="2" t="s">
        <v>431</v>
      </c>
      <c r="E204" s="6">
        <v>2300</v>
      </c>
      <c r="F204" s="18">
        <v>53260.89</v>
      </c>
      <c r="G204" s="18">
        <v>24947.54</v>
      </c>
      <c r="H204" s="18">
        <v>19939.759999999998</v>
      </c>
      <c r="I204" s="18">
        <v>0</v>
      </c>
      <c r="J204" s="18">
        <v>0</v>
      </c>
      <c r="K204" s="18">
        <v>3592.74</v>
      </c>
      <c r="L204" s="19">
        <f t="shared" si="0"/>
        <v>101740.93</v>
      </c>
      <c r="M204" s="8"/>
      <c r="N204" s="266"/>
    </row>
    <row r="205" spans="1:14" s="3" customFormat="1" ht="12.2" customHeight="1" x14ac:dyDescent="0.15">
      <c r="A205" s="1" t="s">
        <v>445</v>
      </c>
      <c r="B205" s="2" t="s">
        <v>341</v>
      </c>
      <c r="C205" s="2" t="s">
        <v>297</v>
      </c>
      <c r="D205" s="2" t="s">
        <v>431</v>
      </c>
      <c r="E205" s="6">
        <v>2400</v>
      </c>
      <c r="F205" s="18">
        <v>252018.14</v>
      </c>
      <c r="G205" s="18">
        <v>139435.68</v>
      </c>
      <c r="H205" s="18">
        <v>20183.77</v>
      </c>
      <c r="I205" s="18">
        <v>1000</v>
      </c>
      <c r="J205" s="18">
        <v>0</v>
      </c>
      <c r="K205" s="18">
        <v>676.16</v>
      </c>
      <c r="L205" s="19">
        <f t="shared" si="0"/>
        <v>413313.75</v>
      </c>
      <c r="M205" s="8"/>
      <c r="N205" s="266"/>
    </row>
    <row r="206" spans="1:14" s="3" customFormat="1" ht="12.2" customHeight="1" x14ac:dyDescent="0.15">
      <c r="A206" s="1" t="s">
        <v>446</v>
      </c>
      <c r="B206" s="2" t="s">
        <v>341</v>
      </c>
      <c r="C206" s="2" t="s">
        <v>298</v>
      </c>
      <c r="D206" s="2" t="s">
        <v>431</v>
      </c>
      <c r="E206" s="6">
        <v>2500</v>
      </c>
      <c r="F206" s="18">
        <v>60056.43</v>
      </c>
      <c r="G206" s="18">
        <v>51403.95</v>
      </c>
      <c r="H206" s="18">
        <v>27857.03</v>
      </c>
      <c r="I206" s="18">
        <v>2540.12</v>
      </c>
      <c r="J206" s="18">
        <v>0</v>
      </c>
      <c r="K206" s="18">
        <v>1654.74</v>
      </c>
      <c r="L206" s="19">
        <f t="shared" si="0"/>
        <v>143512.26999999999</v>
      </c>
      <c r="M206" s="8"/>
      <c r="N206" s="266"/>
    </row>
    <row r="207" spans="1:14" s="3" customFormat="1" ht="12.2" customHeight="1" x14ac:dyDescent="0.15">
      <c r="A207" s="1" t="s">
        <v>447</v>
      </c>
      <c r="B207" s="2" t="s">
        <v>341</v>
      </c>
      <c r="C207" s="2" t="s">
        <v>299</v>
      </c>
      <c r="D207" s="2" t="s">
        <v>431</v>
      </c>
      <c r="E207" s="6">
        <v>2600</v>
      </c>
      <c r="F207" s="18">
        <v>229844.97</v>
      </c>
      <c r="G207" s="18">
        <v>149510.82999999999</v>
      </c>
      <c r="H207" s="18">
        <v>77081.179999999993</v>
      </c>
      <c r="I207" s="18">
        <v>131307.54999999999</v>
      </c>
      <c r="J207" s="18">
        <v>2769.48</v>
      </c>
      <c r="K207" s="18">
        <v>0</v>
      </c>
      <c r="L207" s="19">
        <f t="shared" si="0"/>
        <v>590514.01</v>
      </c>
      <c r="M207" s="8"/>
      <c r="N207" s="266"/>
    </row>
    <row r="208" spans="1:14" s="3" customFormat="1" ht="12.2" customHeight="1" x14ac:dyDescent="0.15">
      <c r="A208" s="1" t="s">
        <v>448</v>
      </c>
      <c r="B208" s="2" t="s">
        <v>341</v>
      </c>
      <c r="C208" s="2" t="s">
        <v>300</v>
      </c>
      <c r="D208" s="2" t="s">
        <v>431</v>
      </c>
      <c r="E208" s="6">
        <v>2700</v>
      </c>
      <c r="F208" s="18">
        <v>0</v>
      </c>
      <c r="G208" s="18">
        <v>0</v>
      </c>
      <c r="H208" s="18">
        <v>171199.81</v>
      </c>
      <c r="I208" s="18">
        <v>0</v>
      </c>
      <c r="J208" s="18">
        <v>0</v>
      </c>
      <c r="K208" s="18">
        <v>0</v>
      </c>
      <c r="L208" s="19">
        <f t="shared" si="0"/>
        <v>171199.81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3302053.3900000006</v>
      </c>
      <c r="G211" s="41">
        <f t="shared" si="1"/>
        <v>2156608.34</v>
      </c>
      <c r="H211" s="41">
        <f t="shared" si="1"/>
        <v>567912.27</v>
      </c>
      <c r="I211" s="41">
        <f t="shared" si="1"/>
        <v>247250.90999999997</v>
      </c>
      <c r="J211" s="41">
        <f t="shared" si="1"/>
        <v>53346.37</v>
      </c>
      <c r="K211" s="41">
        <f t="shared" si="1"/>
        <v>5923.6399999999994</v>
      </c>
      <c r="L211" s="41">
        <f t="shared" si="1"/>
        <v>6333094.9199999981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1656010.95</v>
      </c>
      <c r="G215" s="18">
        <v>902763.54</v>
      </c>
      <c r="H215" s="18">
        <v>9477.9500000000007</v>
      </c>
      <c r="I215" s="18">
        <v>39902.410000000003</v>
      </c>
      <c r="J215" s="18">
        <v>13548.46</v>
      </c>
      <c r="K215" s="18">
        <v>0</v>
      </c>
      <c r="L215" s="19">
        <f>SUM(F215:K215)</f>
        <v>2621703.3100000005</v>
      </c>
      <c r="M215" s="8"/>
      <c r="N215" s="266"/>
    </row>
    <row r="216" spans="1:14" s="3" customFormat="1" ht="12.2" customHeight="1" x14ac:dyDescent="0.15">
      <c r="A216" s="1" t="s">
        <v>439</v>
      </c>
      <c r="B216" s="2" t="s">
        <v>346</v>
      </c>
      <c r="C216" s="2" t="s">
        <v>291</v>
      </c>
      <c r="D216" s="2" t="s">
        <v>431</v>
      </c>
      <c r="E216" s="6">
        <v>1200</v>
      </c>
      <c r="F216" s="18">
        <v>510365.98</v>
      </c>
      <c r="G216" s="18">
        <v>429792.38</v>
      </c>
      <c r="H216" s="18">
        <v>307001.15000000002</v>
      </c>
      <c r="I216" s="18">
        <v>1182.6099999999999</v>
      </c>
      <c r="J216" s="18">
        <v>2446.27</v>
      </c>
      <c r="K216" s="18">
        <v>0</v>
      </c>
      <c r="L216" s="19">
        <f>SUM(F216:K216)</f>
        <v>1250788.3900000001</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64915</v>
      </c>
      <c r="G218" s="18">
        <v>29641.38</v>
      </c>
      <c r="H218" s="18">
        <v>20594.849999999999</v>
      </c>
      <c r="I218" s="18">
        <v>11333.36</v>
      </c>
      <c r="J218" s="18">
        <v>500</v>
      </c>
      <c r="K218" s="18">
        <v>0</v>
      </c>
      <c r="L218" s="19">
        <f>SUM(F218:K218)</f>
        <v>126984.59000000001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166852.68</v>
      </c>
      <c r="G220" s="18">
        <v>81547.28</v>
      </c>
      <c r="H220" s="18">
        <v>20393.39</v>
      </c>
      <c r="I220" s="18">
        <v>3773.18</v>
      </c>
      <c r="J220" s="18">
        <v>0</v>
      </c>
      <c r="K220" s="18">
        <v>0</v>
      </c>
      <c r="L220" s="19">
        <f t="shared" ref="L220:L226" si="2">SUM(F220:K220)</f>
        <v>272566.52999999997</v>
      </c>
      <c r="M220" s="8"/>
      <c r="N220" s="266"/>
    </row>
    <row r="221" spans="1:14" s="3" customFormat="1" ht="12.2" customHeight="1" x14ac:dyDescent="0.15">
      <c r="A221" s="1" t="s">
        <v>443</v>
      </c>
      <c r="B221" s="2" t="s">
        <v>346</v>
      </c>
      <c r="C221" s="2" t="s">
        <v>295</v>
      </c>
      <c r="D221" s="2" t="s">
        <v>431</v>
      </c>
      <c r="E221" s="6">
        <v>2200</v>
      </c>
      <c r="F221" s="18">
        <v>132932.81</v>
      </c>
      <c r="G221" s="18">
        <v>59251</v>
      </c>
      <c r="H221" s="18">
        <v>26111.29</v>
      </c>
      <c r="I221" s="18">
        <v>57315.65</v>
      </c>
      <c r="J221" s="18">
        <v>51586.720000000001</v>
      </c>
      <c r="K221" s="18">
        <v>0</v>
      </c>
      <c r="L221" s="19">
        <f t="shared" si="2"/>
        <v>327197.46999999997</v>
      </c>
      <c r="M221" s="8"/>
      <c r="N221" s="266"/>
    </row>
    <row r="222" spans="1:14" s="3" customFormat="1" ht="12.2" customHeight="1" x14ac:dyDescent="0.15">
      <c r="A222" s="1" t="s">
        <v>444</v>
      </c>
      <c r="B222" s="2" t="s">
        <v>346</v>
      </c>
      <c r="C222" s="2" t="s">
        <v>296</v>
      </c>
      <c r="D222" s="2" t="s">
        <v>431</v>
      </c>
      <c r="E222" s="6">
        <v>2300</v>
      </c>
      <c r="F222" s="18">
        <v>53260.89</v>
      </c>
      <c r="G222" s="18">
        <v>24947.54</v>
      </c>
      <c r="H222" s="18">
        <v>19939.759999999998</v>
      </c>
      <c r="I222" s="18">
        <v>0</v>
      </c>
      <c r="J222" s="18">
        <v>0</v>
      </c>
      <c r="K222" s="18">
        <v>3592.74</v>
      </c>
      <c r="L222" s="19">
        <f t="shared" si="2"/>
        <v>101740.93</v>
      </c>
      <c r="M222" s="8"/>
      <c r="N222" s="266"/>
    </row>
    <row r="223" spans="1:14" s="3" customFormat="1" ht="12.2" customHeight="1" x14ac:dyDescent="0.15">
      <c r="A223" s="1" t="s">
        <v>445</v>
      </c>
      <c r="B223" s="2" t="s">
        <v>346</v>
      </c>
      <c r="C223" s="2" t="s">
        <v>297</v>
      </c>
      <c r="D223" s="2" t="s">
        <v>431</v>
      </c>
      <c r="E223" s="6">
        <v>2400</v>
      </c>
      <c r="F223" s="18">
        <v>270654.95</v>
      </c>
      <c r="G223" s="18">
        <v>133109.26</v>
      </c>
      <c r="H223" s="18">
        <v>14871.09</v>
      </c>
      <c r="I223" s="18">
        <v>315.05</v>
      </c>
      <c r="J223" s="18">
        <v>0</v>
      </c>
      <c r="K223" s="18">
        <v>2281.3000000000002</v>
      </c>
      <c r="L223" s="19">
        <f t="shared" si="2"/>
        <v>421231.65</v>
      </c>
      <c r="M223" s="8"/>
      <c r="N223" s="266"/>
    </row>
    <row r="224" spans="1:14" s="3" customFormat="1" ht="12.2" customHeight="1" x14ac:dyDescent="0.15">
      <c r="A224" s="1" t="s">
        <v>446</v>
      </c>
      <c r="B224" s="2" t="s">
        <v>346</v>
      </c>
      <c r="C224" s="2" t="s">
        <v>298</v>
      </c>
      <c r="D224" s="2" t="s">
        <v>431</v>
      </c>
      <c r="E224" s="6">
        <v>2500</v>
      </c>
      <c r="F224" s="18">
        <v>60056.43</v>
      </c>
      <c r="G224" s="18">
        <v>51403.95</v>
      </c>
      <c r="H224" s="18">
        <v>27857.03</v>
      </c>
      <c r="I224" s="18">
        <v>2540.12</v>
      </c>
      <c r="J224" s="18">
        <v>0</v>
      </c>
      <c r="K224" s="18">
        <v>1654.74</v>
      </c>
      <c r="L224" s="19">
        <f t="shared" si="2"/>
        <v>143512.26999999999</v>
      </c>
      <c r="M224" s="8"/>
      <c r="N224" s="266"/>
    </row>
    <row r="225" spans="1:14" s="3" customFormat="1" ht="12.2" customHeight="1" x14ac:dyDescent="0.15">
      <c r="A225" s="1" t="s">
        <v>447</v>
      </c>
      <c r="B225" s="2" t="s">
        <v>346</v>
      </c>
      <c r="C225" s="2" t="s">
        <v>299</v>
      </c>
      <c r="D225" s="2" t="s">
        <v>431</v>
      </c>
      <c r="E225" s="6">
        <v>2600</v>
      </c>
      <c r="F225" s="18">
        <v>199742.2</v>
      </c>
      <c r="G225" s="18">
        <v>89088.83</v>
      </c>
      <c r="H225" s="18">
        <v>452564.82</v>
      </c>
      <c r="I225" s="18">
        <v>32545.18</v>
      </c>
      <c r="J225" s="18">
        <v>2317.9699999999998</v>
      </c>
      <c r="K225" s="18">
        <v>0</v>
      </c>
      <c r="L225" s="19">
        <f>SUM(F225:K225)</f>
        <v>776259.00000000012</v>
      </c>
      <c r="M225" s="8"/>
      <c r="N225" s="266"/>
    </row>
    <row r="226" spans="1:14" s="3" customFormat="1" ht="12.2" customHeight="1" x14ac:dyDescent="0.15">
      <c r="A226" s="1" t="s">
        <v>448</v>
      </c>
      <c r="B226" s="2" t="s">
        <v>346</v>
      </c>
      <c r="C226" s="2" t="s">
        <v>300</v>
      </c>
      <c r="D226" s="2" t="s">
        <v>431</v>
      </c>
      <c r="E226" s="6">
        <v>2700</v>
      </c>
      <c r="F226" s="18">
        <v>0</v>
      </c>
      <c r="G226" s="18">
        <v>0</v>
      </c>
      <c r="H226" s="18">
        <v>214795.39</v>
      </c>
      <c r="I226" s="18">
        <v>0</v>
      </c>
      <c r="J226" s="18">
        <v>0</v>
      </c>
      <c r="K226" s="18">
        <v>0</v>
      </c>
      <c r="L226" s="19">
        <f t="shared" si="2"/>
        <v>214795.39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3114791.8900000006</v>
      </c>
      <c r="G229" s="41">
        <f>SUM(G215:G228)</f>
        <v>1801545.16</v>
      </c>
      <c r="H229" s="41">
        <f>SUM(H215:H228)</f>
        <v>1113606.7200000002</v>
      </c>
      <c r="I229" s="41">
        <f>SUM(I215:I228)</f>
        <v>148907.56</v>
      </c>
      <c r="J229" s="41">
        <f>SUM(J215:J228)</f>
        <v>70399.42</v>
      </c>
      <c r="K229" s="41">
        <f t="shared" si="3"/>
        <v>7528.78</v>
      </c>
      <c r="L229" s="41">
        <f t="shared" si="3"/>
        <v>6256779.5299999993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2660923.1800000002</v>
      </c>
      <c r="G233" s="18">
        <v>1359298.69</v>
      </c>
      <c r="H233" s="18">
        <v>27027.51</v>
      </c>
      <c r="I233" s="18">
        <v>70354.009999999995</v>
      </c>
      <c r="J233" s="18">
        <v>27231.73</v>
      </c>
      <c r="K233" s="18">
        <v>0</v>
      </c>
      <c r="L233" s="19">
        <f>SUM(F233:K233)</f>
        <v>4144835.1199999996</v>
      </c>
      <c r="M233" s="8"/>
      <c r="N233" s="266"/>
    </row>
    <row r="234" spans="1:14" s="3" customFormat="1" ht="12.2" customHeight="1" x14ac:dyDescent="0.15">
      <c r="A234" s="1" t="s">
        <v>439</v>
      </c>
      <c r="B234" s="2" t="s">
        <v>350</v>
      </c>
      <c r="C234" s="2" t="s">
        <v>291</v>
      </c>
      <c r="D234" s="2" t="s">
        <v>431</v>
      </c>
      <c r="E234" s="6">
        <v>1200</v>
      </c>
      <c r="F234" s="18">
        <v>625421.30000000005</v>
      </c>
      <c r="G234" s="18">
        <v>346543.82</v>
      </c>
      <c r="H234" s="18">
        <v>423518.63</v>
      </c>
      <c r="I234" s="18">
        <v>1527.16</v>
      </c>
      <c r="J234" s="18">
        <v>558.66999999999996</v>
      </c>
      <c r="K234" s="18">
        <v>0</v>
      </c>
      <c r="L234" s="19">
        <f>SUM(F234:K234)</f>
        <v>1397569.5799999998</v>
      </c>
      <c r="M234" s="8"/>
      <c r="N234" s="266"/>
    </row>
    <row r="235" spans="1:14" s="3" customFormat="1" ht="12.2" customHeight="1" x14ac:dyDescent="0.15">
      <c r="A235" s="1" t="s">
        <v>440</v>
      </c>
      <c r="B235" s="2" t="s">
        <v>350</v>
      </c>
      <c r="C235" s="2" t="s">
        <v>292</v>
      </c>
      <c r="D235" s="2" t="s">
        <v>431</v>
      </c>
      <c r="E235" s="6">
        <v>1300</v>
      </c>
      <c r="F235" s="18">
        <v>0</v>
      </c>
      <c r="G235" s="18">
        <v>0</v>
      </c>
      <c r="H235" s="18">
        <v>184538.77</v>
      </c>
      <c r="I235" s="18">
        <v>0</v>
      </c>
      <c r="J235" s="18">
        <v>0</v>
      </c>
      <c r="K235" s="18">
        <v>0</v>
      </c>
      <c r="L235" s="19">
        <f>SUM(F235:K235)</f>
        <v>184538.77</v>
      </c>
      <c r="M235" s="8"/>
      <c r="N235" s="266"/>
    </row>
    <row r="236" spans="1:14" s="3" customFormat="1" ht="12.2" customHeight="1" x14ac:dyDescent="0.15">
      <c r="A236" s="1" t="s">
        <v>441</v>
      </c>
      <c r="B236" s="2" t="s">
        <v>350</v>
      </c>
      <c r="C236" s="2" t="s">
        <v>293</v>
      </c>
      <c r="D236" s="2" t="s">
        <v>431</v>
      </c>
      <c r="E236" s="6">
        <v>1400</v>
      </c>
      <c r="F236" s="18">
        <v>158199.9</v>
      </c>
      <c r="G236" s="18">
        <v>68384.92</v>
      </c>
      <c r="H236" s="18">
        <v>99300.43</v>
      </c>
      <c r="I236" s="18">
        <v>51872.55</v>
      </c>
      <c r="J236" s="18">
        <v>950</v>
      </c>
      <c r="K236" s="18">
        <v>0</v>
      </c>
      <c r="L236" s="19">
        <f>SUM(F236:K236)</f>
        <v>378707.8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352447.18</v>
      </c>
      <c r="G238" s="18">
        <v>163593.04999999999</v>
      </c>
      <c r="H238" s="18">
        <v>68721.759999999995</v>
      </c>
      <c r="I238" s="18">
        <v>2575.9299999999998</v>
      </c>
      <c r="J238" s="18">
        <v>344</v>
      </c>
      <c r="K238" s="18">
        <v>0</v>
      </c>
      <c r="L238" s="19">
        <f t="shared" ref="L238:L244" si="4">SUM(F238:K238)</f>
        <v>587681.92000000004</v>
      </c>
      <c r="M238" s="8"/>
      <c r="N238" s="266"/>
    </row>
    <row r="239" spans="1:14" s="3" customFormat="1" ht="12.2" customHeight="1" x14ac:dyDescent="0.15">
      <c r="A239" s="1" t="s">
        <v>443</v>
      </c>
      <c r="B239" s="2" t="s">
        <v>350</v>
      </c>
      <c r="C239" s="2" t="s">
        <v>295</v>
      </c>
      <c r="D239" s="2" t="s">
        <v>431</v>
      </c>
      <c r="E239" s="6">
        <v>2200</v>
      </c>
      <c r="F239" s="18">
        <v>147681.79</v>
      </c>
      <c r="G239" s="18">
        <v>50879.21</v>
      </c>
      <c r="H239" s="18">
        <v>36348.589999999997</v>
      </c>
      <c r="I239" s="18">
        <v>65248.03</v>
      </c>
      <c r="J239" s="18">
        <v>49917.9</v>
      </c>
      <c r="K239" s="18">
        <v>0</v>
      </c>
      <c r="L239" s="19">
        <f t="shared" si="4"/>
        <v>350075.52</v>
      </c>
      <c r="M239" s="8"/>
      <c r="N239" s="266"/>
    </row>
    <row r="240" spans="1:14" s="3" customFormat="1" ht="12.2" customHeight="1" x14ac:dyDescent="0.15">
      <c r="A240" s="1" t="s">
        <v>444</v>
      </c>
      <c r="B240" s="2" t="s">
        <v>350</v>
      </c>
      <c r="C240" s="2" t="s">
        <v>296</v>
      </c>
      <c r="D240" s="2" t="s">
        <v>431</v>
      </c>
      <c r="E240" s="6">
        <v>2300</v>
      </c>
      <c r="F240" s="18">
        <v>77136.460000000006</v>
      </c>
      <c r="G240" s="18">
        <v>36130.92</v>
      </c>
      <c r="H240" s="18">
        <v>28882.61</v>
      </c>
      <c r="I240" s="18">
        <v>0</v>
      </c>
      <c r="J240" s="18">
        <v>0</v>
      </c>
      <c r="K240" s="18">
        <v>5203.28</v>
      </c>
      <c r="L240" s="19">
        <f t="shared" si="4"/>
        <v>147353.26999999999</v>
      </c>
      <c r="M240" s="8"/>
      <c r="N240" s="266"/>
    </row>
    <row r="241" spans="1:14" s="3" customFormat="1" ht="12.2" customHeight="1" x14ac:dyDescent="0.15">
      <c r="A241" s="1" t="s">
        <v>445</v>
      </c>
      <c r="B241" s="2" t="s">
        <v>350</v>
      </c>
      <c r="C241" s="2" t="s">
        <v>297</v>
      </c>
      <c r="D241" s="2" t="s">
        <v>431</v>
      </c>
      <c r="E241" s="6">
        <v>2400</v>
      </c>
      <c r="F241" s="18">
        <v>446482.02</v>
      </c>
      <c r="G241" s="18">
        <v>279212.96999999997</v>
      </c>
      <c r="H241" s="18">
        <v>30827.8</v>
      </c>
      <c r="I241" s="18">
        <v>1631.21</v>
      </c>
      <c r="J241" s="18">
        <v>0</v>
      </c>
      <c r="K241" s="18">
        <v>25330.09</v>
      </c>
      <c r="L241" s="19">
        <f t="shared" si="4"/>
        <v>783484.09</v>
      </c>
      <c r="M241" s="8"/>
      <c r="N241" s="266"/>
    </row>
    <row r="242" spans="1:14" s="3" customFormat="1" ht="12.2" customHeight="1" x14ac:dyDescent="0.15">
      <c r="A242" s="1" t="s">
        <v>446</v>
      </c>
      <c r="B242" s="2" t="s">
        <v>350</v>
      </c>
      <c r="C242" s="2" t="s">
        <v>298</v>
      </c>
      <c r="D242" s="2" t="s">
        <v>431</v>
      </c>
      <c r="E242" s="6">
        <v>2500</v>
      </c>
      <c r="F242" s="18">
        <v>86978.28</v>
      </c>
      <c r="G242" s="18">
        <v>74447.100000000006</v>
      </c>
      <c r="H242" s="18">
        <v>40344.67</v>
      </c>
      <c r="I242" s="18">
        <v>3678.8</v>
      </c>
      <c r="J242" s="18">
        <v>0</v>
      </c>
      <c r="K242" s="18">
        <v>2396.5300000000002</v>
      </c>
      <c r="L242" s="19">
        <f t="shared" si="4"/>
        <v>207845.37999999998</v>
      </c>
      <c r="M242" s="8"/>
      <c r="N242" s="266"/>
    </row>
    <row r="243" spans="1:14" s="3" customFormat="1" ht="12.2" customHeight="1" x14ac:dyDescent="0.15">
      <c r="A243" s="1" t="s">
        <v>447</v>
      </c>
      <c r="B243" s="2" t="s">
        <v>350</v>
      </c>
      <c r="C243" s="2" t="s">
        <v>299</v>
      </c>
      <c r="D243" s="2" t="s">
        <v>431</v>
      </c>
      <c r="E243" s="6">
        <v>2600</v>
      </c>
      <c r="F243" s="18">
        <v>383526.56</v>
      </c>
      <c r="G243" s="18">
        <v>222628.34</v>
      </c>
      <c r="H243" s="18">
        <v>472295.83</v>
      </c>
      <c r="I243" s="18">
        <v>304842.98</v>
      </c>
      <c r="J243" s="18">
        <v>3171.01</v>
      </c>
      <c r="K243" s="18">
        <v>0</v>
      </c>
      <c r="L243" s="19">
        <f>SUM(F243:K243)</f>
        <v>1386464.72</v>
      </c>
      <c r="M243" s="8"/>
      <c r="N243" s="266"/>
    </row>
    <row r="244" spans="1:14" s="3" customFormat="1" ht="12.2" customHeight="1" x14ac:dyDescent="0.15">
      <c r="A244" s="1" t="s">
        <v>448</v>
      </c>
      <c r="B244" s="2" t="s">
        <v>350</v>
      </c>
      <c r="C244" s="2" t="s">
        <v>300</v>
      </c>
      <c r="D244" s="2" t="s">
        <v>431</v>
      </c>
      <c r="E244" s="6">
        <v>2700</v>
      </c>
      <c r="F244" s="18">
        <v>0</v>
      </c>
      <c r="G244" s="18">
        <v>0</v>
      </c>
      <c r="H244" s="18">
        <v>368076.28</v>
      </c>
      <c r="I244" s="18">
        <v>0</v>
      </c>
      <c r="J244" s="18">
        <v>0</v>
      </c>
      <c r="K244" s="18">
        <v>0</v>
      </c>
      <c r="L244" s="19">
        <f t="shared" si="4"/>
        <v>368076.28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4938796.67</v>
      </c>
      <c r="G247" s="41">
        <f t="shared" si="5"/>
        <v>2601119.02</v>
      </c>
      <c r="H247" s="41">
        <f t="shared" si="5"/>
        <v>1779882.8800000001</v>
      </c>
      <c r="I247" s="41">
        <f t="shared" si="5"/>
        <v>501730.66999999993</v>
      </c>
      <c r="J247" s="41">
        <f t="shared" si="5"/>
        <v>82173.31</v>
      </c>
      <c r="K247" s="41">
        <f t="shared" si="5"/>
        <v>32929.9</v>
      </c>
      <c r="L247" s="41">
        <f t="shared" si="5"/>
        <v>9936632.4499999974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11355641.950000001</v>
      </c>
      <c r="G257" s="41">
        <f t="shared" si="8"/>
        <v>6559272.5199999996</v>
      </c>
      <c r="H257" s="41">
        <f t="shared" si="8"/>
        <v>3461401.87</v>
      </c>
      <c r="I257" s="41">
        <f t="shared" si="8"/>
        <v>897889.1399999999</v>
      </c>
      <c r="J257" s="41">
        <f t="shared" si="8"/>
        <v>205919.1</v>
      </c>
      <c r="K257" s="41">
        <f t="shared" si="8"/>
        <v>46382.32</v>
      </c>
      <c r="L257" s="41">
        <f t="shared" si="8"/>
        <v>22526506.899999995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985000</v>
      </c>
      <c r="L260" s="19">
        <f>SUM(F260:K260)</f>
        <v>985000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217826.12</v>
      </c>
      <c r="L261" s="19">
        <f>SUM(F261:K261)</f>
        <v>217826.12</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167500</v>
      </c>
      <c r="L266" s="19">
        <f t="shared" si="9"/>
        <v>167500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1370326.12</v>
      </c>
      <c r="L270" s="41">
        <f t="shared" si="9"/>
        <v>1370326.12</v>
      </c>
      <c r="N270" s="264"/>
    </row>
    <row r="271" spans="1:14" s="3" customFormat="1" ht="12.2" customHeight="1" thickTop="1" x14ac:dyDescent="0.2">
      <c r="A271" s="43" t="s">
        <v>464</v>
      </c>
      <c r="B271" s="40">
        <v>10</v>
      </c>
      <c r="C271" s="40">
        <v>18</v>
      </c>
      <c r="D271" s="39" t="s">
        <v>431</v>
      </c>
      <c r="E271" s="40"/>
      <c r="F271" s="42">
        <f t="shared" ref="F271:L271" si="11">F257+F270</f>
        <v>11355641.950000001</v>
      </c>
      <c r="G271" s="42">
        <f t="shared" si="11"/>
        <v>6559272.5199999996</v>
      </c>
      <c r="H271" s="42">
        <f t="shared" si="11"/>
        <v>3461401.87</v>
      </c>
      <c r="I271" s="42">
        <f t="shared" si="11"/>
        <v>897889.1399999999</v>
      </c>
      <c r="J271" s="42">
        <f t="shared" si="11"/>
        <v>205919.1</v>
      </c>
      <c r="K271" s="42">
        <f t="shared" si="11"/>
        <v>1416708.4400000002</v>
      </c>
      <c r="L271" s="42">
        <f t="shared" si="11"/>
        <v>23896833.019999996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143319.07999999999</v>
      </c>
      <c r="G276" s="18"/>
      <c r="H276" s="18"/>
      <c r="I276" s="18">
        <v>13001.26</v>
      </c>
      <c r="J276" s="18">
        <v>3156.51</v>
      </c>
      <c r="K276" s="18"/>
      <c r="L276" s="19">
        <f>SUM(F276:K276)</f>
        <v>159476.85</v>
      </c>
      <c r="M276" s="8"/>
      <c r="N276" s="266"/>
    </row>
    <row r="277" spans="1:14" s="3" customFormat="1" ht="12.2" customHeight="1" x14ac:dyDescent="0.15">
      <c r="A277" s="1" t="s">
        <v>439</v>
      </c>
      <c r="B277" s="2" t="s">
        <v>357</v>
      </c>
      <c r="C277" s="2" t="s">
        <v>291</v>
      </c>
      <c r="D277" s="2" t="s">
        <v>431</v>
      </c>
      <c r="E277" s="6">
        <v>1200</v>
      </c>
      <c r="F277" s="18">
        <v>27458.400000000001</v>
      </c>
      <c r="G277" s="18">
        <v>6613.74</v>
      </c>
      <c r="H277" s="18">
        <v>37835.78</v>
      </c>
      <c r="I277" s="18"/>
      <c r="J277" s="18"/>
      <c r="K277" s="18"/>
      <c r="L277" s="19">
        <f>SUM(F277:K277)</f>
        <v>71907.92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197.04</v>
      </c>
      <c r="I281" s="18"/>
      <c r="J281" s="18"/>
      <c r="K281" s="18">
        <v>1636.48</v>
      </c>
      <c r="L281" s="19">
        <f t="shared" ref="L281:L287" si="12">SUM(F281:K281)</f>
        <v>1833.52</v>
      </c>
      <c r="M281" s="8"/>
      <c r="N281" s="266"/>
    </row>
    <row r="282" spans="1:14" s="3" customFormat="1" ht="12.2" customHeight="1" x14ac:dyDescent="0.15">
      <c r="A282" s="1" t="s">
        <v>443</v>
      </c>
      <c r="B282" s="2" t="s">
        <v>357</v>
      </c>
      <c r="C282" s="2" t="s">
        <v>295</v>
      </c>
      <c r="D282" s="2" t="s">
        <v>431</v>
      </c>
      <c r="E282" s="6">
        <v>2200</v>
      </c>
      <c r="F282" s="18">
        <v>4176</v>
      </c>
      <c r="G282" s="18"/>
      <c r="H282" s="18">
        <v>19195.060000000001</v>
      </c>
      <c r="I282" s="18"/>
      <c r="J282" s="18"/>
      <c r="K282" s="18"/>
      <c r="L282" s="19">
        <f t="shared" si="12"/>
        <v>23371.06</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7522.87</v>
      </c>
      <c r="I287" s="18"/>
      <c r="J287" s="18"/>
      <c r="K287" s="18"/>
      <c r="L287" s="19">
        <f t="shared" si="12"/>
        <v>7522.87</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174953.47999999998</v>
      </c>
      <c r="G290" s="42">
        <f t="shared" si="13"/>
        <v>6613.74</v>
      </c>
      <c r="H290" s="42">
        <f t="shared" si="13"/>
        <v>64750.750000000007</v>
      </c>
      <c r="I290" s="42">
        <f t="shared" si="13"/>
        <v>13001.26</v>
      </c>
      <c r="J290" s="42">
        <f t="shared" si="13"/>
        <v>3156.51</v>
      </c>
      <c r="K290" s="42">
        <f t="shared" si="13"/>
        <v>1636.48</v>
      </c>
      <c r="L290" s="41">
        <f t="shared" si="13"/>
        <v>264112.22000000003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v>3685.31</v>
      </c>
      <c r="J295" s="18">
        <v>3156.51</v>
      </c>
      <c r="K295" s="18"/>
      <c r="L295" s="19">
        <f>SUM(F295:K295)</f>
        <v>6841.82</v>
      </c>
      <c r="M295" s="8"/>
      <c r="N295" s="266"/>
    </row>
    <row r="296" spans="1:14" s="3" customFormat="1" ht="12.2" customHeight="1" x14ac:dyDescent="0.15">
      <c r="A296" s="1" t="s">
        <v>439</v>
      </c>
      <c r="B296" s="2" t="s">
        <v>358</v>
      </c>
      <c r="C296" s="2" t="s">
        <v>291</v>
      </c>
      <c r="D296" s="2" t="s">
        <v>431</v>
      </c>
      <c r="E296" s="6">
        <v>1200</v>
      </c>
      <c r="F296" s="18">
        <v>27458.400000000001</v>
      </c>
      <c r="G296" s="18">
        <v>6613.74</v>
      </c>
      <c r="H296" s="18">
        <v>37835.78</v>
      </c>
      <c r="I296" s="18"/>
      <c r="J296" s="18"/>
      <c r="K296" s="18"/>
      <c r="L296" s="19">
        <f>SUM(F296:K296)</f>
        <v>71907.92</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4176</v>
      </c>
      <c r="G301" s="18"/>
      <c r="H301" s="18">
        <v>15581.78</v>
      </c>
      <c r="I301" s="18"/>
      <c r="J301" s="18"/>
      <c r="K301" s="18"/>
      <c r="L301" s="19">
        <f t="shared" si="14"/>
        <v>19757.78</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v>5488.68</v>
      </c>
      <c r="K306" s="18"/>
      <c r="L306" s="19">
        <f t="shared" si="14"/>
        <v>5488.68</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31634.400000000001</v>
      </c>
      <c r="G309" s="42">
        <f t="shared" si="15"/>
        <v>6613.74</v>
      </c>
      <c r="H309" s="42">
        <f t="shared" si="15"/>
        <v>53417.56</v>
      </c>
      <c r="I309" s="42">
        <f t="shared" si="15"/>
        <v>3685.31</v>
      </c>
      <c r="J309" s="42">
        <f t="shared" si="15"/>
        <v>8645.19</v>
      </c>
      <c r="K309" s="42">
        <f t="shared" si="15"/>
        <v>0</v>
      </c>
      <c r="L309" s="41">
        <f t="shared" si="15"/>
        <v>103996.19999999998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v>5337.32</v>
      </c>
      <c r="J314" s="18">
        <v>4571.49</v>
      </c>
      <c r="K314" s="18"/>
      <c r="L314" s="19">
        <f>SUM(F314:K314)</f>
        <v>9908.81</v>
      </c>
      <c r="M314" s="8"/>
      <c r="N314" s="266"/>
    </row>
    <row r="315" spans="1:14" s="3" customFormat="1" ht="12.2" customHeight="1" x14ac:dyDescent="0.15">
      <c r="A315" s="1" t="s">
        <v>439</v>
      </c>
      <c r="B315" s="2" t="s">
        <v>359</v>
      </c>
      <c r="C315" s="2" t="s">
        <v>291</v>
      </c>
      <c r="D315" s="2" t="s">
        <v>431</v>
      </c>
      <c r="E315" s="6">
        <v>1200</v>
      </c>
      <c r="F315" s="18">
        <v>39767.339999999997</v>
      </c>
      <c r="G315" s="18">
        <v>9578.52</v>
      </c>
      <c r="H315" s="18">
        <v>54796.91</v>
      </c>
      <c r="I315" s="18"/>
      <c r="J315" s="18"/>
      <c r="K315" s="18"/>
      <c r="L315" s="19">
        <f>SUM(F315:K315)</f>
        <v>104142.77</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6048</v>
      </c>
      <c r="G320" s="18"/>
      <c r="H320" s="18">
        <v>25600.44</v>
      </c>
      <c r="I320" s="18">
        <v>14760.25</v>
      </c>
      <c r="J320" s="18"/>
      <c r="K320" s="18"/>
      <c r="L320" s="19">
        <f t="shared" si="16"/>
        <v>46408.69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v>8584.86</v>
      </c>
      <c r="K325" s="18"/>
      <c r="L325" s="19">
        <f t="shared" si="16"/>
        <v>8584.86</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45815.34</v>
      </c>
      <c r="G328" s="42">
        <f t="shared" si="17"/>
        <v>9578.52</v>
      </c>
      <c r="H328" s="42">
        <f t="shared" si="17"/>
        <v>80397.350000000006</v>
      </c>
      <c r="I328" s="42">
        <f t="shared" si="17"/>
        <v>20097.57</v>
      </c>
      <c r="J328" s="42">
        <f t="shared" si="17"/>
        <v>13156.35</v>
      </c>
      <c r="K328" s="42">
        <f t="shared" si="17"/>
        <v>0</v>
      </c>
      <c r="L328" s="41">
        <f t="shared" si="17"/>
        <v>169045.13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252403.21999999997</v>
      </c>
      <c r="G338" s="41">
        <f t="shared" si="20"/>
        <v>22806</v>
      </c>
      <c r="H338" s="41">
        <f t="shared" si="20"/>
        <v>198565.66</v>
      </c>
      <c r="I338" s="41">
        <f t="shared" si="20"/>
        <v>36784.14</v>
      </c>
      <c r="J338" s="41">
        <f t="shared" si="20"/>
        <v>24958.050000000003</v>
      </c>
      <c r="K338" s="41">
        <f t="shared" si="20"/>
        <v>1636.48</v>
      </c>
      <c r="L338" s="41">
        <f t="shared" si="20"/>
        <v>537153.55000000005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252403.21999999997</v>
      </c>
      <c r="G352" s="41">
        <f>G338</f>
        <v>22806</v>
      </c>
      <c r="H352" s="41">
        <f>H338</f>
        <v>198565.66</v>
      </c>
      <c r="I352" s="41">
        <f>I338</f>
        <v>36784.14</v>
      </c>
      <c r="J352" s="41">
        <f>J338</f>
        <v>24958.050000000003</v>
      </c>
      <c r="K352" s="47">
        <f>K338+K351</f>
        <v>1636.48</v>
      </c>
      <c r="L352" s="41">
        <f>L338+L351</f>
        <v>537153.55000000005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53865.86</v>
      </c>
      <c r="G358" s="18">
        <v>10562.96</v>
      </c>
      <c r="H358" s="18">
        <v>2670.83</v>
      </c>
      <c r="I358" s="18">
        <v>51456.36</v>
      </c>
      <c r="J358" s="18"/>
      <c r="K358" s="18"/>
      <c r="L358" s="13">
        <f>SUM(F358:K358)</f>
        <v>118556.01</v>
      </c>
      <c r="N358" s="264"/>
      <c r="R358" s="3"/>
      <c r="S358" s="3"/>
      <c r="T358" s="3"/>
      <c r="U358" s="3"/>
      <c r="V358" s="3"/>
    </row>
    <row r="359" spans="1:22" s="3" customFormat="1" ht="12.2" customHeight="1" x14ac:dyDescent="0.15">
      <c r="A359" s="1" t="s">
        <v>542</v>
      </c>
      <c r="B359" s="2" t="s">
        <v>366</v>
      </c>
      <c r="C359" s="6">
        <v>2</v>
      </c>
      <c r="D359" s="2" t="s">
        <v>431</v>
      </c>
      <c r="E359" s="6"/>
      <c r="F359" s="18">
        <v>57012.37</v>
      </c>
      <c r="G359" s="18">
        <v>10562.96</v>
      </c>
      <c r="H359" s="18">
        <v>2777.93</v>
      </c>
      <c r="I359" s="18">
        <v>61335.72</v>
      </c>
      <c r="J359" s="18"/>
      <c r="K359" s="18"/>
      <c r="L359" s="19">
        <f>SUM(F359:K359)</f>
        <v>131688.97999999998</v>
      </c>
      <c r="M359" s="8"/>
      <c r="N359" s="266"/>
    </row>
    <row r="360" spans="1:22" s="3" customFormat="1" ht="12.2" customHeight="1" x14ac:dyDescent="0.15">
      <c r="A360" s="3" t="s">
        <v>543</v>
      </c>
      <c r="B360" s="2" t="s">
        <v>366</v>
      </c>
      <c r="C360" s="6">
        <v>3</v>
      </c>
      <c r="D360" s="2" t="s">
        <v>431</v>
      </c>
      <c r="E360" s="6"/>
      <c r="F360" s="18">
        <v>87053.17</v>
      </c>
      <c r="G360" s="18">
        <v>15298.08</v>
      </c>
      <c r="H360" s="18">
        <v>4344.99</v>
      </c>
      <c r="I360" s="18">
        <v>95935.360000000001</v>
      </c>
      <c r="J360" s="18"/>
      <c r="K360" s="18"/>
      <c r="L360" s="19">
        <f>SUM(F360:K360)</f>
        <v>202631.6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197931.40000000002</v>
      </c>
      <c r="G362" s="47">
        <f t="shared" si="22"/>
        <v>36424</v>
      </c>
      <c r="H362" s="47">
        <f t="shared" si="22"/>
        <v>9793.75</v>
      </c>
      <c r="I362" s="47">
        <f t="shared" si="22"/>
        <v>208727.44</v>
      </c>
      <c r="J362" s="47">
        <f t="shared" si="22"/>
        <v>0</v>
      </c>
      <c r="K362" s="47">
        <f t="shared" si="22"/>
        <v>0</v>
      </c>
      <c r="L362" s="47">
        <f t="shared" si="22"/>
        <v>452876.58999999997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44927.59</v>
      </c>
      <c r="G367" s="18">
        <v>43922.12</v>
      </c>
      <c r="H367" s="18">
        <v>68698.720000000001</v>
      </c>
      <c r="I367" s="56">
        <f>SUM(F367:H367)</f>
        <v>157548.43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6528.77</v>
      </c>
      <c r="G368" s="63">
        <v>17413.599999999999</v>
      </c>
      <c r="H368" s="63">
        <v>27236.639999999999</v>
      </c>
      <c r="I368" s="56">
        <f>SUM(F368:H368)</f>
        <v>51179.009999999995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51456.36</v>
      </c>
      <c r="G369" s="47">
        <f>SUM(G367:G368)</f>
        <v>61335.72</v>
      </c>
      <c r="H369" s="47">
        <f>SUM(H367:H368)</f>
        <v>95935.360000000001</v>
      </c>
      <c r="I369" s="47">
        <f>SUM(I367:I368)</f>
        <v>208727.44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212501.79</v>
      </c>
      <c r="I379" s="18"/>
      <c r="J379" s="18"/>
      <c r="K379" s="18"/>
      <c r="L379" s="13">
        <f t="shared" si="23"/>
        <v>212501.79</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212501.79</v>
      </c>
      <c r="I382" s="41">
        <f t="shared" si="24"/>
        <v>0</v>
      </c>
      <c r="J382" s="47">
        <f t="shared" si="24"/>
        <v>0</v>
      </c>
      <c r="K382" s="47">
        <f t="shared" si="24"/>
        <v>0</v>
      </c>
      <c r="L382" s="47">
        <f t="shared" si="24"/>
        <v>212501.79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3953.45</v>
      </c>
      <c r="I397" s="18"/>
      <c r="J397" s="24" t="s">
        <v>288</v>
      </c>
      <c r="K397" s="24" t="s">
        <v>288</v>
      </c>
      <c r="L397" s="56">
        <f t="shared" si="26"/>
        <v>3953.45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167500</v>
      </c>
      <c r="H400" s="18">
        <v>6044.7</v>
      </c>
      <c r="I400" s="18"/>
      <c r="J400" s="24" t="s">
        <v>288</v>
      </c>
      <c r="K400" s="24" t="s">
        <v>288</v>
      </c>
      <c r="L400" s="56">
        <f t="shared" si="26"/>
        <v>173544.7</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167500</v>
      </c>
      <c r="H401" s="47">
        <f>SUM(H395:H400)</f>
        <v>9998.15</v>
      </c>
      <c r="I401" s="47">
        <f>SUM(I395:I400)</f>
        <v>0</v>
      </c>
      <c r="J401" s="45" t="s">
        <v>288</v>
      </c>
      <c r="K401" s="45" t="s">
        <v>288</v>
      </c>
      <c r="L401" s="47">
        <f>SUM(L395:L400)</f>
        <v>177498.15000000002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167500</v>
      </c>
      <c r="H408" s="47">
        <f>H393+H401+H407</f>
        <v>9998.15</v>
      </c>
      <c r="I408" s="47">
        <f>I393+I401+I407</f>
        <v>0</v>
      </c>
      <c r="J408" s="24" t="s">
        <v>288</v>
      </c>
      <c r="K408" s="24" t="s">
        <v>288</v>
      </c>
      <c r="L408" s="47">
        <f>L393+L401+L407</f>
        <v>177498.15000000002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357088.01</v>
      </c>
      <c r="G441" s="18">
        <v>190680.19</v>
      </c>
      <c r="H441" s="18"/>
      <c r="I441" s="56">
        <f t="shared" si="33"/>
        <v>547768.19999999995</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357088.01</v>
      </c>
      <c r="G446" s="13">
        <f>SUM(G439:G445)</f>
        <v>190680.19</v>
      </c>
      <c r="H446" s="13">
        <f>SUM(H439:H445)</f>
        <v>0</v>
      </c>
      <c r="I446" s="13">
        <f>SUM(I439:I445)</f>
        <v>547768.19999999995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357088.01</v>
      </c>
      <c r="G457" s="18">
        <v>190680.19</v>
      </c>
      <c r="H457" s="18"/>
      <c r="I457" s="56">
        <f t="shared" si="34"/>
        <v>547768.19999999995</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357088.01</v>
      </c>
      <c r="G460" s="83">
        <f>SUM(G454:G459)</f>
        <v>190680.19</v>
      </c>
      <c r="H460" s="83">
        <f>SUM(H454:H459)</f>
        <v>0</v>
      </c>
      <c r="I460" s="83">
        <f>SUM(I454:I459)</f>
        <v>547768.19999999995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357088.01</v>
      </c>
      <c r="G461" s="42">
        <f>G452+G460</f>
        <v>190680.19</v>
      </c>
      <c r="H461" s="42">
        <f>H452+H460</f>
        <v>0</v>
      </c>
      <c r="I461" s="42">
        <f>I452+I460</f>
        <v>547768.19999999995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2262419.1800000002</v>
      </c>
      <c r="G465" s="18">
        <v>59185.31</v>
      </c>
      <c r="H465" s="18">
        <v>0</v>
      </c>
      <c r="I465" s="18">
        <v>212501.79</v>
      </c>
      <c r="J465" s="18">
        <v>370270.05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23087548.699999999</v>
      </c>
      <c r="G468" s="18">
        <v>430537.51</v>
      </c>
      <c r="H468" s="18">
        <v>537153.55000000005</v>
      </c>
      <c r="I468" s="18">
        <v>0</v>
      </c>
      <c r="J468" s="18">
        <v>177498.15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23087548.699999999</v>
      </c>
      <c r="G470" s="53">
        <f>SUM(G468:G469)</f>
        <v>430537.51</v>
      </c>
      <c r="H470" s="53">
        <f>SUM(H468:H469)</f>
        <v>537153.55000000005</v>
      </c>
      <c r="I470" s="53">
        <f>SUM(I468:I469)</f>
        <v>0</v>
      </c>
      <c r="J470" s="53">
        <f>SUM(J468:J469)</f>
        <v>177498.15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23896833.02</v>
      </c>
      <c r="G472" s="18">
        <v>452876.59</v>
      </c>
      <c r="H472" s="18">
        <v>537153.55000000005</v>
      </c>
      <c r="I472" s="18">
        <v>212501.79</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23896833.02</v>
      </c>
      <c r="G474" s="53">
        <f>SUM(G472:G473)</f>
        <v>452876.59</v>
      </c>
      <c r="H474" s="53">
        <f>SUM(H472:H473)</f>
        <v>537153.55000000005</v>
      </c>
      <c r="I474" s="53">
        <f>SUM(I472:I473)</f>
        <v>212501.79</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1453134.8599999994</v>
      </c>
      <c r="G476" s="53">
        <f>(G465+G470)- G474</f>
        <v>36846.229999999981</v>
      </c>
      <c r="H476" s="53">
        <f>(H465+H470)- H474</f>
        <v>0</v>
      </c>
      <c r="I476" s="53">
        <f>(I465+I470)- I474</f>
        <v>0</v>
      </c>
      <c r="J476" s="53">
        <f>(J465+J470)- J474</f>
        <v>547768.19999999995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16997033</v>
      </c>
      <c r="G493" s="18">
        <v>2005600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4.45</v>
      </c>
      <c r="G494" s="18">
        <v>2.16</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4245000</v>
      </c>
      <c r="G495" s="18">
        <v>1870000</v>
      </c>
      <c r="H495" s="18"/>
      <c r="I495" s="18"/>
      <c r="J495" s="18"/>
      <c r="K495" s="53">
        <f>SUM(F495:J495)</f>
        <v>6115000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850000</v>
      </c>
      <c r="G497" s="18">
        <v>135000</v>
      </c>
      <c r="H497" s="18"/>
      <c r="I497" s="18"/>
      <c r="J497" s="18"/>
      <c r="K497" s="53">
        <f t="shared" si="35"/>
        <v>985000</v>
      </c>
      <c r="L497" s="24" t="s">
        <v>288</v>
      </c>
      <c r="N497" s="265"/>
    </row>
    <row r="498" spans="1:14" s="52" customFormat="1" ht="12.2" customHeight="1" x14ac:dyDescent="0.2">
      <c r="A498" s="200" t="s">
        <v>622</v>
      </c>
      <c r="B498" s="201">
        <v>20</v>
      </c>
      <c r="C498" s="202">
        <v>9</v>
      </c>
      <c r="D498" s="203" t="s">
        <v>432</v>
      </c>
      <c r="E498" s="202"/>
      <c r="F498" s="204">
        <v>3395000</v>
      </c>
      <c r="G498" s="204">
        <v>1735000</v>
      </c>
      <c r="H498" s="204"/>
      <c r="I498" s="204"/>
      <c r="J498" s="204"/>
      <c r="K498" s="205">
        <f t="shared" si="35"/>
        <v>5130000</v>
      </c>
      <c r="L498" s="206" t="s">
        <v>288</v>
      </c>
      <c r="N498" s="265"/>
    </row>
    <row r="499" spans="1:14" s="52" customFormat="1" ht="12.2" customHeight="1" thickBot="1" x14ac:dyDescent="0.25">
      <c r="A499" s="22" t="s">
        <v>623</v>
      </c>
      <c r="B499" s="75">
        <v>20</v>
      </c>
      <c r="C499" s="115">
        <v>10</v>
      </c>
      <c r="D499" s="2" t="s">
        <v>432</v>
      </c>
      <c r="E499" s="115"/>
      <c r="F499" s="18">
        <v>339125</v>
      </c>
      <c r="G499" s="18">
        <v>406193.75</v>
      </c>
      <c r="H499" s="18"/>
      <c r="I499" s="18"/>
      <c r="J499" s="18"/>
      <c r="K499" s="53">
        <f t="shared" si="35"/>
        <v>745318.75</v>
      </c>
      <c r="L499" s="24" t="s">
        <v>288</v>
      </c>
      <c r="N499" s="265"/>
    </row>
    <row r="500" spans="1:14" s="52" customFormat="1" ht="12.2" customHeight="1" thickTop="1" x14ac:dyDescent="0.2">
      <c r="A500" s="139" t="s">
        <v>624</v>
      </c>
      <c r="B500" s="44">
        <v>20</v>
      </c>
      <c r="C500" s="195">
        <v>11</v>
      </c>
      <c r="D500" s="39" t="s">
        <v>432</v>
      </c>
      <c r="E500" s="195"/>
      <c r="F500" s="42">
        <f>SUM(F498:F499)</f>
        <v>3734125</v>
      </c>
      <c r="G500" s="42">
        <f>SUM(G498:G499)</f>
        <v>2141193.75</v>
      </c>
      <c r="H500" s="42">
        <f>SUM(H498:H499)</f>
        <v>0</v>
      </c>
      <c r="I500" s="42">
        <f>SUM(I498:I499)</f>
        <v>0</v>
      </c>
      <c r="J500" s="42">
        <f>SUM(J498:J499)</f>
        <v>0</v>
      </c>
      <c r="K500" s="42">
        <f t="shared" si="35"/>
        <v>5875318.75</v>
      </c>
      <c r="L500" s="45" t="s">
        <v>288</v>
      </c>
      <c r="N500" s="265"/>
    </row>
    <row r="501" spans="1:14" s="52" customFormat="1" ht="12.2" customHeight="1" x14ac:dyDescent="0.2">
      <c r="A501" s="200" t="s">
        <v>651</v>
      </c>
      <c r="B501" s="201">
        <v>20</v>
      </c>
      <c r="C501" s="202">
        <v>12</v>
      </c>
      <c r="D501" s="203" t="s">
        <v>432</v>
      </c>
      <c r="E501" s="202"/>
      <c r="F501" s="204">
        <v>850000</v>
      </c>
      <c r="G501" s="204">
        <v>135000</v>
      </c>
      <c r="H501" s="204"/>
      <c r="I501" s="204"/>
      <c r="J501" s="204"/>
      <c r="K501" s="205">
        <f t="shared" si="35"/>
        <v>985000</v>
      </c>
      <c r="L501" s="206" t="s">
        <v>288</v>
      </c>
      <c r="N501" s="265"/>
    </row>
    <row r="502" spans="1:14" s="52" customFormat="1" ht="12.2" customHeight="1" thickBot="1" x14ac:dyDescent="0.25">
      <c r="A502" s="22" t="s">
        <v>625</v>
      </c>
      <c r="B502" s="75">
        <v>20</v>
      </c>
      <c r="C502" s="115">
        <v>13</v>
      </c>
      <c r="D502" s="2" t="s">
        <v>432</v>
      </c>
      <c r="E502" s="115"/>
      <c r="F502" s="18">
        <v>148500</v>
      </c>
      <c r="G502" s="18">
        <v>66721</v>
      </c>
      <c r="H502" s="18"/>
      <c r="I502" s="18"/>
      <c r="J502" s="18"/>
      <c r="K502" s="53">
        <f t="shared" si="35"/>
        <v>215221</v>
      </c>
      <c r="L502" s="24" t="s">
        <v>288</v>
      </c>
      <c r="N502" s="265"/>
    </row>
    <row r="503" spans="1:14" s="52" customFormat="1" ht="12.2" customHeight="1" thickTop="1" x14ac:dyDescent="0.2">
      <c r="A503" s="139" t="s">
        <v>626</v>
      </c>
      <c r="B503" s="44">
        <v>20</v>
      </c>
      <c r="C503" s="195">
        <v>14</v>
      </c>
      <c r="D503" s="39" t="s">
        <v>432</v>
      </c>
      <c r="E503" s="195"/>
      <c r="F503" s="42">
        <f>SUM(F501:F502)</f>
        <v>998500</v>
      </c>
      <c r="G503" s="42">
        <f>SUM(G501:G502)</f>
        <v>201721</v>
      </c>
      <c r="H503" s="42">
        <f>SUM(H501:H502)</f>
        <v>0</v>
      </c>
      <c r="I503" s="42">
        <f>SUM(I501:I502)</f>
        <v>0</v>
      </c>
      <c r="J503" s="42">
        <f>SUM(J501:J502)</f>
        <v>0</v>
      </c>
      <c r="K503" s="42">
        <f t="shared" si="35"/>
        <v>1200221</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677509.53</v>
      </c>
      <c r="G521" s="18">
        <v>634673.42000000004</v>
      </c>
      <c r="H521" s="18">
        <v>225858.94</v>
      </c>
      <c r="I521" s="18">
        <v>1913.18</v>
      </c>
      <c r="J521" s="18">
        <v>5549.87</v>
      </c>
      <c r="K521" s="18"/>
      <c r="L521" s="88">
        <f>SUM(F521:K521)</f>
        <v>1545504.9400000002</v>
      </c>
      <c r="N521" s="265"/>
    </row>
    <row r="522" spans="1:14" s="52" customFormat="1" ht="12.2" customHeight="1" x14ac:dyDescent="0.2">
      <c r="A522" s="22" t="s">
        <v>634</v>
      </c>
      <c r="B522" s="105">
        <v>21</v>
      </c>
      <c r="C522" s="115">
        <v>2</v>
      </c>
      <c r="D522" s="2" t="s">
        <v>432</v>
      </c>
      <c r="E522" s="115"/>
      <c r="F522" s="18">
        <v>537824.38</v>
      </c>
      <c r="G522" s="18">
        <v>436406.12</v>
      </c>
      <c r="H522" s="18">
        <v>344836.93</v>
      </c>
      <c r="I522" s="18">
        <v>1182.6099999999999</v>
      </c>
      <c r="J522" s="18">
        <v>2446.27</v>
      </c>
      <c r="K522" s="18"/>
      <c r="L522" s="88">
        <f>SUM(F522:K522)</f>
        <v>1322696.31</v>
      </c>
      <c r="N522" s="265"/>
    </row>
    <row r="523" spans="1:14" s="52" customFormat="1" ht="12.2" customHeight="1" thickBot="1" x14ac:dyDescent="0.25">
      <c r="A523" s="22" t="s">
        <v>635</v>
      </c>
      <c r="B523" s="105">
        <v>21</v>
      </c>
      <c r="C523" s="115">
        <v>3</v>
      </c>
      <c r="D523" s="2" t="s">
        <v>432</v>
      </c>
      <c r="E523" s="115"/>
      <c r="F523" s="18">
        <v>665188.64</v>
      </c>
      <c r="G523" s="18">
        <v>356122.34</v>
      </c>
      <c r="H523" s="18">
        <v>478315.54</v>
      </c>
      <c r="I523" s="18">
        <v>1527.16</v>
      </c>
      <c r="J523" s="18">
        <v>558.66999999999996</v>
      </c>
      <c r="K523" s="18"/>
      <c r="L523" s="88">
        <f>SUM(F523:K523)</f>
        <v>1501712.3499999999</v>
      </c>
      <c r="N523" s="265"/>
    </row>
    <row r="524" spans="1:14" s="52" customFormat="1" ht="12.2" customHeight="1" thickTop="1" x14ac:dyDescent="0.2">
      <c r="A524" s="139" t="s">
        <v>63</v>
      </c>
      <c r="B524" s="107">
        <v>21</v>
      </c>
      <c r="C524" s="195">
        <v>4</v>
      </c>
      <c r="D524" s="196" t="s">
        <v>432</v>
      </c>
      <c r="E524" s="195"/>
      <c r="F524" s="108">
        <f>SUM(F521:F523)</f>
        <v>1880522.5500000003</v>
      </c>
      <c r="G524" s="108">
        <f t="shared" ref="G524:L524" si="36">SUM(G521:G523)</f>
        <v>1427201.8800000001</v>
      </c>
      <c r="H524" s="108">
        <f t="shared" si="36"/>
        <v>1049011.4099999999</v>
      </c>
      <c r="I524" s="108">
        <f t="shared" si="36"/>
        <v>4622.95</v>
      </c>
      <c r="J524" s="108">
        <f t="shared" si="36"/>
        <v>8554.81</v>
      </c>
      <c r="K524" s="108">
        <f t="shared" si="36"/>
        <v>0</v>
      </c>
      <c r="L524" s="89">
        <f t="shared" si="36"/>
        <v>4369913.5999999996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26264.94</v>
      </c>
      <c r="G526" s="18"/>
      <c r="H526" s="18">
        <v>12706.75</v>
      </c>
      <c r="I526" s="18">
        <v>721.81</v>
      </c>
      <c r="J526" s="18"/>
      <c r="K526" s="18"/>
      <c r="L526" s="88">
        <f>SUM(F526:K526)</f>
        <v>39693.5</v>
      </c>
      <c r="M526" s="8"/>
      <c r="N526" s="266"/>
    </row>
    <row r="527" spans="1:14" s="3" customFormat="1" ht="12.2" customHeight="1" x14ac:dyDescent="0.15">
      <c r="A527" s="22" t="s">
        <v>634</v>
      </c>
      <c r="B527" s="105">
        <v>21</v>
      </c>
      <c r="C527" s="115">
        <v>6</v>
      </c>
      <c r="D527" s="2" t="s">
        <v>432</v>
      </c>
      <c r="E527" s="115"/>
      <c r="F527" s="18">
        <v>25492.53</v>
      </c>
      <c r="G527" s="18"/>
      <c r="H527" s="18">
        <v>20005</v>
      </c>
      <c r="I527" s="18">
        <v>347.74</v>
      </c>
      <c r="J527" s="18"/>
      <c r="K527" s="18"/>
      <c r="L527" s="88">
        <f>SUM(F527:K527)</f>
        <v>45845.27</v>
      </c>
      <c r="M527" s="8"/>
      <c r="N527" s="266"/>
    </row>
    <row r="528" spans="1:14" s="3" customFormat="1" ht="12.2" customHeight="1" thickBot="1" x14ac:dyDescent="0.2">
      <c r="A528" s="22" t="s">
        <v>635</v>
      </c>
      <c r="B528" s="118">
        <v>21</v>
      </c>
      <c r="C528" s="118">
        <v>7</v>
      </c>
      <c r="D528" s="2" t="s">
        <v>432</v>
      </c>
      <c r="E528" s="118"/>
      <c r="F528" s="18">
        <v>25492</v>
      </c>
      <c r="G528" s="18"/>
      <c r="H528" s="18">
        <v>65285</v>
      </c>
      <c r="I528" s="18">
        <v>262.08</v>
      </c>
      <c r="J528" s="18"/>
      <c r="K528" s="18"/>
      <c r="L528" s="88">
        <f>SUM(F528:K528)</f>
        <v>91039.08</v>
      </c>
      <c r="M528" s="8"/>
      <c r="N528" s="266"/>
    </row>
    <row r="529" spans="1:14" s="3" customFormat="1" ht="12.2" customHeight="1" thickTop="1" x14ac:dyDescent="0.15">
      <c r="A529" s="139" t="s">
        <v>65</v>
      </c>
      <c r="B529" s="107">
        <v>21</v>
      </c>
      <c r="C529" s="107">
        <v>8</v>
      </c>
      <c r="D529" s="158" t="s">
        <v>432</v>
      </c>
      <c r="E529" s="107"/>
      <c r="F529" s="89">
        <f>SUM(F526:F528)</f>
        <v>77249.47</v>
      </c>
      <c r="G529" s="89">
        <f t="shared" ref="G529:L529" si="37">SUM(G526:G528)</f>
        <v>0</v>
      </c>
      <c r="H529" s="89">
        <f t="shared" si="37"/>
        <v>97996.75</v>
      </c>
      <c r="I529" s="89">
        <f t="shared" si="37"/>
        <v>1331.6299999999999</v>
      </c>
      <c r="J529" s="89">
        <f t="shared" si="37"/>
        <v>0</v>
      </c>
      <c r="K529" s="89">
        <f t="shared" si="37"/>
        <v>0</v>
      </c>
      <c r="L529" s="89">
        <f t="shared" si="37"/>
        <v>176577.84999999998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46412.18</v>
      </c>
      <c r="G531" s="18">
        <v>16423.86</v>
      </c>
      <c r="H531" s="18"/>
      <c r="I531" s="18"/>
      <c r="J531" s="18"/>
      <c r="K531" s="18"/>
      <c r="L531" s="88">
        <f>SUM(F531:K531)</f>
        <v>62836.04</v>
      </c>
      <c r="M531" s="8"/>
      <c r="N531" s="266"/>
    </row>
    <row r="532" spans="1:14" s="3" customFormat="1" ht="12.2" customHeight="1" x14ac:dyDescent="0.15">
      <c r="A532" s="22" t="s">
        <v>634</v>
      </c>
      <c r="B532" s="105">
        <v>21</v>
      </c>
      <c r="C532" s="105">
        <v>10</v>
      </c>
      <c r="D532" s="2" t="s">
        <v>432</v>
      </c>
      <c r="E532" s="105"/>
      <c r="F532" s="18">
        <v>46412.18</v>
      </c>
      <c r="G532" s="18">
        <v>16423.86</v>
      </c>
      <c r="H532" s="18"/>
      <c r="I532" s="18"/>
      <c r="J532" s="18"/>
      <c r="K532" s="18"/>
      <c r="L532" s="88">
        <f>SUM(F532:K532)</f>
        <v>62836.04</v>
      </c>
      <c r="M532" s="8"/>
      <c r="N532" s="266"/>
    </row>
    <row r="533" spans="1:14" s="3" customFormat="1" ht="12.2" customHeight="1" thickBot="1" x14ac:dyDescent="0.2">
      <c r="A533" s="22" t="s">
        <v>635</v>
      </c>
      <c r="B533" s="105">
        <v>21</v>
      </c>
      <c r="C533" s="105">
        <v>11</v>
      </c>
      <c r="D533" s="2" t="s">
        <v>432</v>
      </c>
      <c r="E533" s="105"/>
      <c r="F533" s="18">
        <v>67217.64</v>
      </c>
      <c r="G533" s="18">
        <v>23786.28</v>
      </c>
      <c r="H533" s="18"/>
      <c r="I533" s="18"/>
      <c r="J533" s="18"/>
      <c r="K533" s="18"/>
      <c r="L533" s="88">
        <f>SUM(F533:K533)</f>
        <v>91003.92</v>
      </c>
      <c r="M533" s="8"/>
      <c r="N533" s="266"/>
    </row>
    <row r="534" spans="1:14" s="3" customFormat="1" ht="12.2" customHeight="1" thickTop="1" x14ac:dyDescent="0.15">
      <c r="A534" s="139" t="s">
        <v>67</v>
      </c>
      <c r="B534" s="107">
        <v>21</v>
      </c>
      <c r="C534" s="107">
        <v>12</v>
      </c>
      <c r="D534" s="158" t="s">
        <v>432</v>
      </c>
      <c r="E534" s="107"/>
      <c r="F534" s="89">
        <f>SUM(F531:F533)</f>
        <v>160042</v>
      </c>
      <c r="G534" s="89">
        <f t="shared" ref="G534:L534" si="38">SUM(G531:G533)</f>
        <v>56634</v>
      </c>
      <c r="H534" s="89">
        <f t="shared" si="38"/>
        <v>0</v>
      </c>
      <c r="I534" s="89">
        <f t="shared" si="38"/>
        <v>0</v>
      </c>
      <c r="J534" s="89">
        <f t="shared" si="38"/>
        <v>0</v>
      </c>
      <c r="K534" s="89">
        <f t="shared" si="38"/>
        <v>0</v>
      </c>
      <c r="L534" s="89">
        <f t="shared" si="38"/>
        <v>216676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2425.4699999999998</v>
      </c>
      <c r="I536" s="18"/>
      <c r="J536" s="18"/>
      <c r="K536" s="18"/>
      <c r="L536" s="88">
        <f>SUM(F536:K536)</f>
        <v>2425.4699999999998</v>
      </c>
      <c r="M536" s="8"/>
      <c r="N536" s="266"/>
    </row>
    <row r="537" spans="1:14" s="3" customFormat="1" ht="12.2" customHeight="1" x14ac:dyDescent="0.15">
      <c r="A537" s="22" t="s">
        <v>634</v>
      </c>
      <c r="B537" s="105">
        <v>21</v>
      </c>
      <c r="C537" s="105">
        <v>14</v>
      </c>
      <c r="D537" s="2" t="s">
        <v>432</v>
      </c>
      <c r="E537" s="105"/>
      <c r="F537" s="18"/>
      <c r="G537" s="18"/>
      <c r="H537" s="18">
        <v>2425.4699999999998</v>
      </c>
      <c r="I537" s="18"/>
      <c r="J537" s="18"/>
      <c r="K537" s="18"/>
      <c r="L537" s="88">
        <f>SUM(F537:K537)</f>
        <v>2425.4699999999998</v>
      </c>
      <c r="M537" s="8"/>
      <c r="N537" s="266"/>
    </row>
    <row r="538" spans="1:14" s="3" customFormat="1" ht="12.2" customHeight="1" thickBot="1" x14ac:dyDescent="0.2">
      <c r="A538" s="22" t="s">
        <v>635</v>
      </c>
      <c r="B538" s="105">
        <v>21</v>
      </c>
      <c r="C538" s="105">
        <v>15</v>
      </c>
      <c r="D538" s="2" t="s">
        <v>432</v>
      </c>
      <c r="E538" s="105"/>
      <c r="F538" s="18"/>
      <c r="G538" s="18"/>
      <c r="H538" s="18">
        <v>3512.74</v>
      </c>
      <c r="I538" s="18"/>
      <c r="J538" s="18"/>
      <c r="K538" s="18"/>
      <c r="L538" s="88">
        <f>SUM(F538:K538)</f>
        <v>3512.74</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8363.68</v>
      </c>
      <c r="I539" s="89">
        <f t="shared" si="39"/>
        <v>0</v>
      </c>
      <c r="J539" s="89">
        <f t="shared" si="39"/>
        <v>0</v>
      </c>
      <c r="K539" s="89">
        <f t="shared" si="39"/>
        <v>0</v>
      </c>
      <c r="L539" s="89">
        <f t="shared" si="39"/>
        <v>8363.68</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21727.29</v>
      </c>
      <c r="I541" s="18"/>
      <c r="J541" s="18"/>
      <c r="K541" s="18"/>
      <c r="L541" s="88">
        <f>SUM(F541:K541)</f>
        <v>21727.29</v>
      </c>
      <c r="M541" s="8"/>
      <c r="N541" s="266"/>
    </row>
    <row r="542" spans="1:14" s="3" customFormat="1" ht="12.2" customHeight="1" x14ac:dyDescent="0.15">
      <c r="A542" s="22" t="s">
        <v>634</v>
      </c>
      <c r="B542" s="105">
        <v>21</v>
      </c>
      <c r="C542" s="105">
        <v>18</v>
      </c>
      <c r="D542" s="2" t="s">
        <v>432</v>
      </c>
      <c r="E542" s="105"/>
      <c r="F542" s="18"/>
      <c r="G542" s="18"/>
      <c r="H542" s="18">
        <v>45109.59</v>
      </c>
      <c r="I542" s="18"/>
      <c r="J542" s="18"/>
      <c r="K542" s="18"/>
      <c r="L542" s="88">
        <f>SUM(F542:K542)</f>
        <v>45109.59</v>
      </c>
      <c r="M542" s="8"/>
      <c r="N542" s="266"/>
    </row>
    <row r="543" spans="1:14" s="3" customFormat="1" ht="12.2" customHeight="1" thickBot="1" x14ac:dyDescent="0.2">
      <c r="A543" s="22" t="s">
        <v>635</v>
      </c>
      <c r="B543" s="105">
        <v>21</v>
      </c>
      <c r="C543" s="105">
        <v>19</v>
      </c>
      <c r="D543" s="2" t="s">
        <v>432</v>
      </c>
      <c r="E543" s="105"/>
      <c r="F543" s="18"/>
      <c r="G543" s="18"/>
      <c r="H543" s="18">
        <v>91589.09</v>
      </c>
      <c r="I543" s="18"/>
      <c r="J543" s="18"/>
      <c r="K543" s="18"/>
      <c r="L543" s="88">
        <f>SUM(F543:K543)</f>
        <v>91589.09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158425.97</v>
      </c>
      <c r="I544" s="193">
        <f t="shared" si="40"/>
        <v>0</v>
      </c>
      <c r="J544" s="193">
        <f t="shared" si="40"/>
        <v>0</v>
      </c>
      <c r="K544" s="193">
        <f t="shared" si="40"/>
        <v>0</v>
      </c>
      <c r="L544" s="193">
        <f t="shared" si="40"/>
        <v>158425.97</v>
      </c>
      <c r="M544" s="8"/>
      <c r="N544" s="266"/>
    </row>
    <row r="545" spans="1:14" s="3" customFormat="1" ht="12.2" customHeight="1" thickTop="1" x14ac:dyDescent="0.15">
      <c r="A545" s="98" t="s">
        <v>72</v>
      </c>
      <c r="B545" s="107">
        <v>21</v>
      </c>
      <c r="C545" s="107">
        <v>21</v>
      </c>
      <c r="D545" s="158" t="s">
        <v>432</v>
      </c>
      <c r="E545" s="107"/>
      <c r="F545" s="89">
        <f>F524+F529+F534+F539+F544</f>
        <v>2117814.0200000005</v>
      </c>
      <c r="G545" s="89">
        <f t="shared" ref="G545:L545" si="41">G524+G529+G534+G539+G544</f>
        <v>1483835.8800000001</v>
      </c>
      <c r="H545" s="89">
        <f t="shared" si="41"/>
        <v>1313797.8099999998</v>
      </c>
      <c r="I545" s="89">
        <f t="shared" si="41"/>
        <v>5954.58</v>
      </c>
      <c r="J545" s="89">
        <f t="shared" si="41"/>
        <v>8554.81</v>
      </c>
      <c r="K545" s="89">
        <f t="shared" si="41"/>
        <v>0</v>
      </c>
      <c r="L545" s="89">
        <f t="shared" si="41"/>
        <v>4929957.0999999987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1545504.9400000002</v>
      </c>
      <c r="G549" s="87">
        <f>L526</f>
        <v>39693.5</v>
      </c>
      <c r="H549" s="87">
        <f>L531</f>
        <v>62836.04</v>
      </c>
      <c r="I549" s="87">
        <f>L536</f>
        <v>2425.4699999999998</v>
      </c>
      <c r="J549" s="87">
        <f>L541</f>
        <v>21727.29</v>
      </c>
      <c r="K549" s="87">
        <f>SUM(F549:J549)</f>
        <v>1672187.2400000002</v>
      </c>
      <c r="L549" s="24" t="s">
        <v>288</v>
      </c>
      <c r="M549" s="8"/>
      <c r="N549" s="266"/>
    </row>
    <row r="550" spans="1:14" s="3" customFormat="1" ht="12.2" customHeight="1" x14ac:dyDescent="0.15">
      <c r="A550" s="22" t="s">
        <v>634</v>
      </c>
      <c r="B550" s="75">
        <v>21</v>
      </c>
      <c r="C550" s="75">
        <v>23</v>
      </c>
      <c r="D550" s="2" t="s">
        <v>432</v>
      </c>
      <c r="E550" s="75"/>
      <c r="F550" s="87">
        <f>L522</f>
        <v>1322696.31</v>
      </c>
      <c r="G550" s="87">
        <f>L527</f>
        <v>45845.27</v>
      </c>
      <c r="H550" s="87">
        <f>L532</f>
        <v>62836.04</v>
      </c>
      <c r="I550" s="87">
        <f>L537</f>
        <v>2425.4699999999998</v>
      </c>
      <c r="J550" s="87">
        <f>L542</f>
        <v>45109.59</v>
      </c>
      <c r="K550" s="87">
        <f>SUM(F550:J550)</f>
        <v>1478912.6800000002</v>
      </c>
      <c r="L550" s="24" t="s">
        <v>288</v>
      </c>
      <c r="M550" s="8"/>
      <c r="N550" s="266"/>
    </row>
    <row r="551" spans="1:14" s="3" customFormat="1" ht="12.2" customHeight="1" thickBot="1" x14ac:dyDescent="0.2">
      <c r="A551" s="22" t="s">
        <v>635</v>
      </c>
      <c r="B551" s="75">
        <v>21</v>
      </c>
      <c r="C551" s="75">
        <v>24</v>
      </c>
      <c r="D551" s="2" t="s">
        <v>432</v>
      </c>
      <c r="E551" s="75"/>
      <c r="F551" s="87">
        <f>L523</f>
        <v>1501712.3499999999</v>
      </c>
      <c r="G551" s="87">
        <f>L528</f>
        <v>91039.08</v>
      </c>
      <c r="H551" s="87">
        <f>L533</f>
        <v>91003.92</v>
      </c>
      <c r="I551" s="87">
        <f>L538</f>
        <v>3512.74</v>
      </c>
      <c r="J551" s="87">
        <f>L543</f>
        <v>91589.09</v>
      </c>
      <c r="K551" s="87">
        <f>SUM(F551:J551)</f>
        <v>1778857.18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4369913.5999999996</v>
      </c>
      <c r="G552" s="89">
        <f t="shared" si="42"/>
        <v>176577.84999999998</v>
      </c>
      <c r="H552" s="89">
        <f t="shared" si="42"/>
        <v>216676</v>
      </c>
      <c r="I552" s="89">
        <f t="shared" si="42"/>
        <v>8363.68</v>
      </c>
      <c r="J552" s="89">
        <f t="shared" si="42"/>
        <v>158425.97</v>
      </c>
      <c r="K552" s="89">
        <f t="shared" si="42"/>
        <v>4929957.1000000006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27232</v>
      </c>
      <c r="G562" s="18">
        <v>29059</v>
      </c>
      <c r="H562" s="18"/>
      <c r="I562" s="18"/>
      <c r="J562" s="18"/>
      <c r="K562" s="18"/>
      <c r="L562" s="88">
        <f>SUM(F562:K562)</f>
        <v>56291</v>
      </c>
      <c r="M562" s="8"/>
      <c r="N562" s="266"/>
    </row>
    <row r="563" spans="1:14" s="3" customFormat="1" ht="12.2" customHeight="1" x14ac:dyDescent="0.15">
      <c r="A563" s="22" t="s">
        <v>634</v>
      </c>
      <c r="B563" s="105">
        <v>22</v>
      </c>
      <c r="C563" s="115">
        <v>6</v>
      </c>
      <c r="D563" s="2" t="s">
        <v>432</v>
      </c>
      <c r="E563" s="115"/>
      <c r="F563" s="18">
        <v>12569</v>
      </c>
      <c r="G563" s="18">
        <v>3208</v>
      </c>
      <c r="H563" s="18"/>
      <c r="I563" s="18"/>
      <c r="J563" s="18"/>
      <c r="K563" s="18"/>
      <c r="L563" s="88">
        <f>SUM(F563:K563)</f>
        <v>15777</v>
      </c>
      <c r="M563" s="8"/>
      <c r="N563" s="266"/>
    </row>
    <row r="564" spans="1:14" s="3" customFormat="1" ht="12.2" customHeight="1" thickBot="1" x14ac:dyDescent="0.2">
      <c r="A564" s="22" t="s">
        <v>635</v>
      </c>
      <c r="B564" s="105">
        <v>22</v>
      </c>
      <c r="C564" s="118">
        <v>7</v>
      </c>
      <c r="D564" s="2" t="s">
        <v>432</v>
      </c>
      <c r="E564" s="118"/>
      <c r="F564" s="18">
        <v>12569</v>
      </c>
      <c r="G564" s="18">
        <v>3208</v>
      </c>
      <c r="H564" s="18"/>
      <c r="I564" s="18"/>
      <c r="J564" s="18"/>
      <c r="K564" s="18"/>
      <c r="L564" s="88">
        <f>SUM(F564:K564)</f>
        <v>15777</v>
      </c>
      <c r="M564" s="8"/>
      <c r="N564" s="266"/>
    </row>
    <row r="565" spans="1:14" s="3" customFormat="1" ht="12.2" customHeight="1" thickTop="1" x14ac:dyDescent="0.15">
      <c r="A565" s="139" t="s">
        <v>65</v>
      </c>
      <c r="B565" s="107">
        <v>22</v>
      </c>
      <c r="C565" s="107">
        <v>8</v>
      </c>
      <c r="D565" s="196" t="s">
        <v>432</v>
      </c>
      <c r="E565" s="107"/>
      <c r="F565" s="89">
        <f t="shared" ref="F565:L565" si="44">SUM(F562:F564)</f>
        <v>52370</v>
      </c>
      <c r="G565" s="89">
        <f t="shared" si="44"/>
        <v>35475</v>
      </c>
      <c r="H565" s="89">
        <f t="shared" si="44"/>
        <v>0</v>
      </c>
      <c r="I565" s="89">
        <f t="shared" si="44"/>
        <v>0</v>
      </c>
      <c r="J565" s="89">
        <f t="shared" si="44"/>
        <v>0</v>
      </c>
      <c r="K565" s="89">
        <f t="shared" si="44"/>
        <v>0</v>
      </c>
      <c r="L565" s="89">
        <f t="shared" si="44"/>
        <v>87845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52370</v>
      </c>
      <c r="G571" s="89">
        <f t="shared" ref="G571:L571" si="46">G560+G565+G570</f>
        <v>35475</v>
      </c>
      <c r="H571" s="89">
        <f t="shared" si="46"/>
        <v>0</v>
      </c>
      <c r="I571" s="89">
        <f t="shared" si="46"/>
        <v>0</v>
      </c>
      <c r="J571" s="89">
        <f t="shared" si="46"/>
        <v>0</v>
      </c>
      <c r="K571" s="89">
        <f t="shared" si="46"/>
        <v>0</v>
      </c>
      <c r="L571" s="89">
        <f t="shared" si="46"/>
        <v>87845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21864.29</v>
      </c>
      <c r="G583" s="18">
        <v>19334.59</v>
      </c>
      <c r="H583" s="18">
        <v>113397.5</v>
      </c>
      <c r="I583" s="87">
        <f t="shared" si="47"/>
        <v>154596.38</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184538.77</v>
      </c>
      <c r="I584" s="87">
        <f t="shared" si="47"/>
        <v>184538.77</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140115.51999999999</v>
      </c>
      <c r="I591" s="18">
        <v>140115.51999999999</v>
      </c>
      <c r="J591" s="18">
        <v>154775.91</v>
      </c>
      <c r="K591" s="104">
        <f t="shared" ref="K591:K597" si="48">SUM(H591:J591)</f>
        <v>435006.94999999995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21727.29</v>
      </c>
      <c r="I592" s="18">
        <v>45109.59</v>
      </c>
      <c r="J592" s="18">
        <v>91589.09</v>
      </c>
      <c r="K592" s="104">
        <f t="shared" si="48"/>
        <v>158425.97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48150</v>
      </c>
      <c r="K593" s="104">
        <f t="shared" si="48"/>
        <v>48150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14478.35</v>
      </c>
      <c r="J594" s="18">
        <v>68925.36</v>
      </c>
      <c r="K594" s="104">
        <f t="shared" si="48"/>
        <v>83403.710000000006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9357</v>
      </c>
      <c r="I595" s="18">
        <v>15091.93</v>
      </c>
      <c r="J595" s="18">
        <v>4340.92</v>
      </c>
      <c r="K595" s="104">
        <f t="shared" si="48"/>
        <v>28789.85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v>295</v>
      </c>
      <c r="K597" s="104">
        <f t="shared" si="48"/>
        <v>295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171199.81</v>
      </c>
      <c r="I598" s="108">
        <f>SUM(I591:I597)</f>
        <v>214795.38999999998</v>
      </c>
      <c r="J598" s="108">
        <f>SUM(J591:J597)</f>
        <v>368076.27999999997</v>
      </c>
      <c r="K598" s="108">
        <f>SUM(K591:K597)</f>
        <v>754071.47999999986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56502.879999999997</v>
      </c>
      <c r="I604" s="18">
        <v>79044.61</v>
      </c>
      <c r="J604" s="18">
        <v>95329.66</v>
      </c>
      <c r="K604" s="104">
        <f>SUM(H604:J604)</f>
        <v>230877.15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56502.879999999997</v>
      </c>
      <c r="I605" s="108">
        <f>SUM(I602:I604)</f>
        <v>79044.61</v>
      </c>
      <c r="J605" s="108">
        <f>SUM(J602:J604)</f>
        <v>95329.66</v>
      </c>
      <c r="K605" s="108">
        <f>SUM(K602:K604)</f>
        <v>230877.15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45531.43</v>
      </c>
      <c r="G611" s="18">
        <v>8937.82</v>
      </c>
      <c r="H611" s="18"/>
      <c r="I611" s="18">
        <v>7747.3</v>
      </c>
      <c r="J611" s="18"/>
      <c r="K611" s="18"/>
      <c r="L611" s="88">
        <f>SUM(F611:K611)</f>
        <v>62216.55</v>
      </c>
      <c r="M611" s="8"/>
      <c r="N611" s="266"/>
    </row>
    <row r="612" spans="1:14" s="3" customFormat="1" ht="12.2" customHeight="1" x14ac:dyDescent="0.15">
      <c r="A612" s="22" t="s">
        <v>634</v>
      </c>
      <c r="B612" s="75">
        <v>23</v>
      </c>
      <c r="C612" s="75">
        <v>14</v>
      </c>
      <c r="D612" s="2" t="s">
        <v>432</v>
      </c>
      <c r="E612" s="75"/>
      <c r="F612" s="18">
        <v>36137.67</v>
      </c>
      <c r="G612" s="18">
        <v>7093.83</v>
      </c>
      <c r="H612" s="18"/>
      <c r="I612" s="18">
        <v>725</v>
      </c>
      <c r="J612" s="18"/>
      <c r="K612" s="18"/>
      <c r="L612" s="88">
        <f>SUM(F612:K612)</f>
        <v>43956.5</v>
      </c>
      <c r="M612" s="8"/>
      <c r="N612" s="266"/>
    </row>
    <row r="613" spans="1:14" s="3" customFormat="1" ht="12.2" customHeight="1" thickBot="1" x14ac:dyDescent="0.2">
      <c r="A613" s="22" t="s">
        <v>645</v>
      </c>
      <c r="B613" s="75">
        <v>23</v>
      </c>
      <c r="C613" s="75">
        <v>15</v>
      </c>
      <c r="D613" s="2" t="s">
        <v>432</v>
      </c>
      <c r="E613" s="75"/>
      <c r="F613" s="18">
        <v>24193.58</v>
      </c>
      <c r="G613" s="18">
        <v>4749.2</v>
      </c>
      <c r="H613" s="18"/>
      <c r="I613" s="18"/>
      <c r="J613" s="18"/>
      <c r="K613" s="18"/>
      <c r="L613" s="88">
        <f>SUM(F613:K613)</f>
        <v>28942.780000000002</v>
      </c>
      <c r="M613" s="8"/>
      <c r="N613" s="266"/>
    </row>
    <row r="614" spans="1:14" s="3" customFormat="1" ht="12.2" customHeight="1" thickTop="1" x14ac:dyDescent="0.15">
      <c r="A614" s="98" t="s">
        <v>340</v>
      </c>
      <c r="B614" s="107">
        <v>23</v>
      </c>
      <c r="C614" s="107">
        <v>16</v>
      </c>
      <c r="D614" s="39" t="s">
        <v>432</v>
      </c>
      <c r="E614" s="107"/>
      <c r="F614" s="108">
        <f t="shared" ref="F614:L614" si="49">SUM(F611:F613)</f>
        <v>105862.68000000001</v>
      </c>
      <c r="G614" s="108">
        <f t="shared" si="49"/>
        <v>20780.849999999999</v>
      </c>
      <c r="H614" s="108">
        <f t="shared" si="49"/>
        <v>0</v>
      </c>
      <c r="I614" s="108">
        <f t="shared" si="49"/>
        <v>8472.2999999999993</v>
      </c>
      <c r="J614" s="108">
        <f t="shared" si="49"/>
        <v>0</v>
      </c>
      <c r="K614" s="108">
        <f t="shared" si="49"/>
        <v>0</v>
      </c>
      <c r="L614" s="89">
        <f t="shared" si="49"/>
        <v>135115.83000000002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2262707.9299999997</v>
      </c>
      <c r="H617" s="109">
        <f>SUM(F52)</f>
        <v>2262707.9299999997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48987.38</v>
      </c>
      <c r="H618" s="109">
        <f>SUM(G52)</f>
        <v>48987.380000000005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62536.86</v>
      </c>
      <c r="H619" s="109">
        <f>SUM(H52)</f>
        <v>62536.86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547768.19999999995</v>
      </c>
      <c r="H621" s="109">
        <f>SUM(J52)</f>
        <v>547768.19999999995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1453134.8599999999</v>
      </c>
      <c r="H622" s="109">
        <f>F476</f>
        <v>1453134.8599999994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36846.230000000003</v>
      </c>
      <c r="H623" s="109">
        <f>G476</f>
        <v>36846.229999999981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547768.19999999995</v>
      </c>
      <c r="H626" s="109">
        <f>J476</f>
        <v>547768.19999999995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23087548.699999999</v>
      </c>
      <c r="H627" s="104">
        <f>SUM(F468)</f>
        <v>23087548.699999999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430537.51000000007</v>
      </c>
      <c r="H628" s="104">
        <f>SUM(G468)</f>
        <v>430537.51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537153.55000000005</v>
      </c>
      <c r="H629" s="104">
        <f>SUM(H468)</f>
        <v>537153.55000000005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177498.15</v>
      </c>
      <c r="H631" s="104">
        <f>SUM(J468)</f>
        <v>177498.15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23896833.019999996</v>
      </c>
      <c r="H632" s="104">
        <f>SUM(F472)</f>
        <v>23896833.02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537153.55000000005</v>
      </c>
      <c r="H633" s="104">
        <f>SUM(H472)</f>
        <v>537153.55000000005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208727.44</v>
      </c>
      <c r="H634" s="104">
        <f>I369</f>
        <v>208727.44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452876.58999999997</v>
      </c>
      <c r="H635" s="104">
        <f>SUM(G472)</f>
        <v>452876.59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212501.79</v>
      </c>
      <c r="H636" s="104">
        <f>SUM(I472)</f>
        <v>212501.79</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177498.15000000002</v>
      </c>
      <c r="H637" s="164">
        <f>SUM(J468)</f>
        <v>177498.15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357088.01</v>
      </c>
      <c r="H639" s="104">
        <f>SUM(F461)</f>
        <v>357088.01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190680.19</v>
      </c>
      <c r="H640" s="104">
        <f>SUM(G461)</f>
        <v>190680.19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547768.19999999995</v>
      </c>
      <c r="H642" s="104">
        <f>SUM(I461)</f>
        <v>547768.19999999995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9998.15</v>
      </c>
      <c r="H644" s="104">
        <f>H408</f>
        <v>9998.15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167500</v>
      </c>
      <c r="H645" s="104">
        <f>G408</f>
        <v>167500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177498.15</v>
      </c>
      <c r="H646" s="104">
        <f>L408</f>
        <v>177498.15000000002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754071.47999999986</v>
      </c>
      <c r="H647" s="104">
        <f>L208+L226+L244</f>
        <v>754071.48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230877.15</v>
      </c>
      <c r="H648" s="104">
        <f>(J257+J338)-(J255+J336)</f>
        <v>230877.15000000002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171199.81</v>
      </c>
      <c r="H649" s="104">
        <f>H598</f>
        <v>171199.81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214795.39</v>
      </c>
      <c r="H650" s="104">
        <f>I598</f>
        <v>214795.38999999998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368076.28</v>
      </c>
      <c r="H651" s="104">
        <f>J598</f>
        <v>368076.27999999997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167500</v>
      </c>
      <c r="H655" s="104">
        <f>K266+K347</f>
        <v>167500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6715763.1499999976</v>
      </c>
      <c r="G660" s="19">
        <f>(L229+L309+L359)</f>
        <v>6492464.709999999</v>
      </c>
      <c r="H660" s="19">
        <f>(L247+L328+L360)</f>
        <v>10308309.179999998</v>
      </c>
      <c r="I660" s="19">
        <f>SUM(F660:H660)</f>
        <v>23516537.039999992</v>
      </c>
      <c r="J660" s="13"/>
      <c r="K660" s="13"/>
      <c r="L660" s="13"/>
      <c r="M660" s="9"/>
    </row>
    <row r="661" spans="1:13" s="3" customFormat="1" ht="12.2" customHeight="1" x14ac:dyDescent="0.2">
      <c r="A661" s="1" t="s">
        <v>127</v>
      </c>
      <c r="F661" s="19">
        <f>(L358/IF(SUM(L358:L360)=0,1,SUM(L358:L360))*(SUM(G97:G110)))</f>
        <v>78731.589824896451</v>
      </c>
      <c r="G661" s="19">
        <f>(L359/IF(SUM(L358:L360)=0,1,SUM(L358:L360))*(SUM(G97:G110)))</f>
        <v>87453.033868287166</v>
      </c>
      <c r="H661" s="19">
        <f>(L360/IF(SUM(L358:L360)=0,1,SUM(L358:L360))*(SUM(G97:G110)))</f>
        <v>134565.15630681641</v>
      </c>
      <c r="I661" s="19">
        <f>SUM(F661:H661)</f>
        <v>300749.78000000003</v>
      </c>
      <c r="J661"/>
      <c r="K661" s="13"/>
      <c r="L661" s="13"/>
      <c r="M661" s="9"/>
    </row>
    <row r="662" spans="1:13" s="3" customFormat="1" ht="12.2" customHeight="1" x14ac:dyDescent="0.2">
      <c r="A662" s="1" t="s">
        <v>128</v>
      </c>
      <c r="F662" s="19">
        <f>(L208+L287)-(J208+J287)</f>
        <v>178722.68</v>
      </c>
      <c r="G662" s="19">
        <f>(L226+L306)-(J226+J306)</f>
        <v>214795.39</v>
      </c>
      <c r="H662" s="19">
        <f>(L244+L325)-(J244+J325)</f>
        <v>368076.28</v>
      </c>
      <c r="I662" s="19">
        <f>SUM(F662:H662)</f>
        <v>761594.35000000009</v>
      </c>
      <c r="J662"/>
      <c r="K662" s="13"/>
      <c r="L662" s="13"/>
      <c r="M662" s="8"/>
    </row>
    <row r="663" spans="1:13" s="3" customFormat="1" ht="12.2" customHeight="1" x14ac:dyDescent="0.15">
      <c r="A663" s="198" t="s">
        <v>129</v>
      </c>
      <c r="B663" s="169"/>
      <c r="C663" s="169"/>
      <c r="D663" s="169"/>
      <c r="E663" s="169"/>
      <c r="F663" s="199">
        <f>SUM(F575:F587)+SUM(H602:H604)+SUM(L611)</f>
        <v>140583.72</v>
      </c>
      <c r="G663" s="199">
        <f>SUM(G575:G587)+SUM(I602:I604)+L612</f>
        <v>142335.70000000001</v>
      </c>
      <c r="H663" s="199">
        <f>SUM(H575:H587)+SUM(J602:J604)+L613</f>
        <v>422208.71000000008</v>
      </c>
      <c r="I663" s="19">
        <f>SUM(F663:H663)</f>
        <v>705128.13000000012</v>
      </c>
      <c r="J663" s="13"/>
      <c r="K663" s="13"/>
      <c r="L663" s="13"/>
      <c r="M663" s="9"/>
    </row>
    <row r="664" spans="1:13" s="3" customFormat="1" ht="12.2" customHeight="1" x14ac:dyDescent="0.15">
      <c r="A664" s="1" t="s">
        <v>130</v>
      </c>
      <c r="F664" s="19">
        <f>F660-SUM(F661:F663)</f>
        <v>6317725.1601751009</v>
      </c>
      <c r="G664" s="19">
        <f>G660-SUM(G661:G663)</f>
        <v>6047880.5861317115</v>
      </c>
      <c r="H664" s="19">
        <f>H660-SUM(H661:H663)</f>
        <v>9383459.0336931814</v>
      </c>
      <c r="I664" s="19">
        <f>I660-SUM(I661:I663)</f>
        <v>21749064.77999999</v>
      </c>
      <c r="J664" s="13"/>
      <c r="K664" s="13"/>
      <c r="L664" s="13"/>
      <c r="M664" s="9"/>
    </row>
    <row r="665" spans="1:13" s="3" customFormat="1" ht="12.2" customHeight="1" x14ac:dyDescent="0.2">
      <c r="A665" s="1" t="s">
        <v>131</v>
      </c>
      <c r="F665" s="246">
        <v>342.34</v>
      </c>
      <c r="G665" s="247">
        <v>313.44</v>
      </c>
      <c r="H665" s="247">
        <v>466.13</v>
      </c>
      <c r="I665" s="19">
        <f>SUM(F665:H665)</f>
        <v>1121.9099999999999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18454.53</v>
      </c>
      <c r="G667" s="19">
        <f>ROUND(G664/G665,2)</f>
        <v>19295.18</v>
      </c>
      <c r="H667" s="19">
        <f>ROUND(H664/H665,2)</f>
        <v>20130.560000000001</v>
      </c>
      <c r="I667" s="19">
        <f>ROUND(I664/I665,2)</f>
        <v>19385.75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-23.39</v>
      </c>
      <c r="I670" s="19">
        <f>SUM(F670:H670)</f>
        <v>-23.39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18454.53</v>
      </c>
      <c r="G672" s="19">
        <f>ROUND((G664+G669)/(G665+G670),2)</f>
        <v>19295.18</v>
      </c>
      <c r="H672" s="19">
        <f>ROUND((H664+H669)/(H665+H670),2)</f>
        <v>21194.06</v>
      </c>
      <c r="I672" s="19">
        <f>ROUND((I664+I669)/(I665+I670),2)</f>
        <v>19798.52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Gilford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6173863.3700000001</v>
      </c>
      <c r="C9" s="229">
        <f>'DOE25'!G197+'DOE25'!G215+'DOE25'!G233+'DOE25'!G276+'DOE25'!G295+'DOE25'!G314</f>
        <v>3253221.5</v>
      </c>
    </row>
    <row r="10" spans="1:3" x14ac:dyDescent="0.2">
      <c r="A10" t="s">
        <v>775</v>
      </c>
      <c r="B10" s="240">
        <v>5794213.79</v>
      </c>
      <c r="C10" s="240">
        <v>3070933.31</v>
      </c>
    </row>
    <row r="11" spans="1:3" x14ac:dyDescent="0.2">
      <c r="A11" t="s">
        <v>776</v>
      </c>
      <c r="B11" s="240">
        <v>140228.54</v>
      </c>
      <c r="C11" s="240">
        <v>74321.13</v>
      </c>
    </row>
    <row r="12" spans="1:3" x14ac:dyDescent="0.2">
      <c r="A12" t="s">
        <v>777</v>
      </c>
      <c r="B12" s="240">
        <v>239421.04</v>
      </c>
      <c r="C12" s="240">
        <v>107967.06</v>
      </c>
    </row>
    <row r="13" spans="1:3" x14ac:dyDescent="0.2">
      <c r="A13" t="str">
        <f>IF(B9=B13,IF(C9=C13,"Check Total OK","Check Total Error"),"Check Total Error")</f>
        <v>Check Total OK</v>
      </c>
      <c r="B13" s="231">
        <f>SUM(B10:B12)</f>
        <v>6173863.3700000001</v>
      </c>
      <c r="C13" s="231">
        <f>SUM(C10:C12)</f>
        <v>3253221.5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1880522.5499999998</v>
      </c>
      <c r="C18" s="229">
        <f>'DOE25'!G198+'DOE25'!G216+'DOE25'!G234+'DOE25'!G277+'DOE25'!G296+'DOE25'!G315</f>
        <v>1427201.8800000001</v>
      </c>
    </row>
    <row r="19" spans="1:3" x14ac:dyDescent="0.2">
      <c r="A19" t="s">
        <v>775</v>
      </c>
      <c r="B19" s="240">
        <v>800746.55</v>
      </c>
      <c r="C19" s="240">
        <v>608567.38</v>
      </c>
    </row>
    <row r="20" spans="1:3" x14ac:dyDescent="0.2">
      <c r="A20" t="s">
        <v>776</v>
      </c>
      <c r="B20" s="240">
        <v>612369.51</v>
      </c>
      <c r="C20" s="240">
        <v>465400.83</v>
      </c>
    </row>
    <row r="21" spans="1:3" x14ac:dyDescent="0.2">
      <c r="A21" t="s">
        <v>777</v>
      </c>
      <c r="B21" s="240">
        <v>467406.49</v>
      </c>
      <c r="C21" s="240">
        <v>353233.67</v>
      </c>
    </row>
    <row r="22" spans="1:3" x14ac:dyDescent="0.2">
      <c r="A22" t="str">
        <f>IF(B18=B22,IF(C18=C22,"Check Total OK","Check Total Error"),"Check Total Error")</f>
        <v>Check Total OK</v>
      </c>
      <c r="B22" s="231">
        <f>SUM(B19:B21)</f>
        <v>1880522.55</v>
      </c>
      <c r="C22" s="231">
        <f>SUM(C19:C21)</f>
        <v>1427201.88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302716.78000000003</v>
      </c>
      <c r="C36" s="235">
        <f>'DOE25'!G200+'DOE25'!G218+'DOE25'!G236+'DOE25'!G279+'DOE25'!G298+'DOE25'!G317</f>
        <v>129618.31</v>
      </c>
    </row>
    <row r="37" spans="1:3" x14ac:dyDescent="0.2">
      <c r="A37" t="s">
        <v>775</v>
      </c>
      <c r="B37" s="240">
        <v>192797.92</v>
      </c>
      <c r="C37" s="240">
        <v>82903.11</v>
      </c>
    </row>
    <row r="38" spans="1:3" x14ac:dyDescent="0.2">
      <c r="A38" t="s">
        <v>776</v>
      </c>
      <c r="B38" s="240">
        <v>109918.86</v>
      </c>
      <c r="C38" s="240">
        <v>46715.199999999997</v>
      </c>
    </row>
    <row r="39" spans="1:3" x14ac:dyDescent="0.2">
      <c r="A39" t="s">
        <v>777</v>
      </c>
      <c r="B39" s="240"/>
      <c r="C39" s="240"/>
    </row>
    <row r="40" spans="1:3" x14ac:dyDescent="0.2">
      <c r="A40" t="str">
        <f>IF(B36=B40,IF(C36=C40,"Check Total OK","Check Total Error"),"Check Total Error")</f>
        <v>Check Total OK</v>
      </c>
      <c r="B40" s="231">
        <f>SUM(B37:B39)</f>
        <v>302716.78000000003</v>
      </c>
      <c r="C40" s="231">
        <f>SUM(C37:C39)</f>
        <v>129618.31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7.33203125" bestFit="1" customWidth="1"/>
    <col min="4" max="5" width="17.83203125" customWidth="1"/>
    <col min="6" max="6" width="17" customWidth="1"/>
    <col min="7" max="7" width="15.5" customWidth="1"/>
    <col min="8" max="8" width="12.83203125" customWidth="1"/>
    <col min="9" max="9" width="16.33203125" bestFit="1" customWidth="1"/>
  </cols>
  <sheetData>
    <row r="1" spans="1:9" x14ac:dyDescent="0.2">
      <c r="A1" s="324" t="s">
        <v>894</v>
      </c>
      <c r="B1" s="328"/>
      <c r="C1" s="328"/>
      <c r="D1" s="328"/>
      <c r="E1" s="328"/>
      <c r="F1" s="328"/>
      <c r="G1" s="328"/>
      <c r="H1" s="328"/>
      <c r="I1" s="181"/>
    </row>
    <row r="2" spans="1:9" x14ac:dyDescent="0.2">
      <c r="A2" s="33" t="s">
        <v>713</v>
      </c>
      <c r="B2" s="260" t="str">
        <f>'DOE25'!A2</f>
        <v>Gilford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14500409.579999998</v>
      </c>
      <c r="D5" s="20">
        <f>SUM('DOE25'!L197:L200)+SUM('DOE25'!L215:L218)+SUM('DOE25'!L233:L236)-F5-G5-H5</f>
        <v>14422583.299999999</v>
      </c>
      <c r="E5" s="243"/>
      <c r="F5" s="244">
        <v>2132.79</v>
      </c>
      <c r="G5" s="53">
        <f>SUM('DOE25'!J197:J200)+SUM('DOE25'!J215:J218)+SUM('DOE25'!J233:J236)</f>
        <v>75693.489999999991</v>
      </c>
      <c r="H5" s="53">
        <f>SUM('DOE25'!K197:K200)+SUM('DOE25'!K215:K218)+SUM('DOE25'!K233:K236)</f>
        <v>0</v>
      </c>
      <c r="I5" s="256"/>
    </row>
    <row r="6" spans="1:9" x14ac:dyDescent="0.2">
      <c r="A6" s="32">
        <v>2100</v>
      </c>
      <c r="B6" t="s">
        <v>796</v>
      </c>
      <c r="C6" s="276">
        <f t="shared" si="0"/>
        <v>1088614.5899999999</v>
      </c>
      <c r="D6" s="20">
        <f>'DOE25'!L202+'DOE25'!L220+'DOE25'!L238-F6-G6-H6</f>
        <v>1025370.5899999999</v>
      </c>
      <c r="E6" s="243"/>
      <c r="F6" s="244">
        <v>62900</v>
      </c>
      <c r="G6" s="53">
        <f>'DOE25'!J202+'DOE25'!J220+'DOE25'!J238</f>
        <v>344</v>
      </c>
      <c r="H6" s="53">
        <f>'DOE25'!K202+'DOE25'!K220+'DOE25'!K238</f>
        <v>0</v>
      </c>
      <c r="I6" s="256"/>
    </row>
    <row r="7" spans="1:9" x14ac:dyDescent="0.2">
      <c r="A7" s="32">
        <v>2200</v>
      </c>
      <c r="B7" t="s">
        <v>821</v>
      </c>
      <c r="C7" s="276">
        <f t="shared" si="0"/>
        <v>966438.98</v>
      </c>
      <c r="D7" s="20">
        <f>'DOE25'!L203+'DOE25'!L221+'DOE25'!L239-F7-G7-H7</f>
        <v>844815.83</v>
      </c>
      <c r="E7" s="243"/>
      <c r="F7" s="244"/>
      <c r="G7" s="53">
        <f>'DOE25'!J203+'DOE25'!J221+'DOE25'!J239</f>
        <v>121623.15</v>
      </c>
      <c r="H7" s="53">
        <f>'DOE25'!K203+'DOE25'!K221+'DOE25'!K239</f>
        <v>0</v>
      </c>
      <c r="I7" s="256"/>
    </row>
    <row r="8" spans="1:9" x14ac:dyDescent="0.2">
      <c r="A8" s="32">
        <v>2300</v>
      </c>
      <c r="B8" t="s">
        <v>797</v>
      </c>
      <c r="C8" s="276">
        <f t="shared" si="0"/>
        <v>6818.9199999999728</v>
      </c>
      <c r="D8" s="243"/>
      <c r="E8" s="20">
        <f>'DOE25'!L204+'DOE25'!L222+'DOE25'!L240-F8-G8-H8-D9-D11</f>
        <v>-5569.8400000000256</v>
      </c>
      <c r="F8" s="244"/>
      <c r="G8" s="53">
        <f>'DOE25'!J204+'DOE25'!J222+'DOE25'!J240</f>
        <v>0</v>
      </c>
      <c r="H8" s="53">
        <f>'DOE25'!K204+'DOE25'!K222+'DOE25'!K240</f>
        <v>12388.759999999998</v>
      </c>
      <c r="I8" s="256"/>
    </row>
    <row r="9" spans="1:9" ht="14.25" x14ac:dyDescent="0.2">
      <c r="A9" s="32">
        <v>2310</v>
      </c>
      <c r="B9" s="185" t="s">
        <v>890</v>
      </c>
      <c r="C9" s="276">
        <f t="shared" si="0"/>
        <v>34042.21</v>
      </c>
      <c r="D9" s="244">
        <v>34042.21</v>
      </c>
      <c r="E9" s="243"/>
      <c r="F9" s="253"/>
      <c r="G9" s="253"/>
      <c r="H9" s="253"/>
      <c r="I9" s="256"/>
    </row>
    <row r="10" spans="1:9" ht="14.25" x14ac:dyDescent="0.2">
      <c r="A10" s="32">
        <v>2317</v>
      </c>
      <c r="B10" s="185" t="s">
        <v>891</v>
      </c>
      <c r="C10" s="276">
        <f t="shared" si="0"/>
        <v>16250</v>
      </c>
      <c r="D10" s="243"/>
      <c r="E10" s="244">
        <v>16250</v>
      </c>
      <c r="F10" s="253"/>
      <c r="G10" s="253"/>
      <c r="H10" s="253"/>
      <c r="I10" s="256"/>
    </row>
    <row r="11" spans="1:9" ht="14.25" x14ac:dyDescent="0.2">
      <c r="A11" s="32">
        <v>2321</v>
      </c>
      <c r="B11" s="185" t="s">
        <v>892</v>
      </c>
      <c r="C11" s="276">
        <f t="shared" si="0"/>
        <v>309974</v>
      </c>
      <c r="D11" s="244">
        <v>309974</v>
      </c>
      <c r="E11" s="243"/>
      <c r="F11" s="253"/>
      <c r="G11" s="253"/>
      <c r="H11" s="253"/>
      <c r="I11" s="256"/>
    </row>
    <row r="12" spans="1:9" x14ac:dyDescent="0.2">
      <c r="A12" s="32">
        <v>2400</v>
      </c>
      <c r="B12" t="s">
        <v>711</v>
      </c>
      <c r="C12" s="276">
        <f t="shared" si="0"/>
        <v>1618029.49</v>
      </c>
      <c r="D12" s="20">
        <f>'DOE25'!L205+'DOE25'!L223+'DOE25'!L241-F12-G12-H12</f>
        <v>1588434.7</v>
      </c>
      <c r="E12" s="243"/>
      <c r="F12" s="244">
        <v>1307.24</v>
      </c>
      <c r="G12" s="53">
        <f>'DOE25'!J205+'DOE25'!J223+'DOE25'!J241</f>
        <v>0</v>
      </c>
      <c r="H12" s="53">
        <f>'DOE25'!K205+'DOE25'!K223+'DOE25'!K241</f>
        <v>28287.55</v>
      </c>
      <c r="I12" s="256"/>
    </row>
    <row r="13" spans="1:9" x14ac:dyDescent="0.2">
      <c r="A13" s="32">
        <v>2500</v>
      </c>
      <c r="B13" t="s">
        <v>798</v>
      </c>
      <c r="C13" s="276">
        <f t="shared" si="0"/>
        <v>494869.91999999993</v>
      </c>
      <c r="D13" s="243"/>
      <c r="E13" s="20">
        <f>'DOE25'!L206+'DOE25'!L224+'DOE25'!L242-F13-G13-H13</f>
        <v>488759.1399999999</v>
      </c>
      <c r="F13" s="244">
        <v>404.77</v>
      </c>
      <c r="G13" s="53">
        <f>'DOE25'!J206+'DOE25'!J224+'DOE25'!J242</f>
        <v>0</v>
      </c>
      <c r="H13" s="53">
        <f>'DOE25'!K206+'DOE25'!K224+'DOE25'!K242</f>
        <v>5706.01</v>
      </c>
      <c r="I13" s="256"/>
    </row>
    <row r="14" spans="1:9" x14ac:dyDescent="0.2">
      <c r="A14" s="32">
        <v>2600</v>
      </c>
      <c r="B14" t="s">
        <v>819</v>
      </c>
      <c r="C14" s="276">
        <f t="shared" si="0"/>
        <v>2753237.7300000004</v>
      </c>
      <c r="D14" s="20">
        <f>'DOE25'!L207+'DOE25'!L225+'DOE25'!L243-F14-G14-H14</f>
        <v>2408257.2700000005</v>
      </c>
      <c r="E14" s="243"/>
      <c r="F14" s="244">
        <v>336722</v>
      </c>
      <c r="G14" s="53">
        <f>'DOE25'!J207+'DOE25'!J225+'DOE25'!J243</f>
        <v>8258.4599999999991</v>
      </c>
      <c r="H14" s="53">
        <f>'DOE25'!K207+'DOE25'!K225+'DOE25'!K243</f>
        <v>0</v>
      </c>
      <c r="I14" s="256"/>
    </row>
    <row r="15" spans="1:9" x14ac:dyDescent="0.2">
      <c r="A15" s="32">
        <v>2700</v>
      </c>
      <c r="B15" t="s">
        <v>799</v>
      </c>
      <c r="C15" s="276">
        <f t="shared" si="0"/>
        <v>754071.48</v>
      </c>
      <c r="D15" s="20">
        <f>'DOE25'!L208+'DOE25'!L226+'DOE25'!L244-F15-G15-H15</f>
        <v>25054</v>
      </c>
      <c r="E15" s="243"/>
      <c r="F15" s="244">
        <v>729017.48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1202826.1200000001</v>
      </c>
      <c r="D25" s="243"/>
      <c r="E25" s="243"/>
      <c r="F25" s="255"/>
      <c r="G25" s="253"/>
      <c r="H25" s="253"/>
      <c r="I25" s="254">
        <f>'DOE25'!L260+'DOE25'!L261+'DOE25'!L341+'DOE25'!L342</f>
        <v>1202826.1200000001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295328.15999999997</v>
      </c>
      <c r="D29" s="284">
        <f>'DOE25'!L358+'DOE25'!L359+'DOE25'!L360-'DOE25'!I367-F29-G29-H29</f>
        <v>295328.15999999997</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537153.55000000005</v>
      </c>
      <c r="D31" s="20">
        <f>'DOE25'!L290+'DOE25'!L309+'DOE25'!L328+'DOE25'!L333+'DOE25'!L334+'DOE25'!L335-F31-G31-H31</f>
        <v>510559.02000000008</v>
      </c>
      <c r="E31" s="243"/>
      <c r="F31" s="244"/>
      <c r="G31" s="53">
        <f>'DOE25'!J290+'DOE25'!J309+'DOE25'!J328+'DOE25'!J333+'DOE25'!J334+'DOE25'!J335</f>
        <v>24958.050000000003</v>
      </c>
      <c r="H31" s="53">
        <f>'DOE25'!K290+'DOE25'!K309+'DOE25'!K328+'DOE25'!K333+'DOE25'!K334+'DOE25'!K335</f>
        <v>1636.48</v>
      </c>
      <c r="I31" s="256"/>
    </row>
    <row r="32" spans="1:9" ht="12" thickBot="1" x14ac:dyDescent="0.25">
      <c r="C32" s="277"/>
      <c r="G32" s="251"/>
      <c r="H32" s="251"/>
      <c r="I32" s="258"/>
    </row>
    <row r="33" spans="1:9" ht="12" thickTop="1" x14ac:dyDescent="0.2">
      <c r="B33" t="s">
        <v>809</v>
      </c>
      <c r="D33" s="245">
        <f t="shared" ref="D33:I33" si="1">SUM(D5:D31)</f>
        <v>21464419.079999998</v>
      </c>
      <c r="E33" s="245">
        <f t="shared" si="1"/>
        <v>499439.29999999987</v>
      </c>
      <c r="F33" s="245">
        <f t="shared" si="1"/>
        <v>1132484.28</v>
      </c>
      <c r="G33" s="245">
        <f t="shared" si="1"/>
        <v>230877.14999999997</v>
      </c>
      <c r="H33" s="245">
        <f t="shared" si="1"/>
        <v>48018.8</v>
      </c>
      <c r="I33" s="245">
        <f t="shared" si="1"/>
        <v>1202826.1200000001</v>
      </c>
    </row>
    <row r="35" spans="1:9" ht="12" thickBot="1" x14ac:dyDescent="0.25">
      <c r="B35" s="251" t="s">
        <v>831</v>
      </c>
      <c r="D35" s="252">
        <f>E33</f>
        <v>499439.29999999987</v>
      </c>
      <c r="E35" s="248"/>
    </row>
    <row r="36" spans="1:9" ht="12" thickTop="1" x14ac:dyDescent="0.2">
      <c r="B36" t="s">
        <v>810</v>
      </c>
      <c r="D36" s="20">
        <f>D33</f>
        <v>21464419.079999998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algorithmName="SHA-512" hashValue="3Xt9eRYT2N3LFgw55YaXSzOMC3mvadbMqDZQEKj3EzcHk4AHWvoJVoPPDeXRBZNzatYdJ7/flugb0b25vuKtyg==" saltValue="YQYVof/thZAL/T2bsoYo7Q==" spinCount="100000" sheet="1" objects="1" scenarios="1"/>
  <mergeCells count="3">
    <mergeCell ref="F2:H2"/>
    <mergeCell ref="A1:H1"/>
    <mergeCell ref="B53:H53"/>
  </mergeCells>
  <phoneticPr fontId="0" type="noConversion"/>
  <pageMargins left="0.5" right="0.5" top="0.5" bottom="0.5"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L43" sqref="L43"/>
    </sheetView>
  </sheetViews>
  <sheetFormatPr defaultRowHeight="11.25" x14ac:dyDescent="0.2"/>
  <cols>
    <col min="1" max="1" width="35.6640625" customWidth="1"/>
    <col min="2" max="2" width="22.33203125" customWidth="1"/>
    <col min="3" max="3" width="22" customWidth="1"/>
    <col min="4" max="5" width="14.6640625" customWidth="1"/>
    <col min="6" max="6" width="13.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Gilford School District</v>
      </c>
      <c r="B2" s="126">
        <f>'DOE25'!B2</f>
        <v>191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6597207.1399999997</v>
      </c>
      <c r="G4" s="303">
        <f>'DOE25'!L211+'DOE25'!L290</f>
        <v>6597207.1399999978</v>
      </c>
      <c r="H4" s="304">
        <f>F4-G4</f>
        <v>0</v>
      </c>
      <c r="I4" s="310" t="str">
        <f>IF(H4=0,"","Does not match DOE25 page 7 and 11 Totals!!")</f>
        <v/>
      </c>
      <c r="N4"/>
    </row>
    <row r="5" spans="1:18" x14ac:dyDescent="0.2">
      <c r="A5" s="21" t="s">
        <v>1076</v>
      </c>
      <c r="B5" s="305">
        <f>IFERROR(VLOOKUP(A5,'School Tables'!$C$3:$D$368,2,FALSE),"")</f>
        <v>21245</v>
      </c>
      <c r="C5" s="297" t="str">
        <f>IFERROR(INDEX('School Tables'!$B$3:$B$368,MATCH('School Level Expenditures'!B5,'School Tables'!$D$3:$D$368,0)),"")</f>
        <v>Gilford</v>
      </c>
      <c r="D5" s="294">
        <v>6333094.9199999999</v>
      </c>
      <c r="E5" s="294">
        <v>264112.21999999997</v>
      </c>
      <c r="F5" s="313">
        <f>D5+E5</f>
        <v>6597207.1399999997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6360775.7300000004</v>
      </c>
      <c r="G24" s="303">
        <f>'DOE25'!L229+'DOE25'!L309</f>
        <v>6360775.7299999995</v>
      </c>
      <c r="H24" s="304">
        <f>F24-G24</f>
        <v>0</v>
      </c>
      <c r="I24" s="310" t="str">
        <f>IF(H24=0,"","Does not match DOE25 page 8 and 12 Totals!!")</f>
        <v/>
      </c>
      <c r="N24"/>
    </row>
    <row r="25" spans="1:14" x14ac:dyDescent="0.2">
      <c r="A25" s="21" t="s">
        <v>1077</v>
      </c>
      <c r="B25" s="305">
        <f>IFERROR(VLOOKUP(A25,'School Tables'!$I$3:$J$80,2,FALSE),"")</f>
        <v>26995</v>
      </c>
      <c r="C25" s="297" t="str">
        <f t="array" ref="C25">IFERROR(INDEX('School Tables'!$H$3:$H$80,MATCH('School Level Expenditures'!B25,'School Tables'!$J$3:$J$80,0)),"")</f>
        <v>Gilford</v>
      </c>
      <c r="D25" s="294">
        <v>6256779.5300000003</v>
      </c>
      <c r="E25" s="294">
        <v>103996.2</v>
      </c>
      <c r="F25" s="308">
        <f>D25+E25</f>
        <v>6360775.7300000004</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10105677.58</v>
      </c>
      <c r="G36" s="303">
        <f>'DOE25'!L247+'DOE25'!L328</f>
        <v>10105677.579999998</v>
      </c>
      <c r="H36" s="304">
        <f>F36-G36</f>
        <v>0</v>
      </c>
      <c r="I36" s="310" t="str">
        <f>IF(H36=0,"","Does not match DOE25 page 9 and 13 Totals!!")</f>
        <v/>
      </c>
      <c r="N36"/>
    </row>
    <row r="37" spans="1:14" x14ac:dyDescent="0.2">
      <c r="A37" s="21" t="s">
        <v>1075</v>
      </c>
      <c r="B37" s="305">
        <f>IFERROR(VLOOKUP(A37,'School Tables'!$O$3:$P$122,2,FALSE),"")</f>
        <v>21240</v>
      </c>
      <c r="C37" s="297" t="str">
        <f t="array" ref="C37">IFERROR(INDEX('School Tables'!$N$3:$N$122,MATCH('School Level Expenditures'!B37,'School Tables'!$P$3:$P$122,0)),"")</f>
        <v>Gilford</v>
      </c>
      <c r="D37" s="294">
        <v>9936632.4499999993</v>
      </c>
      <c r="E37" s="294">
        <v>169045.13</v>
      </c>
      <c r="F37" s="308">
        <f>D37+E37</f>
        <v>10105677.58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rHpEUxzf1jIaou+HSk723kDqj+jOhtZSBjBNv/LYrffnnEmdAJLiWoK1bDBEeJvvsjPOScTF+B8iNHlr/atZrg==" saltValue="m91TloxPSi0yIe+9qni9rA=="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D48" sqref="D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1058062.3999999999</v>
      </c>
      <c r="D8" s="95">
        <f>'DOE25'!G9</f>
        <v>22207.55</v>
      </c>
      <c r="E8" s="95">
        <f>'DOE25'!H13</f>
        <v>62536.86</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547768.19999999995</v>
      </c>
      <c r="H11" s="124"/>
      <c r="I11" s="124"/>
    </row>
    <row r="12" spans="1:9" x14ac:dyDescent="0.2">
      <c r="A12" s="1" t="s">
        <v>143</v>
      </c>
      <c r="B12" s="6">
        <v>140</v>
      </c>
      <c r="C12" s="95">
        <f>'DOE25'!F13</f>
        <v>40479.31</v>
      </c>
      <c r="D12" s="95">
        <f>'DOE25'!G13</f>
        <v>24517.35</v>
      </c>
      <c r="E12" s="95">
        <f>'DOE25'!H13</f>
        <v>62536.86</v>
      </c>
      <c r="F12" s="95">
        <f>'DOE25'!I13</f>
        <v>0</v>
      </c>
      <c r="G12" s="95">
        <f>'DOE25'!J13</f>
        <v>0</v>
      </c>
      <c r="H12" s="124"/>
      <c r="I12" s="124"/>
    </row>
    <row r="13" spans="1:9" x14ac:dyDescent="0.2">
      <c r="A13" s="1" t="s">
        <v>144</v>
      </c>
      <c r="B13" s="6">
        <v>150</v>
      </c>
      <c r="C13" s="95">
        <f>'DOE25'!F14</f>
        <v>1139613.22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2262.48</v>
      </c>
      <c r="E15" s="95">
        <f>'DOE25'!H16</f>
        <v>0</v>
      </c>
      <c r="F15" s="95">
        <f>'DOE25'!I16</f>
        <v>0</v>
      </c>
      <c r="G15" s="24" t="s">
        <v>288</v>
      </c>
      <c r="H15" s="124"/>
      <c r="I15" s="124"/>
    </row>
    <row r="16" spans="1:9" x14ac:dyDescent="0.2">
      <c r="A16" s="1" t="s">
        <v>147</v>
      </c>
      <c r="B16" s="6">
        <v>180</v>
      </c>
      <c r="C16" s="95">
        <f>'DOE25'!F17</f>
        <v>24553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2262707.9299999997</v>
      </c>
      <c r="D18" s="41">
        <f>SUM(D8:D17)</f>
        <v>48987.38</v>
      </c>
      <c r="E18" s="41">
        <f>SUM(E8:E17)</f>
        <v>125073.72</v>
      </c>
      <c r="F18" s="41">
        <f>SUM(F8:F17)</f>
        <v>0</v>
      </c>
      <c r="G18" s="41">
        <f>SUM(G8:G17)</f>
        <v>547768.19999999995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62536.86</v>
      </c>
      <c r="F21" s="95">
        <f>'DOE25'!I22</f>
        <v>0</v>
      </c>
      <c r="G21" s="95">
        <f>'DOE25'!J22</f>
        <v>0</v>
      </c>
      <c r="H21" s="124"/>
      <c r="I21" s="124"/>
    </row>
    <row r="22" spans="1:9" x14ac:dyDescent="0.2">
      <c r="A22" s="1" t="s">
        <v>151</v>
      </c>
      <c r="B22" s="6">
        <v>410</v>
      </c>
      <c r="C22" s="95">
        <f>'DOE25'!F23</f>
        <v>782778.07</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26795</v>
      </c>
      <c r="D29" s="95">
        <f>'DOE25'!G30</f>
        <v>12141.15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809573.07</v>
      </c>
      <c r="D31" s="41">
        <f>SUM(D21:D30)</f>
        <v>12141.15</v>
      </c>
      <c r="E31" s="41">
        <f>SUM(E21:E30)</f>
        <v>62536.86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24553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547768.19999999995</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4380</v>
      </c>
      <c r="D38" s="95">
        <f>'DOE25'!G39</f>
        <v>0</v>
      </c>
      <c r="E38" s="95">
        <f>'DOE25'!H39</f>
        <v>0</v>
      </c>
      <c r="F38" s="95">
        <f>'DOE25'!I39</f>
        <v>0</v>
      </c>
      <c r="G38" s="95">
        <f>'DOE25'!J39</f>
        <v>0</v>
      </c>
      <c r="H38" s="124"/>
      <c r="I38" s="124"/>
    </row>
    <row r="39" spans="1:9" x14ac:dyDescent="0.2">
      <c r="A39" s="1" t="s">
        <v>861</v>
      </c>
      <c r="B39" s="6"/>
      <c r="C39" s="24" t="s">
        <v>288</v>
      </c>
      <c r="D39" s="95">
        <f>'DOE25'!G40</f>
        <v>36846.230000000003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242500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467712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20000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693989.86</v>
      </c>
      <c r="D49" s="24" t="s">
        <v>288</v>
      </c>
      <c r="E49" s="24" t="s">
        <v>288</v>
      </c>
      <c r="F49" s="24" t="s">
        <v>288</v>
      </c>
      <c r="G49" s="24" t="s">
        <v>288</v>
      </c>
      <c r="H49" s="124"/>
      <c r="I49" s="124"/>
    </row>
    <row r="50" spans="1:9" ht="12.75" thickTop="1" thickBot="1" x14ac:dyDescent="0.25">
      <c r="A50" s="38" t="s">
        <v>884</v>
      </c>
      <c r="B50" s="48"/>
      <c r="C50" s="41">
        <f>SUM(C34:C49)</f>
        <v>1453134.8599999999</v>
      </c>
      <c r="D50" s="41">
        <f>SUM(D34:D49)</f>
        <v>36846.230000000003</v>
      </c>
      <c r="E50" s="41">
        <f>SUM(E34:E49)</f>
        <v>0</v>
      </c>
      <c r="F50" s="41">
        <f>SUM(F34:F49)</f>
        <v>0</v>
      </c>
      <c r="G50" s="41">
        <f>SUM(G34:G49)</f>
        <v>547768.19999999995</v>
      </c>
      <c r="H50" s="124"/>
      <c r="I50" s="124"/>
    </row>
    <row r="51" spans="1:9" ht="12" thickTop="1" x14ac:dyDescent="0.2">
      <c r="A51" s="38" t="s">
        <v>885</v>
      </c>
      <c r="B51" s="2"/>
      <c r="C51" s="41">
        <f>C50+C31</f>
        <v>2262707.9299999997</v>
      </c>
      <c r="D51" s="41">
        <f>D50+D31</f>
        <v>48987.380000000005</v>
      </c>
      <c r="E51" s="41">
        <f>E50+E31</f>
        <v>62536.86</v>
      </c>
      <c r="F51" s="41">
        <f>F50+F31</f>
        <v>0</v>
      </c>
      <c r="G51" s="41">
        <f>G50+G31</f>
        <v>547768.19999999995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14879023</v>
      </c>
      <c r="D56" s="95">
        <f>'DOE25'!G60</f>
        <v>0</v>
      </c>
      <c r="E56" s="95">
        <f>'DOE25'!H60</f>
        <v>0</v>
      </c>
      <c r="F56" s="95">
        <f>'DOE25'!I60</f>
        <v>0</v>
      </c>
      <c r="G56" s="95">
        <f>'DOE25'!J60</f>
        <v>0</v>
      </c>
      <c r="H56"/>
      <c r="I56"/>
    </row>
    <row r="57" spans="1:9" x14ac:dyDescent="0.2">
      <c r="A57" s="1" t="s">
        <v>164</v>
      </c>
      <c r="B57" s="6" t="s">
        <v>165</v>
      </c>
      <c r="C57" s="95">
        <f>'DOE25'!F79</f>
        <v>2837588.59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75502.98</v>
      </c>
      <c r="D59" s="95">
        <f>'DOE25'!G96</f>
        <v>0</v>
      </c>
      <c r="E59" s="95">
        <f>'DOE25'!H96</f>
        <v>0</v>
      </c>
      <c r="F59" s="95">
        <f>'DOE25'!I96</f>
        <v>0</v>
      </c>
      <c r="G59" s="95">
        <f>'DOE25'!J96</f>
        <v>9998.15</v>
      </c>
      <c r="H59"/>
      <c r="I59"/>
    </row>
    <row r="60" spans="1:9" x14ac:dyDescent="0.2">
      <c r="A60" s="1" t="s">
        <v>170</v>
      </c>
      <c r="B60" s="118" t="s">
        <v>171</v>
      </c>
      <c r="C60" s="24" t="s">
        <v>288</v>
      </c>
      <c r="D60" s="95">
        <f>'DOE25'!G97</f>
        <v>275272.78000000003</v>
      </c>
      <c r="E60" s="24" t="s">
        <v>288</v>
      </c>
      <c r="F60" s="24" t="s">
        <v>288</v>
      </c>
      <c r="G60" s="24" t="s">
        <v>288</v>
      </c>
      <c r="H60"/>
      <c r="I60"/>
    </row>
    <row r="61" spans="1:9" ht="12" thickBot="1" x14ac:dyDescent="0.25">
      <c r="A61" s="1" t="s">
        <v>172</v>
      </c>
      <c r="B61" s="118" t="s">
        <v>173</v>
      </c>
      <c r="C61" s="95">
        <f>SUM('DOE25'!F98:F110)</f>
        <v>335990.47</v>
      </c>
      <c r="D61" s="95">
        <f>SUM('DOE25'!G98:G110)</f>
        <v>25477</v>
      </c>
      <c r="E61" s="95">
        <f>SUM('DOE25'!H98:H110)</f>
        <v>0</v>
      </c>
      <c r="F61" s="95">
        <f>SUM('DOE25'!I98:I110)</f>
        <v>0</v>
      </c>
      <c r="G61" s="95">
        <f>SUM('DOE25'!J98:J110)</f>
        <v>0</v>
      </c>
      <c r="H61"/>
      <c r="I61"/>
    </row>
    <row r="62" spans="1:9" ht="12.75" thickTop="1" thickBot="1" x14ac:dyDescent="0.25">
      <c r="A62" s="29" t="s">
        <v>174</v>
      </c>
      <c r="B62" s="6"/>
      <c r="C62" s="130">
        <f>SUM(C57:C61)</f>
        <v>3249082.04</v>
      </c>
      <c r="D62" s="130">
        <f>SUM(D57:D61)</f>
        <v>300749.78000000003</v>
      </c>
      <c r="E62" s="130">
        <f>SUM(E57:E61)</f>
        <v>0</v>
      </c>
      <c r="F62" s="130">
        <f>SUM(F57:F61)</f>
        <v>0</v>
      </c>
      <c r="G62" s="130">
        <f>SUM(G57:G61)</f>
        <v>9998.15</v>
      </c>
      <c r="H62"/>
      <c r="I62"/>
    </row>
    <row r="63" spans="1:9" ht="12" thickTop="1" x14ac:dyDescent="0.2">
      <c r="A63" s="29" t="s">
        <v>175</v>
      </c>
      <c r="B63" s="6"/>
      <c r="C63" s="22">
        <f>C56+C62</f>
        <v>18128105.039999999</v>
      </c>
      <c r="D63" s="22">
        <f>D56+D62</f>
        <v>300749.78000000003</v>
      </c>
      <c r="E63" s="22">
        <f>E56+E62</f>
        <v>0</v>
      </c>
      <c r="F63" s="22">
        <f>F56+F62</f>
        <v>0</v>
      </c>
      <c r="G63" s="22">
        <f>G56+G62</f>
        <v>9998.15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623889.81000000006</v>
      </c>
      <c r="D66" s="24" t="s">
        <v>288</v>
      </c>
      <c r="E66" s="24" t="s">
        <v>288</v>
      </c>
      <c r="F66" s="24" t="s">
        <v>288</v>
      </c>
      <c r="G66" s="24" t="s">
        <v>288</v>
      </c>
      <c r="H66"/>
      <c r="I66"/>
    </row>
    <row r="67" spans="1:9" x14ac:dyDescent="0.2">
      <c r="A67" s="1" t="s">
        <v>770</v>
      </c>
      <c r="B67" s="6">
        <v>3112</v>
      </c>
      <c r="C67" s="95">
        <f>'DOE25'!F118</f>
        <v>3829475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4453364.8100000005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314593.78999999998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71099.929999999993</v>
      </c>
      <c r="D74" s="24"/>
      <c r="E74" s="24"/>
      <c r="F74" s="24"/>
      <c r="G74" s="24"/>
      <c r="H74"/>
      <c r="I74"/>
    </row>
    <row r="75" spans="1:9" x14ac:dyDescent="0.2">
      <c r="A75" s="1" t="s">
        <v>256</v>
      </c>
      <c r="B75" s="6">
        <v>3230</v>
      </c>
      <c r="C75" s="95">
        <f>'DOE25'!F126</f>
        <v>65083.66</v>
      </c>
      <c r="D75" s="24" t="s">
        <v>288</v>
      </c>
      <c r="E75" s="24" t="s">
        <v>288</v>
      </c>
      <c r="F75" s="24" t="s">
        <v>288</v>
      </c>
      <c r="G75" s="24" t="s">
        <v>288</v>
      </c>
      <c r="H75"/>
      <c r="I75"/>
    </row>
    <row r="76" spans="1:9" x14ac:dyDescent="0.2">
      <c r="A76" s="1" t="s">
        <v>257</v>
      </c>
      <c r="B76" s="6" t="s">
        <v>179</v>
      </c>
      <c r="C76" s="95">
        <f>SUM('DOE25'!F127:F130)</f>
        <v>9036.9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5853.9</v>
      </c>
      <c r="E77" s="95">
        <f>SUM('DOE25'!H131:H135)</f>
        <v>0</v>
      </c>
      <c r="F77" s="95">
        <f>SUM('DOE25'!I131:I135)</f>
        <v>0</v>
      </c>
      <c r="G77" s="95">
        <f>SUM('DOE25'!J131:J135)</f>
        <v>0</v>
      </c>
      <c r="H77"/>
      <c r="I77"/>
    </row>
    <row r="78" spans="1:9" ht="12.75" thickTop="1" thickBot="1" x14ac:dyDescent="0.25">
      <c r="A78" s="29" t="s">
        <v>259</v>
      </c>
      <c r="B78" s="6"/>
      <c r="C78" s="130">
        <f>SUM(C72:C77)</f>
        <v>459814.28</v>
      </c>
      <c r="D78" s="130">
        <f>SUM(D72:D77)</f>
        <v>5853.9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4913179.0900000008</v>
      </c>
      <c r="D81" s="130">
        <f>SUM(D79:D80)+D78+D70</f>
        <v>5853.9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46264.57</v>
      </c>
      <c r="D88" s="95">
        <f>SUM('DOE25'!G153:G161)</f>
        <v>123933.83</v>
      </c>
      <c r="E88" s="95">
        <f>SUM('DOE25'!H153:H161)</f>
        <v>537153.55000000005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46264.57</v>
      </c>
      <c r="D91" s="131">
        <f>SUM(D85:D90)</f>
        <v>123933.83</v>
      </c>
      <c r="E91" s="131">
        <f>SUM(E85:E90)</f>
        <v>537153.55000000005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167500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167500</v>
      </c>
    </row>
    <row r="104" spans="1:7" ht="12.75" thickTop="1" thickBot="1" x14ac:dyDescent="0.25">
      <c r="A104" s="33" t="s">
        <v>761</v>
      </c>
      <c r="C104" s="86">
        <f>C63+C81+C91+C103</f>
        <v>23087548.699999999</v>
      </c>
      <c r="D104" s="86">
        <f>D63+D81+D91+D103</f>
        <v>430537.51000000007</v>
      </c>
      <c r="E104" s="86">
        <f>E63+E81+E91+E103</f>
        <v>537153.55000000005</v>
      </c>
      <c r="F104" s="86">
        <f>F63+F81+F91+F103</f>
        <v>0</v>
      </c>
      <c r="G104" s="86">
        <f>G63+G81+G103</f>
        <v>177498.15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9566270.9100000001</v>
      </c>
      <c r="D109" s="24" t="s">
        <v>288</v>
      </c>
      <c r="E109" s="95">
        <f>('DOE25'!L276)+('DOE25'!L295)+('DOE25'!L314)</f>
        <v>176227.48</v>
      </c>
      <c r="F109" s="24" t="s">
        <v>288</v>
      </c>
      <c r="G109" s="24" t="s">
        <v>288</v>
      </c>
    </row>
    <row r="110" spans="1:7" x14ac:dyDescent="0.2">
      <c r="A110" t="s">
        <v>198</v>
      </c>
      <c r="B110" s="32" t="s">
        <v>199</v>
      </c>
      <c r="C110" s="95">
        <f>('DOE25'!L198)+('DOE25'!L216)+('DOE25'!L234)</f>
        <v>4121954.99</v>
      </c>
      <c r="D110" s="24" t="s">
        <v>288</v>
      </c>
      <c r="E110" s="95">
        <f>('DOE25'!L277)+('DOE25'!L296)+('DOE25'!L315)</f>
        <v>247958.61</v>
      </c>
      <c r="F110" s="24" t="s">
        <v>288</v>
      </c>
      <c r="G110" s="24" t="s">
        <v>288</v>
      </c>
    </row>
    <row r="111" spans="1:7" x14ac:dyDescent="0.2">
      <c r="A111" t="s">
        <v>200</v>
      </c>
      <c r="B111" s="32" t="s">
        <v>165</v>
      </c>
      <c r="C111" s="95">
        <f>('DOE25'!L199)+('DOE25'!L217)+('DOE25'!L235)</f>
        <v>184538.77</v>
      </c>
      <c r="D111" s="24" t="s">
        <v>288</v>
      </c>
      <c r="E111" s="95">
        <f>('DOE25'!L278)+('DOE25'!L297)+('DOE25'!L316)</f>
        <v>0</v>
      </c>
      <c r="F111" s="24" t="s">
        <v>288</v>
      </c>
      <c r="G111" s="24" t="s">
        <v>288</v>
      </c>
    </row>
    <row r="112" spans="1:7" x14ac:dyDescent="0.2">
      <c r="A112" t="s">
        <v>201</v>
      </c>
      <c r="B112" s="32" t="s">
        <v>167</v>
      </c>
      <c r="C112" s="95">
        <f>('DOE25'!L200)+('DOE25'!L218)+('DOE25'!L236)</f>
        <v>627644.91</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14500409.58</v>
      </c>
      <c r="D115" s="86">
        <f>SUM(D109:D114)</f>
        <v>0</v>
      </c>
      <c r="E115" s="86">
        <f>SUM(E109:E114)</f>
        <v>424186.08999999997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1088614.5899999999</v>
      </c>
      <c r="D118" s="24" t="s">
        <v>288</v>
      </c>
      <c r="E118" s="95">
        <f>+('DOE25'!L281)+('DOE25'!L300)+('DOE25'!L319)</f>
        <v>1833.52</v>
      </c>
      <c r="F118" s="24" t="s">
        <v>288</v>
      </c>
      <c r="G118" s="24" t="s">
        <v>288</v>
      </c>
    </row>
    <row r="119" spans="1:7" x14ac:dyDescent="0.2">
      <c r="A119" t="s">
        <v>208</v>
      </c>
      <c r="B119" s="32" t="s">
        <v>209</v>
      </c>
      <c r="C119" s="95">
        <f>('DOE25'!L203)+('DOE25'!L221)+('DOE25'!L239)</f>
        <v>966438.98</v>
      </c>
      <c r="D119" s="24" t="s">
        <v>288</v>
      </c>
      <c r="E119" s="95">
        <f>+('DOE25'!L282)+('DOE25'!L301)+('DOE25'!L320)</f>
        <v>89537.53</v>
      </c>
      <c r="F119" s="24" t="s">
        <v>288</v>
      </c>
      <c r="G119" s="24" t="s">
        <v>288</v>
      </c>
    </row>
    <row r="120" spans="1:7" x14ac:dyDescent="0.2">
      <c r="A120" t="s">
        <v>210</v>
      </c>
      <c r="B120" s="32" t="s">
        <v>211</v>
      </c>
      <c r="C120" s="95">
        <f>('DOE25'!L204)+('DOE25'!L222)+('DOE25'!L240)</f>
        <v>350835.13</v>
      </c>
      <c r="D120" s="24" t="s">
        <v>288</v>
      </c>
      <c r="E120" s="95">
        <f>+('DOE25'!L283)+('DOE25'!L302)+('DOE25'!L321)</f>
        <v>0</v>
      </c>
      <c r="F120" s="24" t="s">
        <v>288</v>
      </c>
      <c r="G120" s="24" t="s">
        <v>288</v>
      </c>
    </row>
    <row r="121" spans="1:7" x14ac:dyDescent="0.2">
      <c r="A121" t="s">
        <v>212</v>
      </c>
      <c r="B121" s="32" t="s">
        <v>213</v>
      </c>
      <c r="C121" s="95">
        <f>('DOE25'!L205)+('DOE25'!L223)+('DOE25'!L241)</f>
        <v>1618029.49</v>
      </c>
      <c r="D121" s="24" t="s">
        <v>288</v>
      </c>
      <c r="E121" s="95">
        <f>+('DOE25'!L284)+('DOE25'!L303)+('DOE25'!L322)</f>
        <v>0</v>
      </c>
      <c r="F121" s="24" t="s">
        <v>288</v>
      </c>
      <c r="G121" s="24" t="s">
        <v>288</v>
      </c>
    </row>
    <row r="122" spans="1:7" x14ac:dyDescent="0.2">
      <c r="A122" t="s">
        <v>214</v>
      </c>
      <c r="B122" s="32" t="s">
        <v>215</v>
      </c>
      <c r="C122" s="95">
        <f>('DOE25'!L206)+('DOE25'!L224)+('DOE25'!L242)</f>
        <v>494869.91999999993</v>
      </c>
      <c r="D122" s="24" t="s">
        <v>288</v>
      </c>
      <c r="E122" s="95">
        <f>+('DOE25'!L285)+('DOE25'!L304)+('DOE25'!L323)</f>
        <v>0</v>
      </c>
      <c r="F122" s="24" t="s">
        <v>288</v>
      </c>
      <c r="G122" s="24" t="s">
        <v>288</v>
      </c>
    </row>
    <row r="123" spans="1:7" x14ac:dyDescent="0.2">
      <c r="A123" t="s">
        <v>216</v>
      </c>
      <c r="B123" s="32" t="s">
        <v>217</v>
      </c>
      <c r="C123" s="95">
        <f>('DOE25'!L207)+('DOE25'!L225)+('DOE25'!L243)</f>
        <v>2753237.7300000004</v>
      </c>
      <c r="D123" s="24" t="s">
        <v>288</v>
      </c>
      <c r="E123" s="95">
        <f>+('DOE25'!L286)+('DOE25'!L305)+('DOE25'!L324)</f>
        <v>0</v>
      </c>
      <c r="F123" s="24" t="s">
        <v>288</v>
      </c>
      <c r="G123" s="24" t="s">
        <v>288</v>
      </c>
    </row>
    <row r="124" spans="1:7" x14ac:dyDescent="0.2">
      <c r="A124" t="s">
        <v>218</v>
      </c>
      <c r="B124" s="32" t="s">
        <v>219</v>
      </c>
      <c r="C124" s="95">
        <f>('DOE25'!L208)+('DOE25'!L226)+('DOE25'!L244+'DOE25'!L254)</f>
        <v>754071.48</v>
      </c>
      <c r="D124" s="24" t="s">
        <v>288</v>
      </c>
      <c r="E124" s="95">
        <f>+('DOE25'!L287)+('DOE25'!L306)+('DOE25'!L325)</f>
        <v>21596.41</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452876.58999999997</v>
      </c>
      <c r="E127" s="24" t="s">
        <v>288</v>
      </c>
      <c r="F127" s="24" t="s">
        <v>288</v>
      </c>
      <c r="G127" s="24" t="s">
        <v>288</v>
      </c>
    </row>
    <row r="128" spans="1:7" ht="12.75" thickTop="1" thickBot="1" x14ac:dyDescent="0.25">
      <c r="A128" s="33" t="s">
        <v>226</v>
      </c>
      <c r="C128" s="86">
        <f>SUM(C118:C127)</f>
        <v>8026097.3200000003</v>
      </c>
      <c r="D128" s="86">
        <f>SUM(D118:D127)</f>
        <v>452876.58999999997</v>
      </c>
      <c r="E128" s="86">
        <f>SUM(E118:E127)</f>
        <v>112967.46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212501.79</v>
      </c>
      <c r="G130" s="24" t="s">
        <v>288</v>
      </c>
    </row>
    <row r="131" spans="1:7" x14ac:dyDescent="0.2">
      <c r="A131" t="s">
        <v>229</v>
      </c>
      <c r="B131" s="32">
        <v>5110</v>
      </c>
      <c r="C131" s="95">
        <f>'DOE25'!L260</f>
        <v>985000</v>
      </c>
      <c r="D131" s="24" t="s">
        <v>288</v>
      </c>
      <c r="E131" s="129">
        <f>'DOE25'!L341</f>
        <v>0</v>
      </c>
      <c r="F131" s="24" t="s">
        <v>288</v>
      </c>
      <c r="G131" s="24" t="s">
        <v>288</v>
      </c>
    </row>
    <row r="132" spans="1:7" x14ac:dyDescent="0.2">
      <c r="A132" t="s">
        <v>230</v>
      </c>
      <c r="B132" s="32">
        <v>5120</v>
      </c>
      <c r="C132" s="95">
        <f>'DOE25'!L261</f>
        <v>217826.12</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177498.15000000002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-9998.1500000000233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1370326.12</v>
      </c>
      <c r="D144" s="141">
        <f>SUM(D130:D143)</f>
        <v>0</v>
      </c>
      <c r="E144" s="141">
        <f>SUM(E130:E143)</f>
        <v>0</v>
      </c>
      <c r="F144" s="141">
        <f>SUM(F130:F143)</f>
        <v>212501.79</v>
      </c>
      <c r="G144" s="141">
        <f>SUM(G130:G143)</f>
        <v>0</v>
      </c>
    </row>
    <row r="145" spans="1:9" ht="12.75" thickTop="1" thickBot="1" x14ac:dyDescent="0.25">
      <c r="A145" s="33" t="s">
        <v>244</v>
      </c>
      <c r="C145" s="86">
        <f>(C115+C128+C144)</f>
        <v>23896833.02</v>
      </c>
      <c r="D145" s="86">
        <f>(D115+D128+D144)</f>
        <v>452876.58999999997</v>
      </c>
      <c r="E145" s="86">
        <f>(E115+E128+E144)</f>
        <v>537153.54999999993</v>
      </c>
      <c r="F145" s="86">
        <f>(F115+F128+F144)</f>
        <v>212501.79</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15</v>
      </c>
      <c r="D151" s="153">
        <f>'DOE25'!H490</f>
        <v>0</v>
      </c>
      <c r="E151" s="153">
        <f>'DOE25'!I490</f>
        <v>0</v>
      </c>
      <c r="F151" s="153">
        <f>'DOE25'!J490</f>
        <v>0</v>
      </c>
      <c r="G151" s="24" t="s">
        <v>288</v>
      </c>
    </row>
    <row r="152" spans="1:9" x14ac:dyDescent="0.2">
      <c r="A152" s="136" t="s">
        <v>28</v>
      </c>
      <c r="B152" s="152" t="str">
        <f>'DOE25'!F491</f>
        <v>08/02</v>
      </c>
      <c r="C152" s="152" t="str">
        <f>'DOE25'!G491</f>
        <v>08/16</v>
      </c>
      <c r="D152" s="152">
        <f>'DOE25'!H491</f>
        <v>0</v>
      </c>
      <c r="E152" s="152">
        <f>'DOE25'!I491</f>
        <v>0</v>
      </c>
      <c r="F152" s="152">
        <f>'DOE25'!J491</f>
        <v>0</v>
      </c>
      <c r="G152" s="24" t="s">
        <v>288</v>
      </c>
    </row>
    <row r="153" spans="1:9" x14ac:dyDescent="0.2">
      <c r="A153" s="136" t="s">
        <v>29</v>
      </c>
      <c r="B153" s="152" t="str">
        <f>'DOE25'!F492</f>
        <v>08/22</v>
      </c>
      <c r="C153" s="152" t="str">
        <f>'DOE25'!G492</f>
        <v>08/31</v>
      </c>
      <c r="D153" s="152">
        <f>'DOE25'!H492</f>
        <v>0</v>
      </c>
      <c r="E153" s="152">
        <f>'DOE25'!I492</f>
        <v>0</v>
      </c>
      <c r="F153" s="152">
        <f>'DOE25'!J492</f>
        <v>0</v>
      </c>
      <c r="G153" s="24" t="s">
        <v>288</v>
      </c>
    </row>
    <row r="154" spans="1:9" x14ac:dyDescent="0.2">
      <c r="A154" s="136" t="s">
        <v>30</v>
      </c>
      <c r="B154" s="137">
        <f>'DOE25'!F493</f>
        <v>16997033</v>
      </c>
      <c r="C154" s="137">
        <f>'DOE25'!G493</f>
        <v>2005600</v>
      </c>
      <c r="D154" s="137">
        <f>'DOE25'!H493</f>
        <v>0</v>
      </c>
      <c r="E154" s="137">
        <f>'DOE25'!I493</f>
        <v>0</v>
      </c>
      <c r="F154" s="137">
        <f>'DOE25'!J493</f>
        <v>0</v>
      </c>
      <c r="G154" s="24" t="s">
        <v>288</v>
      </c>
    </row>
    <row r="155" spans="1:9" x14ac:dyDescent="0.2">
      <c r="A155" s="136" t="s">
        <v>31</v>
      </c>
      <c r="B155" s="137">
        <f>'DOE25'!F494</f>
        <v>4.45</v>
      </c>
      <c r="C155" s="137">
        <f>'DOE25'!G494</f>
        <v>2.16</v>
      </c>
      <c r="D155" s="137">
        <f>'DOE25'!H494</f>
        <v>0</v>
      </c>
      <c r="E155" s="137">
        <f>'DOE25'!I494</f>
        <v>0</v>
      </c>
      <c r="F155" s="137">
        <f>'DOE25'!J494</f>
        <v>0</v>
      </c>
      <c r="G155" s="24" t="s">
        <v>288</v>
      </c>
    </row>
    <row r="156" spans="1:9" x14ac:dyDescent="0.2">
      <c r="A156" s="22" t="s">
        <v>32</v>
      </c>
      <c r="B156" s="137">
        <f>'DOE25'!F495</f>
        <v>4245000</v>
      </c>
      <c r="C156" s="137">
        <f>'DOE25'!G495</f>
        <v>1870000</v>
      </c>
      <c r="D156" s="137">
        <f>'DOE25'!H495</f>
        <v>0</v>
      </c>
      <c r="E156" s="137">
        <f>'DOE25'!I495</f>
        <v>0</v>
      </c>
      <c r="F156" s="137">
        <f>'DOE25'!J495</f>
        <v>0</v>
      </c>
      <c r="G156" s="138">
        <f>SUM(B156:F156)</f>
        <v>6115000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850000</v>
      </c>
      <c r="C158" s="137">
        <f>'DOE25'!G497</f>
        <v>135000</v>
      </c>
      <c r="D158" s="137">
        <f>'DOE25'!H497</f>
        <v>0</v>
      </c>
      <c r="E158" s="137">
        <f>'DOE25'!I497</f>
        <v>0</v>
      </c>
      <c r="F158" s="137">
        <f>'DOE25'!J497</f>
        <v>0</v>
      </c>
      <c r="G158" s="138">
        <f t="shared" si="0"/>
        <v>985000</v>
      </c>
    </row>
    <row r="159" spans="1:9" x14ac:dyDescent="0.2">
      <c r="A159" s="22" t="s">
        <v>35</v>
      </c>
      <c r="B159" s="137">
        <f>'DOE25'!F498</f>
        <v>3395000</v>
      </c>
      <c r="C159" s="137">
        <f>'DOE25'!G498</f>
        <v>1735000</v>
      </c>
      <c r="D159" s="137">
        <f>'DOE25'!H498</f>
        <v>0</v>
      </c>
      <c r="E159" s="137">
        <f>'DOE25'!I498</f>
        <v>0</v>
      </c>
      <c r="F159" s="137">
        <f>'DOE25'!J498</f>
        <v>0</v>
      </c>
      <c r="G159" s="138">
        <f t="shared" si="0"/>
        <v>5130000</v>
      </c>
    </row>
    <row r="160" spans="1:9" x14ac:dyDescent="0.2">
      <c r="A160" s="22" t="s">
        <v>36</v>
      </c>
      <c r="B160" s="137">
        <f>'DOE25'!F499</f>
        <v>339125</v>
      </c>
      <c r="C160" s="137">
        <f>'DOE25'!G499</f>
        <v>406193.75</v>
      </c>
      <c r="D160" s="137">
        <f>'DOE25'!H499</f>
        <v>0</v>
      </c>
      <c r="E160" s="137">
        <f>'DOE25'!I499</f>
        <v>0</v>
      </c>
      <c r="F160" s="137">
        <f>'DOE25'!J499</f>
        <v>0</v>
      </c>
      <c r="G160" s="138">
        <f t="shared" si="0"/>
        <v>745318.75</v>
      </c>
    </row>
    <row r="161" spans="1:7" x14ac:dyDescent="0.2">
      <c r="A161" s="22" t="s">
        <v>37</v>
      </c>
      <c r="B161" s="137">
        <f>'DOE25'!F500</f>
        <v>3734125</v>
      </c>
      <c r="C161" s="137">
        <f>'DOE25'!G500</f>
        <v>2141193.75</v>
      </c>
      <c r="D161" s="137">
        <f>'DOE25'!H500</f>
        <v>0</v>
      </c>
      <c r="E161" s="137">
        <f>'DOE25'!I500</f>
        <v>0</v>
      </c>
      <c r="F161" s="137">
        <f>'DOE25'!J500</f>
        <v>0</v>
      </c>
      <c r="G161" s="138">
        <f t="shared" si="0"/>
        <v>5875318.75</v>
      </c>
    </row>
    <row r="162" spans="1:7" x14ac:dyDescent="0.2">
      <c r="A162" s="22" t="s">
        <v>38</v>
      </c>
      <c r="B162" s="137">
        <f>'DOE25'!F501</f>
        <v>850000</v>
      </c>
      <c r="C162" s="137">
        <f>'DOE25'!G501</f>
        <v>135000</v>
      </c>
      <c r="D162" s="137">
        <f>'DOE25'!H501</f>
        <v>0</v>
      </c>
      <c r="E162" s="137">
        <f>'DOE25'!I501</f>
        <v>0</v>
      </c>
      <c r="F162" s="137">
        <f>'DOE25'!J501</f>
        <v>0</v>
      </c>
      <c r="G162" s="138">
        <f t="shared" si="0"/>
        <v>985000</v>
      </c>
    </row>
    <row r="163" spans="1:7" x14ac:dyDescent="0.2">
      <c r="A163" s="22" t="s">
        <v>39</v>
      </c>
      <c r="B163" s="137">
        <f>'DOE25'!F502</f>
        <v>148500</v>
      </c>
      <c r="C163" s="137">
        <f>'DOE25'!G502</f>
        <v>66721</v>
      </c>
      <c r="D163" s="137">
        <f>'DOE25'!H502</f>
        <v>0</v>
      </c>
      <c r="E163" s="137">
        <f>'DOE25'!I502</f>
        <v>0</v>
      </c>
      <c r="F163" s="137">
        <f>'DOE25'!J502</f>
        <v>0</v>
      </c>
      <c r="G163" s="138">
        <f t="shared" si="0"/>
        <v>215221</v>
      </c>
    </row>
    <row r="164" spans="1:7" x14ac:dyDescent="0.2">
      <c r="A164" s="22" t="s">
        <v>246</v>
      </c>
      <c r="B164" s="137">
        <f>'DOE25'!F503</f>
        <v>998500</v>
      </c>
      <c r="C164" s="137">
        <f>'DOE25'!G503</f>
        <v>201721</v>
      </c>
      <c r="D164" s="137">
        <f>'DOE25'!H503</f>
        <v>0</v>
      </c>
      <c r="E164" s="137">
        <f>'DOE25'!I503</f>
        <v>0</v>
      </c>
      <c r="F164" s="137">
        <f>'DOE25'!J503</f>
        <v>0</v>
      </c>
      <c r="G164" s="138">
        <f t="shared" si="0"/>
        <v>1200221</v>
      </c>
    </row>
  </sheetData>
  <sheetProtection algorithmName="SHA-512" hashValue="3TL2dAL1ZYAVu+kQshgTgya1KO4nNsRSMvouZPC44K0tf1Mg+JfaPQhNUT5NR/j+dKZVkHRwBQjW7Zlbk/btaA==" saltValue="MN/IaC+AN9nM4PVoZW+eCg==" spinCount="100000"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Gilford School District</v>
      </c>
    </row>
    <row r="3" spans="1:4" x14ac:dyDescent="0.2">
      <c r="B3" s="188" t="s">
        <v>1602</v>
      </c>
    </row>
    <row r="4" spans="1:4" x14ac:dyDescent="0.2">
      <c r="B4" t="s">
        <v>61</v>
      </c>
      <c r="C4" s="179">
        <f>IF('DOE25'!F665+'DOE25'!F670=0,0,ROUND('DOE25'!F672,0))</f>
        <v>18455</v>
      </c>
    </row>
    <row r="5" spans="1:4" x14ac:dyDescent="0.2">
      <c r="B5" t="s">
        <v>700</v>
      </c>
      <c r="C5" s="179">
        <f>IF('DOE25'!G665+'DOE25'!G670=0,0,ROUND('DOE25'!G672,0))</f>
        <v>19295</v>
      </c>
    </row>
    <row r="6" spans="1:4" x14ac:dyDescent="0.2">
      <c r="B6" t="s">
        <v>62</v>
      </c>
      <c r="C6" s="179">
        <f>IF('DOE25'!H665+'DOE25'!H670=0,0,ROUND('DOE25'!H672,0))</f>
        <v>21194</v>
      </c>
    </row>
    <row r="7" spans="1:4" x14ac:dyDescent="0.2">
      <c r="B7" t="s">
        <v>701</v>
      </c>
      <c r="C7" s="179">
        <f>IF('DOE25'!I665+'DOE25'!I670=0,0,ROUND('DOE25'!I672,0))</f>
        <v>19799</v>
      </c>
    </row>
    <row r="9" spans="1:4" x14ac:dyDescent="0.2">
      <c r="A9" s="187" t="s">
        <v>94</v>
      </c>
      <c r="B9" s="188" t="s">
        <v>1603</v>
      </c>
      <c r="C9" s="181" t="s">
        <v>720</v>
      </c>
      <c r="D9" s="181" t="s">
        <v>721</v>
      </c>
    </row>
    <row r="10" spans="1:4" x14ac:dyDescent="0.2">
      <c r="A10">
        <v>1100</v>
      </c>
      <c r="B10" t="s">
        <v>702</v>
      </c>
      <c r="C10" s="179">
        <f>ROUND('DOE25'!L197+'DOE25'!L215+'DOE25'!L233+'DOE25'!L276+'DOE25'!L295+'DOE25'!L314,0)</f>
        <v>9742498</v>
      </c>
      <c r="D10" s="182">
        <f>ROUND((C10/$C$28)*100,1)</f>
        <v>41.6</v>
      </c>
    </row>
    <row r="11" spans="1:4" x14ac:dyDescent="0.2">
      <c r="A11">
        <v>1200</v>
      </c>
      <c r="B11" t="s">
        <v>703</v>
      </c>
      <c r="C11" s="179">
        <f>ROUND('DOE25'!L198+'DOE25'!L216+'DOE25'!L234+'DOE25'!L277+'DOE25'!L296+'DOE25'!L315,0)</f>
        <v>4369914</v>
      </c>
      <c r="D11" s="182">
        <f>ROUND((C11/$C$28)*100,1)</f>
        <v>18.600000000000001</v>
      </c>
    </row>
    <row r="12" spans="1:4" x14ac:dyDescent="0.2">
      <c r="A12">
        <v>1300</v>
      </c>
      <c r="B12" t="s">
        <v>704</v>
      </c>
      <c r="C12" s="179">
        <f>ROUND('DOE25'!L199+'DOE25'!L217+'DOE25'!L235+'DOE25'!L278+'DOE25'!L297+'DOE25'!L316,0)</f>
        <v>184539</v>
      </c>
      <c r="D12" s="182">
        <f>ROUND((C12/$C$28)*100,1)</f>
        <v>0.8</v>
      </c>
    </row>
    <row r="13" spans="1:4" x14ac:dyDescent="0.2">
      <c r="A13">
        <v>1400</v>
      </c>
      <c r="B13" t="s">
        <v>705</v>
      </c>
      <c r="C13" s="179">
        <f>ROUND('DOE25'!L200+'DOE25'!L218+'DOE25'!L236+'DOE25'!L279+'DOE25'!L298+'DOE25'!L317,0)</f>
        <v>627645</v>
      </c>
      <c r="D13" s="182">
        <f>ROUND((C13/$C$28)*100,1)</f>
        <v>2.7</v>
      </c>
    </row>
    <row r="14" spans="1:4" x14ac:dyDescent="0.2">
      <c r="D14" s="182"/>
    </row>
    <row r="15" spans="1:4" x14ac:dyDescent="0.2">
      <c r="A15">
        <v>2100</v>
      </c>
      <c r="B15" t="s">
        <v>706</v>
      </c>
      <c r="C15" s="179">
        <f>ROUND('DOE25'!L202+'DOE25'!L220+'DOE25'!L238+'DOE25'!L281+'DOE25'!L300+'DOE25'!L319,0)</f>
        <v>1090448</v>
      </c>
      <c r="D15" s="182">
        <f t="shared" ref="D15:D27" si="0">ROUND((C15/$C$28)*100,1)</f>
        <v>4.7</v>
      </c>
    </row>
    <row r="16" spans="1:4" x14ac:dyDescent="0.2">
      <c r="A16">
        <v>2200</v>
      </c>
      <c r="B16" t="s">
        <v>707</v>
      </c>
      <c r="C16" s="179">
        <f>ROUND('DOE25'!L203+'DOE25'!L221+'DOE25'!L239+'DOE25'!L282+'DOE25'!L301+'DOE25'!L320,0)</f>
        <v>1055977</v>
      </c>
      <c r="D16" s="182">
        <f t="shared" si="0"/>
        <v>4.5</v>
      </c>
    </row>
    <row r="17" spans="1:4" x14ac:dyDescent="0.2">
      <c r="A17" s="183" t="s">
        <v>723</v>
      </c>
      <c r="B17" t="s">
        <v>738</v>
      </c>
      <c r="C17" s="179">
        <f>ROUND('DOE25'!L204+'DOE25'!L209+'DOE25'!L222+'DOE25'!L227+'DOE25'!L240+'DOE25'!L245+'DOE25'!L283+'DOE25'!L288+'DOE25'!L302+'DOE25'!L307+'DOE25'!L321+'DOE25'!L326,0)</f>
        <v>350835</v>
      </c>
      <c r="D17" s="182">
        <f t="shared" si="0"/>
        <v>1.5</v>
      </c>
    </row>
    <row r="18" spans="1:4" x14ac:dyDescent="0.2">
      <c r="A18">
        <v>2400</v>
      </c>
      <c r="B18" t="s">
        <v>711</v>
      </c>
      <c r="C18" s="179">
        <f>ROUND('DOE25'!L205+'DOE25'!L223+'DOE25'!L241+'DOE25'!L284+'DOE25'!L303+'DOE25'!L322,0)</f>
        <v>1618029</v>
      </c>
      <c r="D18" s="182">
        <f t="shared" si="0"/>
        <v>6.9</v>
      </c>
    </row>
    <row r="19" spans="1:4" x14ac:dyDescent="0.2">
      <c r="A19">
        <v>2500</v>
      </c>
      <c r="B19" t="s">
        <v>708</v>
      </c>
      <c r="C19" s="179">
        <f>ROUND('DOE25'!L206+'DOE25'!L224+'DOE25'!L242+'DOE25'!L285+'DOE25'!L304+'DOE25'!L323,0)</f>
        <v>494870</v>
      </c>
      <c r="D19" s="182">
        <f t="shared" si="0"/>
        <v>2.1</v>
      </c>
    </row>
    <row r="20" spans="1:4" x14ac:dyDescent="0.2">
      <c r="A20">
        <v>2600</v>
      </c>
      <c r="B20" t="s">
        <v>709</v>
      </c>
      <c r="C20" s="179">
        <f>ROUND('DOE25'!L207+'DOE25'!L225+'DOE25'!L243+'DOE25'!L286+'DOE25'!L305+'DOE25'!L324,0)</f>
        <v>2753238</v>
      </c>
      <c r="D20" s="182">
        <f t="shared" si="0"/>
        <v>11.7</v>
      </c>
    </row>
    <row r="21" spans="1:4" x14ac:dyDescent="0.2">
      <c r="A21">
        <v>2700</v>
      </c>
      <c r="B21" t="s">
        <v>710</v>
      </c>
      <c r="C21" s="179">
        <f>ROUND('DOE25'!L208+'DOE25'!L226+'DOE25'!L244+'DOE25'!L287+'DOE25'!L306+'DOE25'!L325,0)</f>
        <v>775668</v>
      </c>
      <c r="D21" s="182">
        <f t="shared" si="0"/>
        <v>3.3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217826</v>
      </c>
      <c r="D25" s="182">
        <f t="shared" si="0"/>
        <v>0.9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152127.21999999997</v>
      </c>
      <c r="D27" s="182">
        <f t="shared" si="0"/>
        <v>0.6</v>
      </c>
    </row>
    <row r="28" spans="1:4" x14ac:dyDescent="0.2">
      <c r="B28" s="187" t="s">
        <v>719</v>
      </c>
      <c r="C28" s="180">
        <f>SUM(C10:C27)</f>
        <v>23433614.219999999</v>
      </c>
      <c r="D28" s="184">
        <f>ROUND(SUM(D10:D27),0)</f>
        <v>100</v>
      </c>
    </row>
    <row r="29" spans="1:4" x14ac:dyDescent="0.2">
      <c r="A29">
        <v>4000</v>
      </c>
      <c r="B29" t="s">
        <v>724</v>
      </c>
      <c r="C29" s="179">
        <f>ROUND('DOE25'!L255+'DOE25'!L336+'DOE25'!L374+'DOE25'!L375+'DOE25'!L376+'DOE25'!L377+'DOE25'!L378+'DOE25'!L379+'DOE25'!L380,0)</f>
        <v>212502</v>
      </c>
    </row>
    <row r="30" spans="1:4" x14ac:dyDescent="0.2">
      <c r="B30" s="187" t="s">
        <v>725</v>
      </c>
      <c r="C30" s="180">
        <f>SUM(C28:C29)</f>
        <v>23646116.219999999</v>
      </c>
    </row>
    <row r="31" spans="1:4" x14ac:dyDescent="0.2">
      <c r="B31" s="33"/>
      <c r="C31" s="180"/>
    </row>
    <row r="32" spans="1:4" x14ac:dyDescent="0.2">
      <c r="A32">
        <v>5100</v>
      </c>
      <c r="B32" s="33" t="s">
        <v>726</v>
      </c>
      <c r="C32" s="180">
        <f>ROUND('DOE25'!L260+'DOE25'!L341,0)</f>
        <v>985000</v>
      </c>
    </row>
    <row r="34" spans="1:4" x14ac:dyDescent="0.2">
      <c r="A34" s="187" t="s">
        <v>94</v>
      </c>
      <c r="B34" s="188" t="s">
        <v>1604</v>
      </c>
      <c r="C34" s="181" t="s">
        <v>720</v>
      </c>
      <c r="D34" s="181" t="s">
        <v>721</v>
      </c>
    </row>
    <row r="35" spans="1:4" x14ac:dyDescent="0.2">
      <c r="A35">
        <v>1100</v>
      </c>
      <c r="B35" s="185" t="s">
        <v>727</v>
      </c>
      <c r="C35" s="179">
        <f>ROUND('DOE25'!F60+'DOE25'!G60+'DOE25'!H60+'DOE25'!I60+'DOE25'!J60,0)</f>
        <v>14879023</v>
      </c>
      <c r="D35" s="182">
        <f t="shared" ref="D35:D40" si="1">ROUND((C35/$C$41)*100,1)</f>
        <v>62.6</v>
      </c>
    </row>
    <row r="36" spans="1:4" x14ac:dyDescent="0.2">
      <c r="B36" s="185" t="s">
        <v>739</v>
      </c>
      <c r="C36" s="179">
        <f>SUM('DOE25'!F112:J112)-SUM('DOE25'!G97:G110)+('DOE25'!F174+'DOE25'!F175+'DOE25'!I174+'DOE25'!I175)-C35</f>
        <v>3259080.1899999976</v>
      </c>
      <c r="D36" s="182">
        <f t="shared" si="1"/>
        <v>13.7</v>
      </c>
    </row>
    <row r="37" spans="1:4" x14ac:dyDescent="0.2">
      <c r="A37" s="183" t="s">
        <v>835</v>
      </c>
      <c r="B37" s="185" t="s">
        <v>728</v>
      </c>
      <c r="C37" s="179">
        <f>ROUND('DOE25'!F117+'DOE25'!F118,0)</f>
        <v>4453365</v>
      </c>
      <c r="D37" s="182">
        <f t="shared" si="1"/>
        <v>18.7</v>
      </c>
    </row>
    <row r="38" spans="1:4" x14ac:dyDescent="0.2">
      <c r="A38" s="183" t="s">
        <v>734</v>
      </c>
      <c r="B38" s="185" t="s">
        <v>729</v>
      </c>
      <c r="C38" s="179">
        <f>ROUND(SUM('DOE25'!F140:J140)-SUM('DOE25'!F117:F119),0)</f>
        <v>465668</v>
      </c>
      <c r="D38" s="182">
        <f t="shared" si="1"/>
        <v>2</v>
      </c>
    </row>
    <row r="39" spans="1:4" x14ac:dyDescent="0.2">
      <c r="A39">
        <v>4000</v>
      </c>
      <c r="B39" s="185" t="s">
        <v>730</v>
      </c>
      <c r="C39" s="179">
        <f>ROUND('DOE25'!F169+'DOE25'!G169+'DOE25'!H169+'DOE25'!I169,0)</f>
        <v>707352</v>
      </c>
      <c r="D39" s="182">
        <f t="shared" si="1"/>
        <v>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23764488.189999998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Gilford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2019-11-25T13:23:23Z</cp:lastPrinted>
  <dcterms:created xsi:type="dcterms:W3CDTF">1997-12-04T19:04:30Z</dcterms:created>
  <dcterms:modified xsi:type="dcterms:W3CDTF">2019-11-25T13:24:07Z</dcterms:modified>
</cp:coreProperties>
</file>