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11" i="13" l="1"/>
  <c r="B21" i="12"/>
  <c r="B12" i="12"/>
  <c r="I595" i="1" l="1"/>
  <c r="H30" i="1" l="1"/>
  <c r="H155" i="1"/>
  <c r="H159" i="1"/>
  <c r="H110" i="1"/>
  <c r="F9" i="1"/>
  <c r="F50" i="1"/>
  <c r="G158" i="1" l="1"/>
  <c r="G97" i="1"/>
  <c r="F63"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I458" i="1"/>
  <c r="J39" i="1" s="1"/>
  <c r="G38" i="2" s="1"/>
  <c r="C68" i="2"/>
  <c r="B2" i="13"/>
  <c r="G8" i="13"/>
  <c r="H8" i="13"/>
  <c r="L204" i="1"/>
  <c r="L222" i="1"/>
  <c r="L240" i="1"/>
  <c r="C17" i="10" s="1"/>
  <c r="D39" i="13"/>
  <c r="G13" i="13"/>
  <c r="H13" i="13"/>
  <c r="L206" i="1"/>
  <c r="L224" i="1"/>
  <c r="L242" i="1"/>
  <c r="G16" i="13"/>
  <c r="H16" i="13"/>
  <c r="L209" i="1"/>
  <c r="L227" i="1"/>
  <c r="C125" i="2" s="1"/>
  <c r="L245" i="1"/>
  <c r="G5" i="13"/>
  <c r="H5" i="13"/>
  <c r="L197" i="1"/>
  <c r="L198" i="1"/>
  <c r="L199" i="1"/>
  <c r="L200" i="1"/>
  <c r="L215" i="1"/>
  <c r="L216" i="1"/>
  <c r="C11" i="10" s="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123" i="2" s="1"/>
  <c r="L243" i="1"/>
  <c r="G15" i="13"/>
  <c r="H15" i="13"/>
  <c r="L208" i="1"/>
  <c r="L226" i="1"/>
  <c r="L244" i="1"/>
  <c r="G17" i="13"/>
  <c r="H17" i="13"/>
  <c r="L251" i="1"/>
  <c r="G18" i="13"/>
  <c r="H18" i="13"/>
  <c r="L252" i="1"/>
  <c r="D18" i="13" s="1"/>
  <c r="C18" i="13" s="1"/>
  <c r="G19" i="13"/>
  <c r="H19" i="13"/>
  <c r="L253" i="1"/>
  <c r="D19" i="13" s="1"/>
  <c r="C19" i="13" s="1"/>
  <c r="G29" i="13"/>
  <c r="H29" i="13"/>
  <c r="L358" i="1"/>
  <c r="L359" i="1"/>
  <c r="L360" i="1"/>
  <c r="H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E124" i="2" s="1"/>
  <c r="L326" i="1"/>
  <c r="L333" i="1"/>
  <c r="E114" i="2" s="1"/>
  <c r="L334" i="1"/>
  <c r="L335" i="1"/>
  <c r="L260" i="1"/>
  <c r="C131" i="2" s="1"/>
  <c r="L261" i="1"/>
  <c r="L341" i="1"/>
  <c r="L342" i="1"/>
  <c r="L255" i="1"/>
  <c r="C130" i="2" s="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2" i="10"/>
  <c r="L250" i="1"/>
  <c r="C113" i="2" s="1"/>
  <c r="L332" i="1"/>
  <c r="L254" i="1"/>
  <c r="L268" i="1"/>
  <c r="L269" i="1"/>
  <c r="L349" i="1"/>
  <c r="L350" i="1"/>
  <c r="E143" i="2" s="1"/>
  <c r="I665" i="1"/>
  <c r="I670" i="1"/>
  <c r="G662" i="1"/>
  <c r="H662" i="1"/>
  <c r="I669" i="1"/>
  <c r="C42" i="10"/>
  <c r="C32" i="10"/>
  <c r="L374" i="1"/>
  <c r="L375" i="1"/>
  <c r="L376" i="1"/>
  <c r="L377" i="1"/>
  <c r="L378" i="1"/>
  <c r="L379" i="1"/>
  <c r="L380" i="1"/>
  <c r="B2" i="10"/>
  <c r="L344" i="1"/>
  <c r="L345" i="1"/>
  <c r="L346" i="1"/>
  <c r="E137" i="2" s="1"/>
  <c r="L347" i="1"/>
  <c r="L351" i="1" s="1"/>
  <c r="K351" i="1"/>
  <c r="L521" i="1"/>
  <c r="F549" i="1" s="1"/>
  <c r="L522" i="1"/>
  <c r="F550" i="1" s="1"/>
  <c r="L523" i="1"/>
  <c r="F551" i="1" s="1"/>
  <c r="L526" i="1"/>
  <c r="G549" i="1" s="1"/>
  <c r="L527" i="1"/>
  <c r="G550" i="1" s="1"/>
  <c r="G552" i="1" s="1"/>
  <c r="L528" i="1"/>
  <c r="G551" i="1" s="1"/>
  <c r="L531" i="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C18" i="2" s="1"/>
  <c r="D11" i="2"/>
  <c r="E11" i="2"/>
  <c r="F11" i="2"/>
  <c r="I441" i="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D115" i="2"/>
  <c r="F115" i="2"/>
  <c r="G115" i="2"/>
  <c r="C119" i="2"/>
  <c r="E119" i="2"/>
  <c r="E120" i="2"/>
  <c r="E121" i="2"/>
  <c r="E123" i="2"/>
  <c r="E125" i="2"/>
  <c r="F128" i="2"/>
  <c r="G128"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F338" i="1" s="1"/>
  <c r="F352" i="1" s="1"/>
  <c r="G337" i="1"/>
  <c r="H337" i="1"/>
  <c r="I337" i="1"/>
  <c r="J337" i="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F461" i="1" s="1"/>
  <c r="H639" i="1" s="1"/>
  <c r="G460" i="1"/>
  <c r="H460" i="1"/>
  <c r="H461" i="1" s="1"/>
  <c r="H641" i="1" s="1"/>
  <c r="J641" i="1" s="1"/>
  <c r="G461" i="1"/>
  <c r="F470" i="1"/>
  <c r="G470" i="1"/>
  <c r="H470" i="1"/>
  <c r="I470" i="1"/>
  <c r="I476" i="1" s="1"/>
  <c r="H625" i="1" s="1"/>
  <c r="J625" i="1" s="1"/>
  <c r="J470" i="1"/>
  <c r="J476" i="1" s="1"/>
  <c r="H626" i="1" s="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I545" i="1" s="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K571" i="1" s="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G618" i="1"/>
  <c r="G619" i="1"/>
  <c r="G620" i="1"/>
  <c r="G622" i="1"/>
  <c r="G623" i="1"/>
  <c r="G625" i="1"/>
  <c r="H627" i="1"/>
  <c r="H628" i="1"/>
  <c r="H629" i="1"/>
  <c r="H630" i="1"/>
  <c r="H631" i="1"/>
  <c r="H632" i="1"/>
  <c r="H633" i="1"/>
  <c r="G634" i="1"/>
  <c r="H635" i="1"/>
  <c r="H636" i="1"/>
  <c r="H637" i="1"/>
  <c r="H638" i="1"/>
  <c r="G640" i="1"/>
  <c r="J640" i="1" s="1"/>
  <c r="H640" i="1"/>
  <c r="G641" i="1"/>
  <c r="G643" i="1"/>
  <c r="H643" i="1"/>
  <c r="J643" i="1" s="1"/>
  <c r="G644" i="1"/>
  <c r="G645" i="1"/>
  <c r="G650" i="1"/>
  <c r="G651" i="1"/>
  <c r="G652" i="1"/>
  <c r="H652" i="1"/>
  <c r="G653" i="1"/>
  <c r="H653" i="1"/>
  <c r="G654" i="1"/>
  <c r="H654" i="1"/>
  <c r="H655" i="1"/>
  <c r="D18" i="2"/>
  <c r="F18" i="2"/>
  <c r="E103" i="2"/>
  <c r="E31" i="2"/>
  <c r="G62" i="2"/>
  <c r="H112" i="1"/>
  <c r="L419" i="1"/>
  <c r="I169" i="1"/>
  <c r="G338" i="1"/>
  <c r="G352" i="1" s="1"/>
  <c r="J140" i="1"/>
  <c r="F571" i="1"/>
  <c r="G22" i="2"/>
  <c r="H140" i="1"/>
  <c r="L401" i="1"/>
  <c r="C139" i="2" s="1"/>
  <c r="H571" i="1"/>
  <c r="L560" i="1"/>
  <c r="G192" i="1"/>
  <c r="H192" i="1"/>
  <c r="J655" i="1"/>
  <c r="I571" i="1"/>
  <c r="L565" i="1"/>
  <c r="F476" i="1" l="1"/>
  <c r="H622" i="1" s="1"/>
  <c r="J552" i="1"/>
  <c r="G545" i="1"/>
  <c r="K551" i="1"/>
  <c r="L529" i="1"/>
  <c r="J545" i="1"/>
  <c r="K550" i="1"/>
  <c r="H545" i="1"/>
  <c r="H52" i="1"/>
  <c r="H619" i="1" s="1"/>
  <c r="H476" i="1"/>
  <c r="H624" i="1" s="1"/>
  <c r="J624" i="1" s="1"/>
  <c r="J644" i="1"/>
  <c r="J645" i="1"/>
  <c r="J634" i="1"/>
  <c r="L328" i="1"/>
  <c r="L309" i="1"/>
  <c r="L270" i="1"/>
  <c r="F257" i="1"/>
  <c r="F271" i="1" s="1"/>
  <c r="L256" i="1"/>
  <c r="H257" i="1"/>
  <c r="H271" i="1" s="1"/>
  <c r="C110" i="2"/>
  <c r="J257" i="1"/>
  <c r="J271" i="1" s="1"/>
  <c r="C13" i="10"/>
  <c r="D91" i="2"/>
  <c r="D81" i="2"/>
  <c r="D62" i="2"/>
  <c r="D63" i="2" s="1"/>
  <c r="J623" i="1"/>
  <c r="D31" i="2"/>
  <c r="J622" i="1"/>
  <c r="J617" i="1"/>
  <c r="J639" i="1"/>
  <c r="H549" i="1"/>
  <c r="L534" i="1"/>
  <c r="F112" i="1"/>
  <c r="C36" i="10" s="1"/>
  <c r="C35" i="10"/>
  <c r="C56" i="2"/>
  <c r="E118" i="2"/>
  <c r="L247" i="1"/>
  <c r="G36" i="14" s="1"/>
  <c r="H36" i="14" s="1"/>
  <c r="I36" i="14" s="1"/>
  <c r="C111" i="2"/>
  <c r="E13" i="13"/>
  <c r="C13" i="13" s="1"/>
  <c r="C19" i="10"/>
  <c r="C122" i="2"/>
  <c r="J45" i="1"/>
  <c r="G44" i="2" s="1"/>
  <c r="I460" i="1"/>
  <c r="L614" i="1"/>
  <c r="K545" i="1"/>
  <c r="I552" i="1"/>
  <c r="F552" i="1"/>
  <c r="F130" i="2"/>
  <c r="F144" i="2" s="1"/>
  <c r="F145" i="2" s="1"/>
  <c r="F661" i="1"/>
  <c r="F169" i="1"/>
  <c r="L393" i="1"/>
  <c r="C138" i="2" s="1"/>
  <c r="C29" i="10"/>
  <c r="G661" i="1"/>
  <c r="L211" i="1"/>
  <c r="G4" i="14" s="1"/>
  <c r="H4" i="14" s="1"/>
  <c r="I4" i="14" s="1"/>
  <c r="C120" i="2"/>
  <c r="E122" i="2"/>
  <c r="L290" i="1"/>
  <c r="E109" i="2"/>
  <c r="D15" i="13"/>
  <c r="C15" i="13" s="1"/>
  <c r="C124" i="2"/>
  <c r="G649" i="1"/>
  <c r="J649" i="1" s="1"/>
  <c r="C21" i="10"/>
  <c r="F662" i="1"/>
  <c r="I662" i="1" s="1"/>
  <c r="D6" i="13"/>
  <c r="C6" i="13" s="1"/>
  <c r="C118" i="2"/>
  <c r="C15" i="10"/>
  <c r="I257" i="1"/>
  <c r="I271" i="1" s="1"/>
  <c r="K257" i="1"/>
  <c r="K271" i="1" s="1"/>
  <c r="B161" i="2"/>
  <c r="G161" i="2" s="1"/>
  <c r="K500" i="1"/>
  <c r="G157" i="2"/>
  <c r="C62" i="2"/>
  <c r="J24" i="1"/>
  <c r="G23" i="2" s="1"/>
  <c r="I452" i="1"/>
  <c r="I461" i="1" s="1"/>
  <c r="H642" i="1" s="1"/>
  <c r="J642" i="1" s="1"/>
  <c r="J12" i="1"/>
  <c r="G11" i="2" s="1"/>
  <c r="I446" i="1"/>
  <c r="G642" i="1" s="1"/>
  <c r="C132" i="2"/>
  <c r="C25" i="10"/>
  <c r="I25" i="13"/>
  <c r="H647" i="1"/>
  <c r="K598" i="1"/>
  <c r="G647" i="1" s="1"/>
  <c r="G156" i="2"/>
  <c r="C114" i="2"/>
  <c r="C78" i="2"/>
  <c r="C81" i="2" s="1"/>
  <c r="C26" i="10"/>
  <c r="C142" i="2"/>
  <c r="C18" i="10"/>
  <c r="D14" i="13"/>
  <c r="C14" i="13" s="1"/>
  <c r="G22" i="13"/>
  <c r="C22" i="13" s="1"/>
  <c r="K503" i="1"/>
  <c r="K338" i="1"/>
  <c r="K352" i="1" s="1"/>
  <c r="G257" i="1"/>
  <c r="G271" i="1" s="1"/>
  <c r="C85" i="2"/>
  <c r="C91" i="2" s="1"/>
  <c r="C20" i="10"/>
  <c r="A13" i="12"/>
  <c r="D29" i="13"/>
  <c r="C29" i="13" s="1"/>
  <c r="D12" i="13"/>
  <c r="C12" i="13" s="1"/>
  <c r="D5" i="13"/>
  <c r="C5" i="13" s="1"/>
  <c r="E8" i="13"/>
  <c r="C8" i="13" s="1"/>
  <c r="H338" i="1"/>
  <c r="H352" i="1" s="1"/>
  <c r="L539" i="1"/>
  <c r="L382" i="1"/>
  <c r="G636" i="1" s="1"/>
  <c r="J636" i="1" s="1"/>
  <c r="L544" i="1"/>
  <c r="L524" i="1"/>
  <c r="J338" i="1"/>
  <c r="J352" i="1" s="1"/>
  <c r="D127" i="2"/>
  <c r="D128" i="2" s="1"/>
  <c r="D145" i="2" s="1"/>
  <c r="E112" i="2"/>
  <c r="C16" i="10"/>
  <c r="D17" i="13"/>
  <c r="C17" i="13" s="1"/>
  <c r="D7" i="13"/>
  <c r="C7" i="13" s="1"/>
  <c r="E16" i="13"/>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D51" i="2"/>
  <c r="J654" i="1"/>
  <c r="J653" i="1"/>
  <c r="G21" i="2"/>
  <c r="J32" i="1"/>
  <c r="L434" i="1"/>
  <c r="G638" i="1" s="1"/>
  <c r="J638" i="1" s="1"/>
  <c r="J434" i="1"/>
  <c r="F434" i="1"/>
  <c r="K434" i="1"/>
  <c r="G134" i="2" s="1"/>
  <c r="G144" i="2" s="1"/>
  <c r="G145" i="2" s="1"/>
  <c r="G31" i="13"/>
  <c r="J193" i="1"/>
  <c r="G646" i="1" s="1"/>
  <c r="F104" i="2"/>
  <c r="H193" i="1"/>
  <c r="G629" i="1" s="1"/>
  <c r="J629" i="1" s="1"/>
  <c r="G169" i="1"/>
  <c r="G140" i="1"/>
  <c r="F140" i="1"/>
  <c r="G63" i="2"/>
  <c r="J618" i="1"/>
  <c r="G42" i="2"/>
  <c r="G50" i="2" s="1"/>
  <c r="J51" i="1"/>
  <c r="G16" i="2"/>
  <c r="J19" i="1"/>
  <c r="G621" i="1" s="1"/>
  <c r="G18" i="2"/>
  <c r="F545" i="1"/>
  <c r="H434" i="1"/>
  <c r="J620" i="1"/>
  <c r="J619" i="1"/>
  <c r="D103" i="2"/>
  <c r="D104" i="2" s="1"/>
  <c r="I140" i="1"/>
  <c r="A22" i="12"/>
  <c r="J652" i="1"/>
  <c r="G571" i="1"/>
  <c r="I434" i="1"/>
  <c r="G434" i="1"/>
  <c r="E104" i="2"/>
  <c r="I663" i="1"/>
  <c r="C27" i="10"/>
  <c r="G635" i="1"/>
  <c r="J635" i="1" s="1"/>
  <c r="H660" i="1" l="1"/>
  <c r="H664" i="1" s="1"/>
  <c r="H667" i="1" s="1"/>
  <c r="L545" i="1"/>
  <c r="D31" i="13"/>
  <c r="L338" i="1"/>
  <c r="L352" i="1" s="1"/>
  <c r="G633" i="1" s="1"/>
  <c r="J633" i="1" s="1"/>
  <c r="F660" i="1"/>
  <c r="E128" i="2"/>
  <c r="H648" i="1"/>
  <c r="J648" i="1" s="1"/>
  <c r="G660" i="1"/>
  <c r="G664" i="1" s="1"/>
  <c r="G667" i="1" s="1"/>
  <c r="F664" i="1"/>
  <c r="F672" i="1" s="1"/>
  <c r="C4" i="10" s="1"/>
  <c r="C115" i="2"/>
  <c r="L257" i="1"/>
  <c r="L271" i="1" s="1"/>
  <c r="G632" i="1" s="1"/>
  <c r="J632" i="1" s="1"/>
  <c r="C128" i="2"/>
  <c r="E33" i="13"/>
  <c r="D35" i="13" s="1"/>
  <c r="J647" i="1"/>
  <c r="C39" i="10"/>
  <c r="F193" i="1"/>
  <c r="G627" i="1" s="1"/>
  <c r="J627" i="1" s="1"/>
  <c r="C63" i="2"/>
  <c r="C104" i="2" s="1"/>
  <c r="C25" i="13"/>
  <c r="I33" i="13"/>
  <c r="G31" i="2"/>
  <c r="G51" i="2" s="1"/>
  <c r="E115" i="2"/>
  <c r="K549" i="1"/>
  <c r="K552" i="1" s="1"/>
  <c r="H552" i="1"/>
  <c r="G33" i="13"/>
  <c r="L408" i="1"/>
  <c r="C141" i="2"/>
  <c r="C144" i="2" s="1"/>
  <c r="I661" i="1"/>
  <c r="I193" i="1"/>
  <c r="G630" i="1" s="1"/>
  <c r="J630" i="1" s="1"/>
  <c r="G104" i="2"/>
  <c r="C28" i="10"/>
  <c r="D23" i="10" s="1"/>
  <c r="H24" i="14"/>
  <c r="I24" i="14" s="1"/>
  <c r="C31" i="13"/>
  <c r="C51" i="2"/>
  <c r="G631" i="1"/>
  <c r="J631" i="1" s="1"/>
  <c r="G193" i="1"/>
  <c r="G628" i="1" s="1"/>
  <c r="J628" i="1" s="1"/>
  <c r="G626" i="1"/>
  <c r="J626" i="1" s="1"/>
  <c r="J52" i="1"/>
  <c r="H621" i="1" s="1"/>
  <c r="J621" i="1" s="1"/>
  <c r="C38" i="10"/>
  <c r="H672" i="1" l="1"/>
  <c r="C6" i="10" s="1"/>
  <c r="F667" i="1"/>
  <c r="I660" i="1"/>
  <c r="I664" i="1" s="1"/>
  <c r="I672" i="1" s="1"/>
  <c r="C7" i="10" s="1"/>
  <c r="G672" i="1"/>
  <c r="C5" i="10" s="1"/>
  <c r="E145" i="2"/>
  <c r="C145" i="2"/>
  <c r="D25" i="10"/>
  <c r="G637" i="1"/>
  <c r="J637" i="1" s="1"/>
  <c r="H646" i="1"/>
  <c r="J646" i="1"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<sst xmlns="http://schemas.openxmlformats.org/spreadsheetml/2006/main" count="5505" uniqueCount="1610">
  <si>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</si>
  <si>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</si>
  <si>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</si>
  <si>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</si>
  <si>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</si>
  <si>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</si>
  <si>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</si>
  <si>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</si>
  <si>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</si>
  <si>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</si>
  <si>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</si>
  <si>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</si>
  <si>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</si>
  <si>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</si>
  <si>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</si>
  <si>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</si>
  <si>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</si>
  <si>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</si>
  <si>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</si>
  <si>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</si>
  <si>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</si>
  <si>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</si>
  <si>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</si>
  <si>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</si>
  <si>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</si>
  <si>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</si>
  <si>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</si>
  <si>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</si>
  <si>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</si>
  <si>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</si>
  <si>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</si>
  <si>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</si>
  <si>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</si>
  <si>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</si>
  <si>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</si>
  <si>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</si>
  <si>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</si>
  <si>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</si>
  <si>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</si>
  <si>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</si>
  <si>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</si>
  <si>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</si>
  <si>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</si>
  <si>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</si>
  <si>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</si>
  <si>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</si>
  <si>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</si>
  <si>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</si>
  <si>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</si>
  <si>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</si>
  <si>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</si>
  <si>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</si>
  <si>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</si>
  <si>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</si>
  <si>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</si>
  <si>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</si>
  <si>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</si>
  <si>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</si>
  <si>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</si>
  <si>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</si>
  <si>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</si>
  <si>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</si>
  <si>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</si>
  <si>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</si>
  <si>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</si>
  <si>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</si>
  <si>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</si>
  <si>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</si>
  <si>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</si>
  <si>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</si>
  <si>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</si>
  <si>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</si>
  <si>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</si>
  <si>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</si>
  <si>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</si>
  <si>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</si>
  <si>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</si>
  <si>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</si>
  <si>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</si>
  <si>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</si>
  <si>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</si>
  <si>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</si>
  <si>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</si>
  <si>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</si>
  <si>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</si>
  <si>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</si>
  <si>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</si>
  <si>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</si>
  <si>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</si>
  <si>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</si>
  <si>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</si>
  <si>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</si>
  <si>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</si>
  <si>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</si>
  <si>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</si>
  <si>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</si>
  <si>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</si>
  <si>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</si>
  <si>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</si>
  <si>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</si>
  <si>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</si>
  <si>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</si>
  <si>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</si>
  <si>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</si>
  <si>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</si>
  <si>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</si>
  <si>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</si>
  <si>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</si>
  <si>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</si>
  <si>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</si>
  <si>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</si>
  <si>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</si>
  <si>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</si>
  <si>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</si>
  <si>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</si>
  <si>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</si>
  <si>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</si>
  <si>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</si>
  <si>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</si>
  <si>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</si>
  <si>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</si>
  <si>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</si>
  <si>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</si>
  <si>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</si>
  <si>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</si>
  <si>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</si>
  <si>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</si>
  <si>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</si>
  <si>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</si>
  <si>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</si>
  <si>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</si>
  <si>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</si>
  <si>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</si>
  <si>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</si>
  <si>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</si>
  <si>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</si>
  <si>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</si>
  <si>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</si>
  <si>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</si>
  <si>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</si>
  <si>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</si>
  <si>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</si>
  <si>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</si>
  <si>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</si>
  <si>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</si>
  <si>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</si>
  <si>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</si>
  <si>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</si>
  <si>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</si>
  <si>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</si>
  <si>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</si>
  <si>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</si>
  <si>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</si>
  <si>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</si>
  <si>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</si>
  <si>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</si>
  <si>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</si>
  <si>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</si>
  <si>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</si>
  <si>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</si>
  <si>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</si>
  <si>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</si>
  <si>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</si>
  <si>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</si>
  <si>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</si>
  <si>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</si>
  <si>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</si>
  <si>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</si>
  <si>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</si>
  <si>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</si>
  <si>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</si>
  <si>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</si>
  <si>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</si>
  <si>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</si>
  <si>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</si>
  <si>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</si>
  <si>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</si>
  <si>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</si>
  <si>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</si>
  <si>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</si>
  <si>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</si>
  <si>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</si>
  <si>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</si>
  <si>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</si>
  <si>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</si>
  <si>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</si>
  <si>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</si>
  <si>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</si>
  <si>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</si>
  <si>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</si>
  <si>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</si>
  <si>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</si>
  <si>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</si>
  <si>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</si>
  <si>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</si>
  <si>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</si>
  <si>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</si>
  <si>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</si>
  <si>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</si>
  <si>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</si>
  <si>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</si>
  <si>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</si>
  <si>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</si>
  <si>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</si>
  <si>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</si>
  <si>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</si>
  <si>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</si>
  <si>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</si>
  <si>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</si>
  <si>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</si>
  <si>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</si>
  <si>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</si>
  <si>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</si>
  <si>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</si>
  <si>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</si>
  <si>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</si>
  <si>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</si>
  <si>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</si>
  <si>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</si>
  <si>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</si>
  <si>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</si>
  <si>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</si>
  <si>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</si>
  <si>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</si>
  <si>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</si>
  <si>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</si>
  <si>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</si>
  <si>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</si>
  <si>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</si>
  <si>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</si>
  <si>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</si>
  <si>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</si>
  <si>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</si>
  <si>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</si>
  <si>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</si>
  <si>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</si>
  <si>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</si>
  <si>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</si>
  <si>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</si>
  <si>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</si>
  <si>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</si>
  <si>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</si>
  <si>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</si>
  <si>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</si>
  <si>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</si>
  <si>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</si>
  <si>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</si>
  <si>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</si>
  <si>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</si>
  <si>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</si>
  <si>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</si>
  <si>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</si>
  <si>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</si>
  <si>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</si>
  <si>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</si>
  <si>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</si>
  <si>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</si>
  <si>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</si>
  <si>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</si>
  <si>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</si>
  <si>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</si>
  <si>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</si>
  <si>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</si>
  <si>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</si>
  <si>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</si>
  <si>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</si>
  <si>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</si>
  <si>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</si>
  <si>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</si>
  <si>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</si>
  <si>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</si>
  <si>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</si>
  <si>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</si>
  <si>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</si>
  <si>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</si>
  <si>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</si>
  <si>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</si>
  <si>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</si>
  <si>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</si>
  <si>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</si>
  <si>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</si>
  <si>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</si>
  <si>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</si>
  <si>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</si>
  <si>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</si>
  <si>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</si>
  <si>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</si>
  <si>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</si>
  <si>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</si>
  <si>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</si>
  <si>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</si>
  <si>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</si>
  <si>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</si>
  <si>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</si>
  <si>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</si>
  <si>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</si>
  <si>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</si>
  <si>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</si>
  <si>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</si>
  <si>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</si>
  <si>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</si>
  <si>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</si>
  <si>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</si>
  <si>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</si>
  <si>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</si>
  <si>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</si>
  <si>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</si>
  <si>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</si>
  <si>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</si>
  <si>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</si>
  <si>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</si>
  <si>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</si>
  <si>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</si>
  <si>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</si>
  <si>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</si>
  <si>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</si>
  <si>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</si>
  <si>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</si>
  <si>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</si>
  <si>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</si>
  <si>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</si>
  <si>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</si>
  <si>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</si>
  <si>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</si>
  <si>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</si>
  <si>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</si>
  <si>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</si>
  <si>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</si>
  <si>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</si>
  <si>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</si>
  <si>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</si>
  <si>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</si>
  <si>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</si>
  <si>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</si>
  <si>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</si>
  <si>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</si>
  <si>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</si>
  <si>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</si>
  <si>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</si>
  <si>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</si>
  <si>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</si>
  <si>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</si>
  <si>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</si>
  <si>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</si>
  <si>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</si>
  <si>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</si>
  <si>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</si>
  <si>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</si>
  <si>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</si>
  <si>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</si>
  <si>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</si>
  <si>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</si>
  <si>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</si>
  <si>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</si>
  <si>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</si>
  <si>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</si>
  <si>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</si>
  <si>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</si>
  <si>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</si>
  <si>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</si>
  <si>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</si>
  <si>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</si>
  <si>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</si>
  <si>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</si>
  <si>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</si>
  <si>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</si>
  <si>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</si>
  <si>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</si>
  <si>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</si>
  <si>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</si>
  <si>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</si>
  <si>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</si>
  <si>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</si>
  <si>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</si>
  <si>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</si>
  <si>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</si>
  <si>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</si>
  <si>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</si>
  <si>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</si>
  <si>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</si>
  <si>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</si>
  <si>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</si>
  <si>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</si>
  <si>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</si>
  <si>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</si>
  <si>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</si>
  <si>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</si>
  <si>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</si>
  <si>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</si>
  <si>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</si>
  <si>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</si>
  <si>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</si>
  <si>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</si>
  <si>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</si>
  <si>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</si>
  <si>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</si>
  <si>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</si>
  <si>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</si>
  <si>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</si>
  <si>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</si>
  <si>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</si>
  <si>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</si>
  <si>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</si>
  <si>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</si>
  <si>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</si>
  <si>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</si>
  <si>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</si>
  <si>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</si>
  <si>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</si>
  <si>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</si>
  <si>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</si>
  <si>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</si>
  <si>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</si>
  <si>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</si>
  <si>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</si>
  <si>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</si>
  <si>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</si>
  <si>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</si>
  <si>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</si>
  <si>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</si>
  <si>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</si>
  <si>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</si>
  <si>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</si>
  <si>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</si>
  <si>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</si>
  <si>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</si>
  <si>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</si>
  <si>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</si>
  <si>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</si>
  <si>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</si>
  <si>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</si>
  <si>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</si>
  <si>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</si>
  <si>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</si>
  <si>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</si>
  <si>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</si>
  <si>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</si>
  <si>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</si>
  <si>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</si>
  <si>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</si>
  <si>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</si>
  <si>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</si>
  <si>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</si>
  <si>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</si>
  <si>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</si>
  <si>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</si>
  <si>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</si>
  <si>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</si>
  <si>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</si>
  <si>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</si>
  <si>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</si>
  <si>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</si>
  <si>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</si>
  <si>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</si>
  <si>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</si>
  <si>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</si>
  <si>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</si>
  <si>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</si>
  <si>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</si>
  <si>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</si>
  <si>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</si>
  <si>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</si>
  <si>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</si>
  <si>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</si>
  <si>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</si>
  <si>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</si>
  <si>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</si>
  <si>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</si>
  <si>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</si>
  <si>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</si>
  <si>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</si>
  <si>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</si>
  <si>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</si>
  <si>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</si>
  <si>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</si>
  <si>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</si>
  <si>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</si>
  <si>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</si>
  <si>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</si>
  <si>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</si>
  <si>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</si>
  <si>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</si>
  <si>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</si>
  <si>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</si>
  <si>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</si>
  <si>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</si>
  <si>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</si>
  <si>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</si>
  <si>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</si>
  <si>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</si>
  <si>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</si>
  <si>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</si>
  <si>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</si>
  <si>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</si>
  <si>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</si>
  <si>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</si>
  <si>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</si>
  <si>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</si>
  <si>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</si>
  <si>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</si>
  <si>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</si>
  <si>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</si>
  <si>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</si>
  <si>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</si>
  <si>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</si>
  <si>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</si>
  <si>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</si>
  <si>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</si>
  <si>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</si>
  <si>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</si>
  <si>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</si>
  <si>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</si>
  <si>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</si>
  <si>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</si>
  <si>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</si>
  <si>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</si>
  <si>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</si>
  <si>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</si>
  <si>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</si>
  <si>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</si>
  <si>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</si>
  <si>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</si>
  <si>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</si>
  <si>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</si>
  <si>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</si>
  <si>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</si>
  <si>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</si>
  <si>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</si>
  <si>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</si>
  <si>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</si>
  <si>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</si>
  <si>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</si>
  <si>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</si>
  <si>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</si>
  <si>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</si>
  <si>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</si>
  <si>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</si>
  <si>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</si>
  <si>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</si>
  <si>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</si>
  <si>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</si>
  <si>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</si>
  <si>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</si>
  <si>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</si>
  <si>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</si>
  <si>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</si>
  <si>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</si>
  <si>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</si>
  <si>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</si>
  <si>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</si>
  <si>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</si>
  <si>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</si>
  <si>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</si>
  <si>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</si>
  <si>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</si>
  <si>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</si>
  <si>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</si>
  <si>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</si>
  <si>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</si>
  <si>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</si>
  <si>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</si>
  <si>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</si>
  <si>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</si>
  <si>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</si>
  <si>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</si>
  <si>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</si>
  <si>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</si>
  <si>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</si>
  <si>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</si>
  <si>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</si>
  <si>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</si>
  <si>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</si>
  <si>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</si>
  <si>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</si>
  <si>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</si>
  <si>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</si>
  <si>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</si>
  <si>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</si>
  <si>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</si>
  <si>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</si>
  <si>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</si>
  <si>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</si>
  <si>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</si>
  <si>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</si>
  <si>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</si>
  <si>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</si>
  <si>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</si>
  <si>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</si>
  <si>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</si>
  <si>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</si>
  <si>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</si>
  <si>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</si>
  <si>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</si>
  <si>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</si>
  <si>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</si>
  <si>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</si>
  <si>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</si>
  <si>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</si>
  <si>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</si>
  <si>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</si>
  <si>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</si>
  <si>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</si>
  <si>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</si>
  <si>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</si>
  <si>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</si>
  <si>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</si>
  <si>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</si>
  <si>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</si>
  <si>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</si>
  <si>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</si>
  <si>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</si>
  <si>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</si>
  <si>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</si>
  <si>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</si>
  <si>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</si>
  <si>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</si>
  <si>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</si>
  <si>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</si>
  <si>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</si>
  <si>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</si>
  <si>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</si>
  <si>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</si>
  <si>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</si>
  <si>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</si>
  <si>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</si>
  <si>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</si>
  <si>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</si>
  <si>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</si>
  <si>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</si>
  <si>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</si>
  <si>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</si>
  <si>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</si>
  <si>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</si>
  <si>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</si>
  <si>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</si>
  <si>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</si>
  <si>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</si>
  <si>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</si>
  <si>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</si>
  <si>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</si>
  <si>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</si>
  <si>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</si>
  <si>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</si>
  <si>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</si>
  <si>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</si>
  <si>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</si>
  <si>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</si>
  <si>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</si>
  <si>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</si>
  <si>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</si>
  <si>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</si>
  <si>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</si>
  <si>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</si>
  <si>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</si>
  <si>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</si>
  <si>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</si>
  <si>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</si>
  <si>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</si>
  <si>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</si>
  <si>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</si>
  <si>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</si>
  <si>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</si>
  <si>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</si>
  <si>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</si>
  <si>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</si>
  <si>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</si>
  <si>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</si>
  <si>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</si>
  <si>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</si>
  <si>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</si>
  <si>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</si>
  <si>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</si>
  <si>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</si>
  <si>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</si>
  <si>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</si>
  <si>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</si>
  <si>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</si>
  <si>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</si>
  <si>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</si>
  <si>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</si>
  <si>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</si>
  <si>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</si>
  <si>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</si>
  <si>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</si>
  <si>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</si>
  <si>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</si>
  <si>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</si>
  <si>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</si>
  <si>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</si>
  <si>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</si>
  <si>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</si>
  <si>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</si>
  <si>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</si>
  <si>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</si>
  <si>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</si>
  <si>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</si>
  <si>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</si>
  <si>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</si>
  <si>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</si>
  <si>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</si>
  <si>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</si>
  <si>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</si>
  <si>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</si>
  <si>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</si>
  <si>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</si>
  <si>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</si>
  <si>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</si>
  <si>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</si>
  <si>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</si>
  <si>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</si>
  <si>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</si>
  <si>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</si>
  <si>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</si>
  <si>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</si>
  <si>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</si>
  <si>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</si>
  <si>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</si>
  <si>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</si>
  <si>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</si>
  <si>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</si>
  <si>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</si>
  <si>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</si>
  <si>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</si>
  <si>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</si>
  <si>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</si>
  <si>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</si>
  <si>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</si>
  <si>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</si>
  <si>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</si>
  <si>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</si>
  <si>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</si>
  <si>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</si>
  <si>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</si>
  <si>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</si>
  <si>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</si>
  <si>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</si>
  <si>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</si>
  <si>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</si>
  <si>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</si>
  <si>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</si>
  <si>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</si>
  <si>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</si>
  <si>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</si>
  <si>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</si>
  <si>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</si>
  <si>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</si>
  <si>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</si>
  <si>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</si>
  <si>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</si>
  <si>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</si>
  <si>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</si>
  <si>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</si>
  <si>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</si>
  <si>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</si>
  <si>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</si>
  <si>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</si>
  <si>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</si>
  <si>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</si>
  <si>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</si>
  <si>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</si>
  <si>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</si>
  <si>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</si>
  <si>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</si>
  <si>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</si>
  <si>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</si>
  <si>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</si>
  <si>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</si>
  <si>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</si>
  <si>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</si>
  <si>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</si>
  <si>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</si>
  <si>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</si>
  <si>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</si>
  <si>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</si>
  <si>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</si>
  <si>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</si>
  <si>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</si>
  <si>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</si>
  <si>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</si>
  <si>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</si>
  <si>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</si>
  <si>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</si>
  <si>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</si>
  <si>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</si>
  <si>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</si>
  <si>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</si>
  <si>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</si>
  <si>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</si>
  <si>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</si>
  <si>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</si>
  <si>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</si>
  <si>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</si>
  <si>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</si>
  <si>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</si>
  <si>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</si>
  <si>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</si>
  <si>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</si>
  <si>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</si>
  <si>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</si>
  <si>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</si>
  <si>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</si>
  <si>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</si>
  <si>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</si>
  <si>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</si>
  <si>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</si>
  <si>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</si>
  <si>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</si>
  <si>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</si>
  <si>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</si>
  <si>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</si>
  <si>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</si>
  <si>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</si>
  <si>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</si>
  <si>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</si>
  <si>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</si>
  <si>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</si>
  <si>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</si>
  <si>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</si>
  <si>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</si>
  <si>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</si>
  <si>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</si>
  <si>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</si>
  <si>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</si>
  <si>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</si>
  <si>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</si>
  <si>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</si>
  <si>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</si>
  <si>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</si>
  <si>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</si>
  <si>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</si>
  <si>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</si>
  <si>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</si>
  <si>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</si>
  <si>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</si>
  <si>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</si>
  <si>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</si>
  <si>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</si>
  <si>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</si>
  <si>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</si>
  <si>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</si>
  <si>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</si>
  <si>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</si>
  <si>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</si>
  <si>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</si>
  <si>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</si>
  <si>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</si>
  <si>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</si>
  <si>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</si>
  <si>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</si>
  <si>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</si>
  <si>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</si>
  <si>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</si>
  <si>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</si>
  <si>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</si>
  <si>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</si>
  <si>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</si>
  <si>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</si>
  <si>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</si>
  <si>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</si>
  <si>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</si>
  <si>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</si>
  <si>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</si>
  <si>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</si>
  <si>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</si>
  <si>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</si>
  <si>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</si>
  <si>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</si>
  <si>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</si>
  <si>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</si>
  <si>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</si>
  <si>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</si>
  <si>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</si>
  <si>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</si>
  <si>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</si>
  <si>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</si>
  <si>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</si>
  <si>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</si>
  <si>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</si>
  <si>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</si>
  <si>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</si>
  <si>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</si>
  <si>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</si>
  <si>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</si>
  <si>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</si>
  <si>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</si>
  <si>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</si>
  <si>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</si>
  <si>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</si>
  <si>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</si>
  <si>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</si>
  <si>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</si>
  <si>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</si>
  <si>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</si>
  <si>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</si>
  <si>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</si>
  <si>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</si>
  <si>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</si>
  <si>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</si>
  <si>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</si>
  <si>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</si>
  <si>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</si>
  <si>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</si>
  <si>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</si>
  <si>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</si>
  <si>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</si>
  <si>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</si>
  <si>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</si>
  <si>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</si>
  <si>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</si>
  <si>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</si>
  <si>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</si>
  <si>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</si>
  <si>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</si>
  <si>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</si>
  <si>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</si>
  <si>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</si>
  <si>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</si>
  <si>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</si>
  <si>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</si>
  <si>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</si>
  <si>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</si>
  <si>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</si>
  <si>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</si>
  <si>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</si>
  <si>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</si>
  <si>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</si>
  <si>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</si>
  <si>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</si>
  <si>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</si>
  <si>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</si>
  <si>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</si>
  <si>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</si>
  <si>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</si>
  <si>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</si>
  <si>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</si>
  <si>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</si>
  <si>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</si>
  <si>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</si>
  <si>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</si>
  <si>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</si>
  <si>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</si>
  <si>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</si>
  <si>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</si>
  <si>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</si>
  <si>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</si>
  <si>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</si>
  <si>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</si>
  <si>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</si>
  <si>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</si>
  <si>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</si>
  <si>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</si>
  <si>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</si>
  <si>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</si>
  <si>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</si>
  <si>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</si>
  <si>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</si>
  <si>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</si>
  <si>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</si>
  <si>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</si>
  <si>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</si>
  <si>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</si>
  <si>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</si>
  <si>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</si>
  <si>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</si>
  <si>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</si>
  <si>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</si>
  <si>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</si>
  <si>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</si>
  <si>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</si>
  <si>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</si>
  <si>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</si>
  <si>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</si>
  <si>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</si>
  <si>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</si>
  <si>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</si>
  <si>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</si>
  <si>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</si>
  <si>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</si>
  <si>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</si>
  <si>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</si>
  <si>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</si>
  <si>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</si>
  <si>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</si>
  <si>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</si>
  <si>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</si>
  <si>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</si>
  <si>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</si>
  <si>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</si>
  <si>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</si>
  <si>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</si>
  <si>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</si>
  <si>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</si>
  <si>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</si>
  <si>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</si>
  <si>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</si>
  <si>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</si>
  <si>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</si>
  <si>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</si>
  <si>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</si>
  <si>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</si>
  <si>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</si>
  <si>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</si>
  <si>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</si>
  <si>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</si>
  <si>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</si>
  <si>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</si>
  <si>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</si>
  <si>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</si>
  <si>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</si>
  <si>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</si>
  <si>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</si>
  <si>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</si>
  <si>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</si>
  <si>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</si>
  <si>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</si>
  <si>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</si>
  <si>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</si>
  <si>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</si>
  <si>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</si>
  <si>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</si>
  <si>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</si>
  <si>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</si>
  <si>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</si>
  <si>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</si>
  <si>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</si>
  <si>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</si>
  <si>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</si>
  <si>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</si>
  <si>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</si>
  <si>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</si>
  <si>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</si>
  <si>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</si>
  <si>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</si>
  <si>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</si>
  <si>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</si>
  <si>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</si>
  <si>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</si>
  <si>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</si>
  <si>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</si>
  <si>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</si>
  <si>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</si>
  <si>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</si>
  <si>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</si>
  <si>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</si>
  <si>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</si>
  <si>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</si>
  <si>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</si>
  <si>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</si>
  <si>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</si>
  <si>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</si>
  <si>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</si>
  <si>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</si>
  <si>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</si>
  <si>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</si>
  <si>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</si>
  <si>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</si>
  <si>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</si>
  <si>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</si>
  <si>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</si>
  <si>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</si>
  <si>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</si>
  <si>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</si>
  <si>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</si>
  <si>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</si>
  <si>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</si>
  <si>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</si>
  <si>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</si>
  <si>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</si>
  <si>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</si>
  <si>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</si>
  <si>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</si>
  <si>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</si>
  <si>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</si>
  <si>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</si>
  <si>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</si>
  <si>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</si>
  <si>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</si>
  <si>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</si>
  <si>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</si>
  <si>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</si>
  <si>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</si>
  <si>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</si>
  <si>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</si>
  <si>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</si>
  <si>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</si>
  <si>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</si>
  <si>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</si>
  <si>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</si>
  <si>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</si>
  <si>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</si>
  <si>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</si>
  <si>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</si>
  <si>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</si>
  <si>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</si>
  <si>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</si>
  <si>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</si>
  <si>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</si>
  <si>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</si>
  <si>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</si>
  <si>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</si>
  <si>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</si>
  <si>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</si>
  <si>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</si>
  <si>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</si>
  <si>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</si>
  <si>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</si>
  <si>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</si>
  <si>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</si>
  <si>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</si>
  <si>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</si>
  <si>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</si>
  <si>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</si>
  <si>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</si>
  <si>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</si>
  <si>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</si>
  <si>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</si>
  <si>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</si>
  <si>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</si>
  <si>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</si>
  <si>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</si>
  <si>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</si>
  <si>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</si>
  <si>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</si>
  <si>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</si>
  <si>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</si>
  <si>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</si>
  <si>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</si>
  <si>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</si>
  <si>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</si>
  <si>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</si>
  <si>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</si>
  <si>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</si>
  <si>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</si>
  <si>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</si>
  <si>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</si>
  <si>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</si>
  <si>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</si>
  <si>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</si>
  <si>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</si>
  <si>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</si>
  <si>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</si>
  <si>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</si>
  <si>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</si>
  <si>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</si>
  <si>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</si>
  <si>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</si>
  <si>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</si>
  <si>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</si>
  <si>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</si>
  <si>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</si>
  <si>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</si>
  <si>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</si>
  <si>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</si>
  <si>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</si>
  <si>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</si>
  <si>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</si>
  <si>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</si>
  <si>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</si>
  <si>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</si>
  <si>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</si>
  <si>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</si>
  <si>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</si>
  <si>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</si>
  <si>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</si>
  <si>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</si>
  <si>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</si>
  <si>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</si>
  <si>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</si>
  <si>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</si>
  <si>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</si>
  <si>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</si>
  <si>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</si>
  <si>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</si>
  <si>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</si>
  <si>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</si>
  <si>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</si>
  <si>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</si>
  <si>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</si>
  <si>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</si>
  <si>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</si>
  <si>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</si>
  <si>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</si>
  <si>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</si>
  <si>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</si>
  <si>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</si>
  <si>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</si>
  <si>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</si>
  <si>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</si>
  <si>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</si>
  <si>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</si>
  <si>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</si>
  <si>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</si>
  <si>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</si>
  <si>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</si>
  <si>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</si>
  <si>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</si>
  <si>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</si>
  <si>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</si>
  <si>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</si>
  <si>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</si>
  <si>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</si>
  <si>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</si>
  <si>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</si>
  <si>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</si>
  <si>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</si>
  <si>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</si>
  <si>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</si>
  <si>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</si>
  <si>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</si>
  <si>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</si>
  <si>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</si>
  <si>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</si>
  <si>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</si>
  <si>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</si>
  <si>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</si>
  <si>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</si>
  <si>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</si>
  <si>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</si>
  <si>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</si>
  <si>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</si>
  <si>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</si>
  <si>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</si>
  <si>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</si>
  <si>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</si>
  <si>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</si>
  <si>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</si>
  <si>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</si>
  <si>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</si>
  <si>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</si>
  <si>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</si>
  <si>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</si>
  <si>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</si>
  <si>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</si>
  <si>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</si>
  <si>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</si>
  <si>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</si>
  <si>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</si>
  <si>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</si>
  <si>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</si>
  <si>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</si>
  <si>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</si>
  <si>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</si>
  <si>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</si>
  <si>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</si>
  <si>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</si>
  <si>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</si>
  <si>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</si>
  <si>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</si>
  <si>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</si>
  <si>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</si>
  <si>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</si>
  <si>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</si>
  <si>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</si>
  <si>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</si>
  <si>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</si>
  <si>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</si>
  <si>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</si>
  <si>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</si>
  <si>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</si>
  <si>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</si>
  <si>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</si>
  <si>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</si>
  <si>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</si>
  <si>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</si>
  <si>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</si>
  <si>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</si>
  <si>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</si>
  <si>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</si>
  <si>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</si>
  <si>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</si>
  <si>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</si>
  <si>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</si>
  <si>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</si>
  <si>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</si>
  <si>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</si>
  <si>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</si>
  <si>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</si>
  <si>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</si>
  <si>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</si>
  <si>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</si>
  <si>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</si>
  <si>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</si>
  <si>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</si>
  <si>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</si>
  <si>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</si>
  <si>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</si>
  <si>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</si>
  <si>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</si>
  <si>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</si>
  <si>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</si>
  <si>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</si>
  <si>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</si>
  <si>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</si>
  <si>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</si>
  <si>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</si>
  <si>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</si>
  <si>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</si>
  <si>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</si>
  <si>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</si>
  <si>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</si>
  <si>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</si>
  <si>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</si>
  <si>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</si>
  <si>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</si>
  <si>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</si>
  <si>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</si>
  <si>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</si>
  <si>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</si>
  <si>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</si>
  <si>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</si>
  <si>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</si>
  <si>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</si>
  <si>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</si>
  <si>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</si>
  <si>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</si>
  <si>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</si>
  <si>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</si>
  <si>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</si>
  <si>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</si>
  <si>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</si>
  <si>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</si>
  <si>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</si>
  <si>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</si>
  <si>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</si>
  <si>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</si>
  <si>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</si>
  <si>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</si>
  <si>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</si>
  <si>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</si>
  <si>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</si>
  <si>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</si>
  <si>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</si>
  <si>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</si>
  <si>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</si>
  <si>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</si>
  <si>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</si>
  <si>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</si>
  <si>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</si>
  <si>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</si>
  <si>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</si>
  <si>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</si>
  <si>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</si>
  <si>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</si>
  <si>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</si>
  <si>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</si>
  <si>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</si>
  <si>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</si>
  <si>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</si>
  <si>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</si>
  <si>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</si>
  <si>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</si>
  <si>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</si>
  <si>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</si>
  <si>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</si>
  <si>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</si>
  <si>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</si>
  <si>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</si>
  <si>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</si>
  <si>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</si>
  <si>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</si>
  <si>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</si>
  <si>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</si>
  <si>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</si>
  <si>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</si>
  <si>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</si>
  <si>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</si>
  <si>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</si>
  <si>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</si>
  <si>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</si>
  <si>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</si>
  <si>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</si>
  <si>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</si>
  <si>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</si>
  <si>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</si>
  <si>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</si>
  <si>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</si>
  <si>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</si>
  <si>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</si>
  <si>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</si>
  <si>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</si>
  <si>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</si>
  <si>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</si>
  <si>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</si>
  <si>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</si>
  <si>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</si>
  <si>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</si>
  <si>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</si>
  <si>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</si>
  <si>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</si>
  <si>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</si>
  <si>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</si>
  <si>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</si>
  <si>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</si>
  <si>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</si>
  <si>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</si>
  <si>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</si>
  <si>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</si>
  <si>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</si>
  <si>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</si>
  <si>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</si>
  <si>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</si>
  <si>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</si>
  <si>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</si>
  <si>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</si>
  <si>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</si>
  <si>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</si>
  <si>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</si>
  <si>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</si>
  <si>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</si>
  <si>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</si>
  <si>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</si>
  <si>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</si>
  <si>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</si>
  <si>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</si>
  <si>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</si>
  <si>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</si>
  <si>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</si>
  <si>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</si>
  <si>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</si>
  <si>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</si>
  <si>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</si>
  <si>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</si>
  <si>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</si>
  <si>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</si>
  <si>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</si>
  <si>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</si>
  <si>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</si>
  <si>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</si>
  <si>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</si>
  <si>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</si>
  <si>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</si>
  <si>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</si>
  <si>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</si>
  <si>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</si>
  <si>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</si>
  <si>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</si>
  <si>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</si>
  <si>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</si>
  <si>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</si>
  <si>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</si>
  <si>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</si>
  <si>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</si>
  <si>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</si>
  <si>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</si>
  <si>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</si>
  <si>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</si>
  <si>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</si>
  <si>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</si>
  <si>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</si>
  <si>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</si>
  <si>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</si>
  <si>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</si>
  <si>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</si>
  <si>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</si>
  <si>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</si>
  <si>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</si>
  <si>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</si>
  <si>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</si>
  <si>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</si>
  <si>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</si>
  <si>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</si>
  <si>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</si>
  <si>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</si>
  <si>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</si>
  <si>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</si>
  <si>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</si>
  <si>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</si>
  <si>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</si>
  <si>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</si>
  <si>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</si>
  <si>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</si>
  <si>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</si>
  <si>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</si>
  <si>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</si>
  <si>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</si>
  <si>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</si>
  <si>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</si>
  <si>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</si>
  <si>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</si>
  <si>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</si>
  <si>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</si>
  <si>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</si>
  <si>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</si>
  <si>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</si>
  <si>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</si>
  <si>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</si>
  <si>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</si>
  <si>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</si>
  <si>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</si>
  <si>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</si>
  <si>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</si>
  <si>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</si>
  <si>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</si>
  <si>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</si>
  <si>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</si>
  <si>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</si>
  <si>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</si>
  <si>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</si>
  <si>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</si>
  <si>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</si>
  <si>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</si>
  <si>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</si>
  <si>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</si>
  <si>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</si>
  <si>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</si>
  <si>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</si>
  <si>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</si>
  <si>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</si>
  <si>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</si>
  <si>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</si>
  <si>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</si>
  <si>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</si>
  <si>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</si>
  <si>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</si>
  <si>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</si>
  <si>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</si>
  <si>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</si>
  <si>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</si>
  <si>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</si>
  <si>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</si>
  <si>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</si>
  <si>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</si>
  <si>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</si>
  <si>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</si>
  <si>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</si>
  <si>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</si>
  <si>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</si>
  <si>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</si>
  <si>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</si>
  <si>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</si>
  <si>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</si>
  <si>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</si>
  <si>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</si>
  <si>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</si>
  <si>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</si>
  <si>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</si>
  <si>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</si>
  <si>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</si>
  <si>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</si>
  <si>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</si>
  <si>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</si>
  <si>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</si>
  <si>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</si>
  <si>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</si>
  <si>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</si>
  <si>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</si>
  <si>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</si>
  <si>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</si>
  <si>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</si>
  <si>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</si>
  <si>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</si>
  <si>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</si>
  <si>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</si>
  <si>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</si>
  <si>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</si>
  <si>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</si>
  <si>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</si>
  <si>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</si>
  <si>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</si>
  <si>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</si>
  <si>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</si>
  <si>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</si>
  <si>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</si>
  <si>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</si>
  <si>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</si>
  <si>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</si>
  <si>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</si>
  <si>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</si>
  <si>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</si>
  <si>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</si>
  <si>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</si>
  <si>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</si>
  <si>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</si>
  <si>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</si>
  <si>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</si>
  <si>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</si>
  <si>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</si>
  <si>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</si>
  <si>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</si>
  <si>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</si>
  <si>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</si>
  <si>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</si>
  <si>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</si>
  <si>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</si>
  <si>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</si>
  <si>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</si>
  <si>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</si>
  <si>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</si>
  <si>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</si>
  <si>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</si>
  <si>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</si>
  <si>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</si>
  <si>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</si>
  <si>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</si>
  <si>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</si>
  <si>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</si>
  <si>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</si>
  <si>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</si>
  <si>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</si>
  <si>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</si>
  <si>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</si>
  <si>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</si>
  <si>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</si>
  <si>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</si>
  <si>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</si>
  <si>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</si>
  <si>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</si>
  <si>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</si>
  <si>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</si>
  <si>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Hampstead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</si>
</sst>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69" sqref="H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223</v>
      </c>
      <c r="C2" s="21">
        <v>223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1069146.95+525</f>
        <v>1069671.95</v>
      </c>
      <c r="G9" s="18">
        <v>92559.66</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386305.26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41482.53</v>
      </c>
      <c r="G13" s="18">
        <v>10824.88</v>
      </c>
      <c r="H13" s="18">
        <v>236117.42</v>
      </c>
      <c r="I13" s="18"/>
      <c r="J13" s="67">
        <f>SUM(I442)</f>
        <v>830721.78</v>
      </c>
      <c r="K13" s="24" t="s">
        <v>288</v>
      </c>
      <c r="L13" s="24" t="s">
        <v>288</v>
      </c>
      <c r="M13" s="8"/>
      <c r="N13" s="266"/>
    </row>
    <row r="14" spans="1:14" s="3" customFormat="1" ht="12.2" customHeight="1" x14ac:dyDescent="0.15">
      <c r="A14" s="1" t="s">
        <v>565</v>
      </c>
      <c r="B14" s="2" t="s">
        <v>289</v>
      </c>
      <c r="C14" s="6">
        <v>6</v>
      </c>
      <c r="D14" s="2" t="s">
        <v>428</v>
      </c>
      <c r="E14" s="6">
        <v>150</v>
      </c>
      <c r="F14" s="18">
        <v>7256.53</v>
      </c>
      <c r="G14" s="18">
        <v>5166.8500000000004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13414.27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1504716.27</v>
      </c>
      <c r="G19" s="41">
        <f>SUM(G9:G18)</f>
        <v>121965.66000000002</v>
      </c>
      <c r="H19" s="41">
        <f>SUM(H9:H18)</f>
        <v>236117.42</v>
      </c>
      <c r="I19" s="41">
        <f>SUM(I9:I18)</f>
        <v>0</v>
      </c>
      <c r="J19" s="41">
        <f>SUM(J9:J18)</f>
        <v>830721.78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81856.320000000007</v>
      </c>
      <c r="G22" s="18">
        <v>82130.679999999993</v>
      </c>
      <c r="H22" s="18">
        <v>222318.26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44195.519999999997</v>
      </c>
      <c r="G24" s="18">
        <v>23735.9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58487.5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6390.78</v>
      </c>
      <c r="H30" s="18">
        <f>13799.46-0.3</f>
        <v>13799.16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184539.34</v>
      </c>
      <c r="G32" s="41">
        <f>SUM(G22:G31)</f>
        <v>112257.35999999999</v>
      </c>
      <c r="H32" s="41">
        <f>SUM(H22:H31)</f>
        <v>236117.42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33115.64</v>
      </c>
      <c r="G35" s="18">
        <v>9708.2999999999993</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830721.78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558645.09+153416.2</f>
        <v>712061.29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1320176.9300000002</v>
      </c>
      <c r="G51" s="41">
        <f>SUM(G35:G50)</f>
        <v>9708.2999999999993</v>
      </c>
      <c r="H51" s="41">
        <f>SUM(H35:H50)</f>
        <v>0</v>
      </c>
      <c r="I51" s="41">
        <f>SUM(I35:I50)</f>
        <v>0</v>
      </c>
      <c r="J51" s="41">
        <f>SUM(J35:J50)</f>
        <v>830721.78</v>
      </c>
      <c r="K51" s="45" t="s">
        <v>288</v>
      </c>
      <c r="L51" s="45" t="s">
        <v>288</v>
      </c>
      <c r="N51" s="264"/>
    </row>
    <row r="52" spans="1:14" s="3" customFormat="1" ht="12.2" customHeight="1" thickTop="1" x14ac:dyDescent="0.15">
      <c r="A52" s="38" t="s">
        <v>455</v>
      </c>
      <c r="B52" s="39" t="s">
        <v>289</v>
      </c>
      <c r="C52" s="6">
        <v>37</v>
      </c>
      <c r="D52" s="39" t="s">
        <v>653</v>
      </c>
      <c r="E52" s="39"/>
      <c r="F52" s="41">
        <f>F51+F32</f>
        <v>1504716.2700000003</v>
      </c>
      <c r="G52" s="41">
        <f>G51+G32</f>
        <v>121965.65999999999</v>
      </c>
      <c r="H52" s="41">
        <f>H51+H32</f>
        <v>236117.42</v>
      </c>
      <c r="I52" s="41">
        <f>I51+I32</f>
        <v>0</v>
      </c>
      <c r="J52" s="41">
        <f>J51+J32</f>
        <v>830721.78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19656200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19656200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161240.38+37145.74</f>
        <v>198386.12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198386.12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6386.96</v>
      </c>
      <c r="G96" s="18"/>
      <c r="H96" s="18"/>
      <c r="I96" s="18"/>
      <c r="J96" s="18">
        <v>12143.38</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150201+2865.9+79646.49+17954.19+1576</f>
        <v>252243.58000000002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165.41</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1587.51</v>
      </c>
      <c r="G110" s="18"/>
      <c r="H110" s="18">
        <f>532.5</f>
        <v>532.5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8139.88</v>
      </c>
      <c r="G111" s="41">
        <f>SUM(G96:G110)</f>
        <v>252243.58000000002</v>
      </c>
      <c r="H111" s="41">
        <f>SUM(H96:H110)</f>
        <v>532.5</v>
      </c>
      <c r="I111" s="41">
        <f>SUM(I96:I110)</f>
        <v>0</v>
      </c>
      <c r="J111" s="41">
        <f>SUM(J96:J110)</f>
        <v>12143.38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19862726</v>
      </c>
      <c r="G112" s="41">
        <f>G60+G111</f>
        <v>252243.58000000002</v>
      </c>
      <c r="H112" s="41">
        <f>H60+H79+H94+H111</f>
        <v>532.5</v>
      </c>
      <c r="I112" s="41">
        <f>I60+I111</f>
        <v>0</v>
      </c>
      <c r="J112" s="41">
        <f>J60+J111</f>
        <v>12143.38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2742425.53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2476994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5219419.5299999993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58244.89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249103.43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3518.66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1400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308748.32</v>
      </c>
      <c r="G136" s="41">
        <f>SUM(G123:G135)</f>
        <v>3518.66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5528167.8499999996</v>
      </c>
      <c r="G140" s="41">
        <f>G121+SUM(G136:G137)</f>
        <v>3518.66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36443.269999999997</v>
      </c>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36443.269999999997</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40650.53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5068.85+20909.1</f>
        <v>25977.949999999997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53194.03+16042.58</f>
        <v>69236.61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20477.49+90573.74+186541.13</f>
        <v>297592.36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64708.72</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64708.72</v>
      </c>
      <c r="G162" s="41">
        <f>SUM(G150:G161)</f>
        <v>69236.61</v>
      </c>
      <c r="H162" s="41">
        <f>SUM(H150:H161)</f>
        <v>364220.83999999997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101151.98999999999</v>
      </c>
      <c r="G169" s="41">
        <f>G147+G162+SUM(G163:G168)</f>
        <v>69236.61</v>
      </c>
      <c r="H169" s="41">
        <f>H147+H162+SUM(H163:H168)</f>
        <v>364220.83999999997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25492045.84</v>
      </c>
      <c r="G193" s="47">
        <f>G112+G140+G169+G192</f>
        <v>324998.85000000003</v>
      </c>
      <c r="H193" s="47">
        <f>H112+H140+H169+H192</f>
        <v>364753.33999999997</v>
      </c>
      <c r="I193" s="47">
        <f>I112+I140+I169+I192</f>
        <v>0</v>
      </c>
      <c r="J193" s="47">
        <f>J112+J140+J192</f>
        <v>137143.38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2677989.06</v>
      </c>
      <c r="G197" s="18">
        <v>1456041.57</v>
      </c>
      <c r="H197" s="18">
        <v>10287.02</v>
      </c>
      <c r="I197" s="18">
        <v>150807.29</v>
      </c>
      <c r="J197" s="18">
        <v>148799.47</v>
      </c>
      <c r="K197" s="18">
        <v>4719.42</v>
      </c>
      <c r="L197" s="19">
        <f>SUM(F197:K197)</f>
        <v>4448643.8299999991</v>
      </c>
      <c r="M197" s="8"/>
      <c r="N197" s="266"/>
    </row>
    <row r="198" spans="1:14" s="3" customFormat="1" ht="12.2" customHeight="1" x14ac:dyDescent="0.15">
      <c r="A198" s="1" t="s">
        <v>439</v>
      </c>
      <c r="B198" s="2" t="s">
        <v>341</v>
      </c>
      <c r="C198" s="2" t="s">
        <v>291</v>
      </c>
      <c r="D198" s="2" t="s">
        <v>431</v>
      </c>
      <c r="E198" s="6">
        <v>1200</v>
      </c>
      <c r="F198" s="18">
        <v>1126299.76</v>
      </c>
      <c r="G198" s="18">
        <v>612377.14</v>
      </c>
      <c r="H198" s="18">
        <v>186595.20000000001</v>
      </c>
      <c r="I198" s="18">
        <v>5417.8</v>
      </c>
      <c r="J198" s="18">
        <v>1920.54</v>
      </c>
      <c r="K198" s="18">
        <v>908.53</v>
      </c>
      <c r="L198" s="19">
        <f>SUM(F198:K198)</f>
        <v>1933518.97</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0</v>
      </c>
      <c r="G200" s="18">
        <v>0</v>
      </c>
      <c r="H200" s="18">
        <v>0</v>
      </c>
      <c r="I200" s="18">
        <v>0</v>
      </c>
      <c r="J200" s="18">
        <v>0</v>
      </c>
      <c r="K200" s="18">
        <v>0</v>
      </c>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376750.47</v>
      </c>
      <c r="G202" s="18">
        <v>204841.89</v>
      </c>
      <c r="H202" s="18">
        <v>8698.35</v>
      </c>
      <c r="I202" s="18">
        <v>7792.52</v>
      </c>
      <c r="J202" s="18">
        <v>525.1</v>
      </c>
      <c r="K202" s="18">
        <v>0</v>
      </c>
      <c r="L202" s="19">
        <f t="shared" ref="L202:L208" si="0">SUM(F202:K202)</f>
        <v>598608.32999999996</v>
      </c>
      <c r="M202" s="8"/>
      <c r="N202" s="266"/>
    </row>
    <row r="203" spans="1:14" s="3" customFormat="1" ht="12.2" customHeight="1" x14ac:dyDescent="0.15">
      <c r="A203" s="1" t="s">
        <v>443</v>
      </c>
      <c r="B203" s="2" t="s">
        <v>341</v>
      </c>
      <c r="C203" s="2" t="s">
        <v>295</v>
      </c>
      <c r="D203" s="2" t="s">
        <v>431</v>
      </c>
      <c r="E203" s="6">
        <v>2200</v>
      </c>
      <c r="F203" s="18">
        <v>72691.86</v>
      </c>
      <c r="G203" s="18">
        <v>65287.23</v>
      </c>
      <c r="H203" s="18">
        <v>27748.33</v>
      </c>
      <c r="I203" s="18">
        <v>17897.78</v>
      </c>
      <c r="J203" s="18">
        <v>179.97</v>
      </c>
      <c r="K203" s="18">
        <v>0</v>
      </c>
      <c r="L203" s="19">
        <f t="shared" si="0"/>
        <v>183805.16999999998</v>
      </c>
      <c r="M203" s="8"/>
      <c r="N203" s="266"/>
    </row>
    <row r="204" spans="1:14" s="3" customFormat="1" ht="12.2" customHeight="1" x14ac:dyDescent="0.15">
      <c r="A204" s="1" t="s">
        <v>444</v>
      </c>
      <c r="B204" s="2" t="s">
        <v>341</v>
      </c>
      <c r="C204" s="2" t="s">
        <v>296</v>
      </c>
      <c r="D204" s="2" t="s">
        <v>431</v>
      </c>
      <c r="E204" s="6">
        <v>2300</v>
      </c>
      <c r="F204" s="18">
        <v>2821.15</v>
      </c>
      <c r="G204" s="18">
        <v>1533.88</v>
      </c>
      <c r="H204" s="18">
        <v>205068.78</v>
      </c>
      <c r="I204" s="18">
        <v>16.12</v>
      </c>
      <c r="J204" s="18">
        <v>0</v>
      </c>
      <c r="K204" s="18">
        <v>6460.2</v>
      </c>
      <c r="L204" s="19">
        <f t="shared" si="0"/>
        <v>215900.13</v>
      </c>
      <c r="M204" s="8"/>
      <c r="N204" s="266"/>
    </row>
    <row r="205" spans="1:14" s="3" customFormat="1" ht="12.2" customHeight="1" x14ac:dyDescent="0.15">
      <c r="A205" s="1" t="s">
        <v>445</v>
      </c>
      <c r="B205" s="2" t="s">
        <v>341</v>
      </c>
      <c r="C205" s="2" t="s">
        <v>297</v>
      </c>
      <c r="D205" s="2" t="s">
        <v>431</v>
      </c>
      <c r="E205" s="6">
        <v>2400</v>
      </c>
      <c r="F205" s="18">
        <v>325872.03999999998</v>
      </c>
      <c r="G205" s="18">
        <v>177178.93</v>
      </c>
      <c r="H205" s="18">
        <v>20029.96</v>
      </c>
      <c r="I205" s="18">
        <v>3397.29</v>
      </c>
      <c r="J205" s="18">
        <v>3896.48</v>
      </c>
      <c r="K205" s="18">
        <v>2093.86</v>
      </c>
      <c r="L205" s="19">
        <f t="shared" si="0"/>
        <v>532468.55999999994</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308510.46000000002</v>
      </c>
      <c r="G207" s="18">
        <v>167914.5</v>
      </c>
      <c r="H207" s="18">
        <v>111925.39</v>
      </c>
      <c r="I207" s="18">
        <v>176461.85</v>
      </c>
      <c r="J207" s="18">
        <v>12027.59</v>
      </c>
      <c r="K207" s="18">
        <v>3737.24</v>
      </c>
      <c r="L207" s="19">
        <f t="shared" si="0"/>
        <v>780577.02999999991</v>
      </c>
      <c r="M207" s="8"/>
      <c r="N207" s="266"/>
    </row>
    <row r="208" spans="1:14" s="3" customFormat="1" ht="12.2" customHeight="1" x14ac:dyDescent="0.15">
      <c r="A208" s="1" t="s">
        <v>448</v>
      </c>
      <c r="B208" s="2" t="s">
        <v>341</v>
      </c>
      <c r="C208" s="2" t="s">
        <v>300</v>
      </c>
      <c r="D208" s="2" t="s">
        <v>431</v>
      </c>
      <c r="E208" s="6">
        <v>2700</v>
      </c>
      <c r="F208" s="18">
        <v>0</v>
      </c>
      <c r="G208" s="18">
        <v>0</v>
      </c>
      <c r="H208" s="18">
        <v>307169.68</v>
      </c>
      <c r="I208" s="18">
        <v>0</v>
      </c>
      <c r="J208" s="18">
        <v>0</v>
      </c>
      <c r="K208" s="18">
        <v>0</v>
      </c>
      <c r="L208" s="19">
        <f t="shared" si="0"/>
        <v>307169.68</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9306.84</v>
      </c>
      <c r="J209" s="18">
        <v>0</v>
      </c>
      <c r="K209" s="18">
        <v>0</v>
      </c>
      <c r="L209" s="19">
        <f>SUM(F209:K209)</f>
        <v>9306.84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4890934.8000000007</v>
      </c>
      <c r="G211" s="41">
        <f t="shared" si="1"/>
        <v>2685175.14</v>
      </c>
      <c r="H211" s="41">
        <f t="shared" si="1"/>
        <v>877522.71</v>
      </c>
      <c r="I211" s="41">
        <f t="shared" si="1"/>
        <v>371097.49000000005</v>
      </c>
      <c r="J211" s="41">
        <f t="shared" si="1"/>
        <v>167349.15000000002</v>
      </c>
      <c r="K211" s="41">
        <f t="shared" si="1"/>
        <v>17919.25</v>
      </c>
      <c r="L211" s="41">
        <f t="shared" si="1"/>
        <v>9009998.5399999972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2238271.6</v>
      </c>
      <c r="G215" s="18">
        <v>1216964.08</v>
      </c>
      <c r="H215" s="18">
        <v>15545.46</v>
      </c>
      <c r="I215" s="18">
        <v>143984.81</v>
      </c>
      <c r="J215" s="18">
        <v>129828.04</v>
      </c>
      <c r="K215" s="18">
        <v>7531.96</v>
      </c>
      <c r="L215" s="19">
        <f>SUM(F215:K215)</f>
        <v>3752125.95</v>
      </c>
      <c r="M215" s="8"/>
      <c r="N215" s="266"/>
    </row>
    <row r="216" spans="1:14" s="3" customFormat="1" ht="12.2" customHeight="1" x14ac:dyDescent="0.15">
      <c r="A216" s="1" t="s">
        <v>439</v>
      </c>
      <c r="B216" s="2" t="s">
        <v>346</v>
      </c>
      <c r="C216" s="2" t="s">
        <v>291</v>
      </c>
      <c r="D216" s="2" t="s">
        <v>431</v>
      </c>
      <c r="E216" s="6">
        <v>1200</v>
      </c>
      <c r="F216" s="18">
        <v>969317.96</v>
      </c>
      <c r="G216" s="18">
        <v>527025.02</v>
      </c>
      <c r="H216" s="18">
        <v>263794.34999999998</v>
      </c>
      <c r="I216" s="18">
        <v>4338.7</v>
      </c>
      <c r="J216" s="18">
        <v>1653.48</v>
      </c>
      <c r="K216" s="18">
        <v>782.19</v>
      </c>
      <c r="L216" s="19">
        <f>SUM(F216:K216)</f>
        <v>1766911.7</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47870.97</v>
      </c>
      <c r="G218" s="18">
        <v>26027.78</v>
      </c>
      <c r="H218" s="18">
        <v>8200</v>
      </c>
      <c r="I218" s="18">
        <v>6016.78</v>
      </c>
      <c r="J218" s="18">
        <v>542.96</v>
      </c>
      <c r="K218" s="18">
        <v>3917</v>
      </c>
      <c r="L218" s="19">
        <f>SUM(F218:K218)</f>
        <v>92575.49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406647.28</v>
      </c>
      <c r="G220" s="18">
        <v>221097</v>
      </c>
      <c r="H220" s="18">
        <v>9861.2999999999993</v>
      </c>
      <c r="I220" s="18">
        <v>5378.89</v>
      </c>
      <c r="J220" s="18">
        <v>1296.0899999999999</v>
      </c>
      <c r="K220" s="18">
        <v>0</v>
      </c>
      <c r="L220" s="19">
        <f t="shared" ref="L220:L226" si="2">SUM(F220:K220)</f>
        <v>644280.56000000006</v>
      </c>
      <c r="M220" s="8"/>
      <c r="N220" s="266"/>
    </row>
    <row r="221" spans="1:14" s="3" customFormat="1" ht="12.2" customHeight="1" x14ac:dyDescent="0.15">
      <c r="A221" s="1" t="s">
        <v>443</v>
      </c>
      <c r="B221" s="2" t="s">
        <v>346</v>
      </c>
      <c r="C221" s="2" t="s">
        <v>295</v>
      </c>
      <c r="D221" s="2" t="s">
        <v>431</v>
      </c>
      <c r="E221" s="6">
        <v>2200</v>
      </c>
      <c r="F221" s="18">
        <v>66810.45</v>
      </c>
      <c r="G221" s="18">
        <v>58506.759999999995</v>
      </c>
      <c r="H221" s="18">
        <v>23889.72</v>
      </c>
      <c r="I221" s="18">
        <v>13582.49</v>
      </c>
      <c r="J221" s="18">
        <v>17016.77</v>
      </c>
      <c r="K221" s="18">
        <v>0</v>
      </c>
      <c r="L221" s="19">
        <f t="shared" si="2"/>
        <v>179806.18999999997</v>
      </c>
      <c r="M221" s="8"/>
      <c r="N221" s="266"/>
    </row>
    <row r="222" spans="1:14" s="3" customFormat="1" ht="12.2" customHeight="1" x14ac:dyDescent="0.15">
      <c r="A222" s="1" t="s">
        <v>444</v>
      </c>
      <c r="B222" s="2" t="s">
        <v>346</v>
      </c>
      <c r="C222" s="2" t="s">
        <v>296</v>
      </c>
      <c r="D222" s="2" t="s">
        <v>431</v>
      </c>
      <c r="E222" s="6">
        <v>2300</v>
      </c>
      <c r="F222" s="18">
        <v>2428.85</v>
      </c>
      <c r="G222" s="18">
        <v>1320.58</v>
      </c>
      <c r="H222" s="18">
        <v>176552.45</v>
      </c>
      <c r="I222" s="18">
        <v>13.88</v>
      </c>
      <c r="J222" s="18">
        <v>0</v>
      </c>
      <c r="K222" s="18">
        <v>5561.86</v>
      </c>
      <c r="L222" s="19">
        <f t="shared" si="2"/>
        <v>185877.62</v>
      </c>
      <c r="M222" s="8"/>
      <c r="N222" s="266"/>
    </row>
    <row r="223" spans="1:14" s="3" customFormat="1" ht="12.2" customHeight="1" x14ac:dyDescent="0.15">
      <c r="A223" s="1" t="s">
        <v>445</v>
      </c>
      <c r="B223" s="2" t="s">
        <v>346</v>
      </c>
      <c r="C223" s="2" t="s">
        <v>297</v>
      </c>
      <c r="D223" s="2" t="s">
        <v>431</v>
      </c>
      <c r="E223" s="6">
        <v>2400</v>
      </c>
      <c r="F223" s="18">
        <v>301369.58</v>
      </c>
      <c r="G223" s="18">
        <v>163856.76999999999</v>
      </c>
      <c r="H223" s="18">
        <v>12081.38</v>
      </c>
      <c r="I223" s="18">
        <v>1945.76</v>
      </c>
      <c r="J223" s="18">
        <v>1532.88</v>
      </c>
      <c r="K223" s="18">
        <v>3553.22</v>
      </c>
      <c r="L223" s="19">
        <f t="shared" si="2"/>
        <v>484339.58999999997</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297978.40999999997</v>
      </c>
      <c r="G225" s="18">
        <v>162163.79</v>
      </c>
      <c r="H225" s="18">
        <v>96361.33</v>
      </c>
      <c r="I225" s="18">
        <v>151923.51</v>
      </c>
      <c r="J225" s="18">
        <v>10355.06</v>
      </c>
      <c r="K225" s="18">
        <v>2447.37</v>
      </c>
      <c r="L225" s="19">
        <f t="shared" si="2"/>
        <v>721229.47</v>
      </c>
      <c r="M225" s="8"/>
      <c r="N225" s="266"/>
    </row>
    <row r="226" spans="1:14" s="3" customFormat="1" ht="12.2" customHeight="1" x14ac:dyDescent="0.15">
      <c r="A226" s="1" t="s">
        <v>448</v>
      </c>
      <c r="B226" s="2" t="s">
        <v>346</v>
      </c>
      <c r="C226" s="2" t="s">
        <v>300</v>
      </c>
      <c r="D226" s="2" t="s">
        <v>431</v>
      </c>
      <c r="E226" s="6">
        <v>2700</v>
      </c>
      <c r="F226" s="18">
        <v>0</v>
      </c>
      <c r="G226" s="18">
        <v>0</v>
      </c>
      <c r="H226" s="18">
        <v>286172.34999999998</v>
      </c>
      <c r="I226" s="18">
        <v>0</v>
      </c>
      <c r="J226" s="18">
        <v>0</v>
      </c>
      <c r="K226" s="18">
        <v>0</v>
      </c>
      <c r="L226" s="19">
        <f t="shared" si="2"/>
        <v>286172.34999999998</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8012.66</v>
      </c>
      <c r="J227" s="18">
        <v>0</v>
      </c>
      <c r="K227" s="18">
        <v>0</v>
      </c>
      <c r="L227" s="19">
        <f>SUM(F227:K227)</f>
        <v>8012.66</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4330695.1000000006</v>
      </c>
      <c r="G229" s="41">
        <f>SUM(G215:G228)</f>
        <v>2376961.7800000003</v>
      </c>
      <c r="H229" s="41">
        <f>SUM(H215:H228)</f>
        <v>892458.34</v>
      </c>
      <c r="I229" s="41">
        <f>SUM(I215:I228)</f>
        <v>335197.48000000004</v>
      </c>
      <c r="J229" s="41">
        <f>SUM(J215:J228)</f>
        <v>162225.27999999997</v>
      </c>
      <c r="K229" s="41">
        <f t="shared" si="3"/>
        <v>23793.599999999999</v>
      </c>
      <c r="L229" s="41">
        <f t="shared" si="3"/>
        <v>8121331.580000001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0</v>
      </c>
      <c r="G233" s="18">
        <v>0</v>
      </c>
      <c r="H233" s="18">
        <v>5459510.0199999996</v>
      </c>
      <c r="I233" s="18">
        <v>0</v>
      </c>
      <c r="J233" s="18">
        <v>0</v>
      </c>
      <c r="K233" s="18">
        <v>0</v>
      </c>
      <c r="L233" s="19">
        <f>SUM(F233:K233)</f>
        <v>5459510.0199999996</v>
      </c>
      <c r="M233" s="8"/>
      <c r="N233" s="266"/>
    </row>
    <row r="234" spans="1:14" s="3" customFormat="1" ht="12.2" customHeight="1" x14ac:dyDescent="0.15">
      <c r="A234" s="1" t="s">
        <v>439</v>
      </c>
      <c r="B234" s="2" t="s">
        <v>350</v>
      </c>
      <c r="C234" s="2" t="s">
        <v>291</v>
      </c>
      <c r="D234" s="2" t="s">
        <v>431</v>
      </c>
      <c r="E234" s="6">
        <v>1200</v>
      </c>
      <c r="F234" s="18">
        <v>88706.79</v>
      </c>
      <c r="G234" s="18">
        <v>82616.760000000009</v>
      </c>
      <c r="H234" s="18">
        <v>1692123.03</v>
      </c>
      <c r="I234" s="18">
        <v>0</v>
      </c>
      <c r="J234" s="18">
        <v>0</v>
      </c>
      <c r="K234" s="18">
        <v>0</v>
      </c>
      <c r="L234" s="19">
        <f>SUM(F234:K234)</f>
        <v>1863446.58</v>
      </c>
      <c r="M234" s="8"/>
      <c r="N234" s="266"/>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6"/>
    </row>
    <row r="236" spans="1:14" s="3" customFormat="1" ht="12.2" customHeight="1" x14ac:dyDescent="0.15">
      <c r="A236" s="1" t="s">
        <v>441</v>
      </c>
      <c r="B236" s="2" t="s">
        <v>350</v>
      </c>
      <c r="C236" s="2" t="s">
        <v>293</v>
      </c>
      <c r="D236" s="2" t="s">
        <v>431</v>
      </c>
      <c r="E236" s="6">
        <v>1400</v>
      </c>
      <c r="F236" s="18">
        <v>0</v>
      </c>
      <c r="G236" s="18">
        <v>0</v>
      </c>
      <c r="H236" s="18">
        <v>0</v>
      </c>
      <c r="I236" s="18">
        <v>0</v>
      </c>
      <c r="J236" s="18">
        <v>0</v>
      </c>
      <c r="K236" s="18">
        <v>0</v>
      </c>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0</v>
      </c>
      <c r="G238" s="18">
        <v>0</v>
      </c>
      <c r="H238" s="18">
        <v>0</v>
      </c>
      <c r="I238" s="18">
        <v>0</v>
      </c>
      <c r="J238" s="18">
        <v>0</v>
      </c>
      <c r="K238" s="18">
        <v>0</v>
      </c>
      <c r="L238" s="19">
        <f t="shared" ref="L238:L244" si="4">SUM(F238:K238)</f>
        <v>0</v>
      </c>
      <c r="M238" s="8"/>
      <c r="N238" s="266"/>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6"/>
    </row>
    <row r="240" spans="1:14" s="3" customFormat="1" ht="12.2" customHeight="1" x14ac:dyDescent="0.15">
      <c r="A240" s="1" t="s">
        <v>444</v>
      </c>
      <c r="B240" s="2" t="s">
        <v>350</v>
      </c>
      <c r="C240" s="2" t="s">
        <v>296</v>
      </c>
      <c r="D240" s="2" t="s">
        <v>431</v>
      </c>
      <c r="E240" s="6">
        <v>2300</v>
      </c>
      <c r="F240" s="18">
        <v>0</v>
      </c>
      <c r="G240" s="18">
        <v>0</v>
      </c>
      <c r="H240" s="18">
        <v>204424.89</v>
      </c>
      <c r="I240" s="18">
        <v>0</v>
      </c>
      <c r="J240" s="18">
        <v>0</v>
      </c>
      <c r="K240" s="18">
        <v>0</v>
      </c>
      <c r="L240" s="19">
        <f t="shared" si="4"/>
        <v>204424.89</v>
      </c>
      <c r="M240" s="8"/>
      <c r="N240" s="266"/>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6"/>
    </row>
    <row r="244" spans="1:14" s="3" customFormat="1" ht="12.2" customHeight="1" x14ac:dyDescent="0.15">
      <c r="A244" s="1" t="s">
        <v>448</v>
      </c>
      <c r="B244" s="2" t="s">
        <v>350</v>
      </c>
      <c r="C244" s="2" t="s">
        <v>300</v>
      </c>
      <c r="D244" s="2" t="s">
        <v>431</v>
      </c>
      <c r="E244" s="6">
        <v>2700</v>
      </c>
      <c r="F244" s="18">
        <v>0</v>
      </c>
      <c r="G244" s="18">
        <v>0</v>
      </c>
      <c r="H244" s="18">
        <v>310797.87</v>
      </c>
      <c r="I244" s="18">
        <v>0</v>
      </c>
      <c r="J244" s="18">
        <v>0</v>
      </c>
      <c r="K244" s="18">
        <v>0</v>
      </c>
      <c r="L244" s="19">
        <f t="shared" si="4"/>
        <v>310797.87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88706.79</v>
      </c>
      <c r="G247" s="41">
        <f t="shared" si="5"/>
        <v>82616.760000000009</v>
      </c>
      <c r="H247" s="41">
        <f t="shared" si="5"/>
        <v>7666855.8099999996</v>
      </c>
      <c r="I247" s="41">
        <f t="shared" si="5"/>
        <v>0</v>
      </c>
      <c r="J247" s="41">
        <f t="shared" si="5"/>
        <v>0</v>
      </c>
      <c r="K247" s="41">
        <f t="shared" si="5"/>
        <v>0</v>
      </c>
      <c r="L247" s="41">
        <f t="shared" si="5"/>
        <v>7838179.3599999994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9703.33</v>
      </c>
      <c r="G253" s="18">
        <v>5275.77</v>
      </c>
      <c r="H253" s="18">
        <v>0</v>
      </c>
      <c r="I253" s="18">
        <v>0</v>
      </c>
      <c r="J253" s="18">
        <v>0</v>
      </c>
      <c r="K253" s="18">
        <v>0</v>
      </c>
      <c r="L253" s="19">
        <f t="shared" si="6"/>
        <v>14979.1</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229141.07</v>
      </c>
      <c r="I255" s="18">
        <v>0</v>
      </c>
      <c r="J255" s="18">
        <v>0</v>
      </c>
      <c r="K255" s="18">
        <v>0</v>
      </c>
      <c r="L255" s="19">
        <f t="shared" si="6"/>
        <v>229141.07</v>
      </c>
      <c r="M255" s="8"/>
      <c r="N255" s="266"/>
    </row>
    <row r="256" spans="1:14" s="3" customFormat="1" ht="12.2" customHeight="1" thickTop="1" thickBot="1" x14ac:dyDescent="0.2">
      <c r="A256" s="38" t="s">
        <v>461</v>
      </c>
      <c r="B256" s="40">
        <v>10</v>
      </c>
      <c r="C256" s="40">
        <v>7</v>
      </c>
      <c r="D256" s="39" t="s">
        <v>431</v>
      </c>
      <c r="E256" s="40"/>
      <c r="F256" s="41">
        <f t="shared" ref="F256:K256" si="7">SUM(F250:F255)</f>
        <v>9703.33</v>
      </c>
      <c r="G256" s="41">
        <f t="shared" si="7"/>
        <v>5275.77</v>
      </c>
      <c r="H256" s="41">
        <f t="shared" si="7"/>
        <v>229141.07</v>
      </c>
      <c r="I256" s="41">
        <f t="shared" si="7"/>
        <v>0</v>
      </c>
      <c r="J256" s="41">
        <f t="shared" si="7"/>
        <v>0</v>
      </c>
      <c r="K256" s="41">
        <f t="shared" si="7"/>
        <v>0</v>
      </c>
      <c r="L256" s="41">
        <f>SUM(F256:K256)</f>
        <v>244120.17</v>
      </c>
      <c r="M256" s="8"/>
      <c r="N256" s="266"/>
    </row>
    <row r="257" spans="1:14" s="3" customFormat="1" ht="12.2" customHeight="1" thickTop="1" x14ac:dyDescent="0.15">
      <c r="A257" s="38" t="s">
        <v>462</v>
      </c>
      <c r="B257" s="40">
        <v>10</v>
      </c>
      <c r="C257" s="40">
        <v>8</v>
      </c>
      <c r="D257" s="39" t="s">
        <v>431</v>
      </c>
      <c r="E257" s="40"/>
      <c r="F257" s="41">
        <f t="shared" ref="F257:L257" si="8">F211+F229+F247+F256</f>
        <v>9320040.0200000014</v>
      </c>
      <c r="G257" s="41">
        <f t="shared" si="8"/>
        <v>5150029.4499999993</v>
      </c>
      <c r="H257" s="41">
        <f t="shared" si="8"/>
        <v>9665977.9299999997</v>
      </c>
      <c r="I257" s="41">
        <f t="shared" si="8"/>
        <v>706294.97000000009</v>
      </c>
      <c r="J257" s="41">
        <f t="shared" si="8"/>
        <v>329574.43</v>
      </c>
      <c r="K257" s="41">
        <f t="shared" si="8"/>
        <v>41712.85</v>
      </c>
      <c r="L257" s="41">
        <f t="shared" si="8"/>
        <v>25213629.649999999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125000</v>
      </c>
      <c r="L266" s="19">
        <f t="shared" si="9"/>
        <v>125000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125000</v>
      </c>
      <c r="L270" s="41">
        <f t="shared" si="9"/>
        <v>125000</v>
      </c>
      <c r="N270" s="264"/>
    </row>
    <row r="271" spans="1:14" s="3" customFormat="1" ht="12.2" customHeight="1" thickTop="1" x14ac:dyDescent="0.2">
      <c r="A271" s="43" t="s">
        <v>464</v>
      </c>
      <c r="B271" s="40">
        <v>10</v>
      </c>
      <c r="C271" s="40">
        <v>18</v>
      </c>
      <c r="D271" s="39" t="s">
        <v>431</v>
      </c>
      <c r="E271" s="40"/>
      <c r="F271" s="42">
        <f t="shared" ref="F271:L271" si="11">F257+F270</f>
        <v>9320040.0200000014</v>
      </c>
      <c r="G271" s="42">
        <f t="shared" si="11"/>
        <v>5150029.4499999993</v>
      </c>
      <c r="H271" s="42">
        <f t="shared" si="11"/>
        <v>9665977.9299999997</v>
      </c>
      <c r="I271" s="42">
        <f t="shared" si="11"/>
        <v>706294.97000000009</v>
      </c>
      <c r="J271" s="42">
        <f t="shared" si="11"/>
        <v>329574.43</v>
      </c>
      <c r="K271" s="42">
        <f t="shared" si="11"/>
        <v>166712.85</v>
      </c>
      <c r="L271" s="42">
        <f t="shared" si="11"/>
        <v>25338629.649999999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22196.41</v>
      </c>
      <c r="G276" s="18">
        <v>1529.48</v>
      </c>
      <c r="H276" s="18">
        <v>0</v>
      </c>
      <c r="I276" s="18">
        <v>0</v>
      </c>
      <c r="J276" s="18">
        <v>321.33999999999997</v>
      </c>
      <c r="K276" s="18">
        <v>0</v>
      </c>
      <c r="L276" s="19">
        <f>SUM(F276:K276)</f>
        <v>24047.23</v>
      </c>
      <c r="M276" s="8"/>
      <c r="N276" s="266"/>
    </row>
    <row r="277" spans="1:14" s="3" customFormat="1" ht="12.2" customHeight="1" x14ac:dyDescent="0.15">
      <c r="A277" s="1" t="s">
        <v>439</v>
      </c>
      <c r="B277" s="2" t="s">
        <v>357</v>
      </c>
      <c r="C277" s="2" t="s">
        <v>291</v>
      </c>
      <c r="D277" s="2" t="s">
        <v>431</v>
      </c>
      <c r="E277" s="6">
        <v>1200</v>
      </c>
      <c r="F277" s="18">
        <v>92451.14</v>
      </c>
      <c r="G277" s="18">
        <v>7072.51</v>
      </c>
      <c r="H277" s="18">
        <v>0</v>
      </c>
      <c r="I277" s="18">
        <v>3950.76</v>
      </c>
      <c r="J277" s="18">
        <v>11666.12</v>
      </c>
      <c r="K277" s="18">
        <v>0</v>
      </c>
      <c r="L277" s="19">
        <f>SUM(F277:K277)</f>
        <v>115140.52999999998</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286.14999999999998</v>
      </c>
      <c r="G279" s="18">
        <v>0</v>
      </c>
      <c r="H279" s="18">
        <v>0</v>
      </c>
      <c r="I279" s="18">
        <v>0</v>
      </c>
      <c r="J279" s="18">
        <v>0</v>
      </c>
      <c r="K279" s="18">
        <v>0</v>
      </c>
      <c r="L279" s="19">
        <f>SUM(F279:K279)</f>
        <v>286.14999999999998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42152.98</v>
      </c>
      <c r="I281" s="18">
        <v>214.02</v>
      </c>
      <c r="J281" s="18">
        <v>345.87</v>
      </c>
      <c r="K281" s="18">
        <v>0</v>
      </c>
      <c r="L281" s="19">
        <f t="shared" ref="L281:L287" si="12">SUM(F281:K281)</f>
        <v>42712.87</v>
      </c>
      <c r="M281" s="8"/>
      <c r="N281" s="266"/>
    </row>
    <row r="282" spans="1:14" s="3" customFormat="1" ht="12.2" customHeight="1" x14ac:dyDescent="0.15">
      <c r="A282" s="1" t="s">
        <v>443</v>
      </c>
      <c r="B282" s="2" t="s">
        <v>357</v>
      </c>
      <c r="C282" s="2" t="s">
        <v>295</v>
      </c>
      <c r="D282" s="2" t="s">
        <v>431</v>
      </c>
      <c r="E282" s="6">
        <v>2200</v>
      </c>
      <c r="F282" s="18">
        <v>4562.8900000000003</v>
      </c>
      <c r="G282" s="18">
        <v>0</v>
      </c>
      <c r="H282" s="18">
        <v>9254.9599999999991</v>
      </c>
      <c r="I282" s="18">
        <v>0</v>
      </c>
      <c r="J282" s="18">
        <v>0</v>
      </c>
      <c r="K282" s="18">
        <v>0</v>
      </c>
      <c r="L282" s="19">
        <f t="shared" si="12"/>
        <v>13817.849999999999</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119496.59</v>
      </c>
      <c r="G290" s="42">
        <f t="shared" si="13"/>
        <v>8601.99</v>
      </c>
      <c r="H290" s="42">
        <f t="shared" si="13"/>
        <v>51407.94</v>
      </c>
      <c r="I290" s="42">
        <f t="shared" si="13"/>
        <v>4164.7800000000007</v>
      </c>
      <c r="J290" s="42">
        <f t="shared" si="13"/>
        <v>12333.330000000002</v>
      </c>
      <c r="K290" s="42">
        <f t="shared" si="13"/>
        <v>0</v>
      </c>
      <c r="L290" s="41">
        <f t="shared" si="13"/>
        <v>196004.62999999998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19109.84</v>
      </c>
      <c r="G295" s="18">
        <v>1316.8</v>
      </c>
      <c r="H295" s="18">
        <v>0</v>
      </c>
      <c r="I295" s="18">
        <v>0</v>
      </c>
      <c r="J295" s="18">
        <v>276.66000000000003</v>
      </c>
      <c r="K295" s="18">
        <v>0</v>
      </c>
      <c r="L295" s="19">
        <f>SUM(F295:K295)</f>
        <v>20703.3</v>
      </c>
      <c r="M295" s="8"/>
      <c r="N295" s="266"/>
    </row>
    <row r="296" spans="1:14" s="3" customFormat="1" ht="12.2" customHeight="1" x14ac:dyDescent="0.15">
      <c r="A296" s="1" t="s">
        <v>439</v>
      </c>
      <c r="B296" s="2" t="s">
        <v>358</v>
      </c>
      <c r="C296" s="2" t="s">
        <v>291</v>
      </c>
      <c r="D296" s="2" t="s">
        <v>431</v>
      </c>
      <c r="E296" s="6">
        <v>1200</v>
      </c>
      <c r="F296" s="18">
        <v>79595.12</v>
      </c>
      <c r="G296" s="18">
        <v>6089.02</v>
      </c>
      <c r="H296" s="18">
        <v>0</v>
      </c>
      <c r="I296" s="18">
        <v>3401.37</v>
      </c>
      <c r="J296" s="18">
        <v>10043.86</v>
      </c>
      <c r="K296" s="18">
        <v>0</v>
      </c>
      <c r="L296" s="19">
        <f>SUM(F296:K296)</f>
        <v>99129.37</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246.35</v>
      </c>
      <c r="G298" s="18">
        <v>0</v>
      </c>
      <c r="H298" s="18">
        <v>0</v>
      </c>
      <c r="I298" s="18">
        <v>0</v>
      </c>
      <c r="J298" s="18">
        <v>0</v>
      </c>
      <c r="K298" s="18">
        <v>0</v>
      </c>
      <c r="L298" s="19">
        <f>SUM(F298:K298)</f>
        <v>246.35</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36291.29</v>
      </c>
      <c r="I300" s="18">
        <v>184.25</v>
      </c>
      <c r="J300" s="18">
        <v>297.77999999999997</v>
      </c>
      <c r="K300" s="18">
        <v>0</v>
      </c>
      <c r="L300" s="19">
        <f t="shared" ref="L300:L306" si="14">SUM(F300:K300)</f>
        <v>36773.32</v>
      </c>
      <c r="M300" s="8"/>
      <c r="N300" s="266"/>
    </row>
    <row r="301" spans="1:14" s="3" customFormat="1" ht="12.2" customHeight="1" x14ac:dyDescent="0.15">
      <c r="A301" s="1" t="s">
        <v>443</v>
      </c>
      <c r="B301" s="2" t="s">
        <v>358</v>
      </c>
      <c r="C301" s="2" t="s">
        <v>295</v>
      </c>
      <c r="D301" s="2" t="s">
        <v>431</v>
      </c>
      <c r="E301" s="6">
        <v>2200</v>
      </c>
      <c r="F301" s="18">
        <v>3928.38</v>
      </c>
      <c r="G301" s="18">
        <v>0</v>
      </c>
      <c r="H301" s="18">
        <v>7967.99</v>
      </c>
      <c r="I301" s="18">
        <v>0</v>
      </c>
      <c r="J301" s="18">
        <v>0</v>
      </c>
      <c r="K301" s="18">
        <v>0</v>
      </c>
      <c r="L301" s="19">
        <f t="shared" si="14"/>
        <v>11896.369999999999</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102879.69</v>
      </c>
      <c r="G309" s="42">
        <f t="shared" si="15"/>
        <v>7405.8200000000006</v>
      </c>
      <c r="H309" s="42">
        <f t="shared" si="15"/>
        <v>44259.28</v>
      </c>
      <c r="I309" s="42">
        <f t="shared" si="15"/>
        <v>3585.62</v>
      </c>
      <c r="J309" s="42">
        <f t="shared" si="15"/>
        <v>10618.300000000001</v>
      </c>
      <c r="K309" s="42">
        <f t="shared" si="15"/>
        <v>0</v>
      </c>
      <c r="L309" s="41">
        <f t="shared" si="15"/>
        <v>168748.71</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0</v>
      </c>
      <c r="G320" s="18">
        <v>0</v>
      </c>
      <c r="H320" s="18">
        <v>0</v>
      </c>
      <c r="I320" s="18">
        <v>0</v>
      </c>
      <c r="J320" s="18">
        <v>0</v>
      </c>
      <c r="K320" s="18">
        <v>0</v>
      </c>
      <c r="L320" s="19">
        <f t="shared" si="16"/>
        <v>0</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222376.28</v>
      </c>
      <c r="G338" s="41">
        <f t="shared" si="20"/>
        <v>16007.810000000001</v>
      </c>
      <c r="H338" s="41">
        <f t="shared" si="20"/>
        <v>95667.22</v>
      </c>
      <c r="I338" s="41">
        <f t="shared" si="20"/>
        <v>7750.4000000000005</v>
      </c>
      <c r="J338" s="41">
        <f t="shared" si="20"/>
        <v>22951.630000000005</v>
      </c>
      <c r="K338" s="41">
        <f t="shared" si="20"/>
        <v>0</v>
      </c>
      <c r="L338" s="41">
        <f t="shared" si="20"/>
        <v>364753.33999999997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222376.28</v>
      </c>
      <c r="G352" s="41">
        <f>G338</f>
        <v>16007.810000000001</v>
      </c>
      <c r="H352" s="41">
        <f>H338</f>
        <v>95667.22</v>
      </c>
      <c r="I352" s="41">
        <f>I338</f>
        <v>7750.4000000000005</v>
      </c>
      <c r="J352" s="41">
        <f>J338</f>
        <v>22951.630000000005</v>
      </c>
      <c r="K352" s="47">
        <f>K338+K351</f>
        <v>0</v>
      </c>
      <c r="L352" s="41">
        <f>L338+L351</f>
        <v>364753.33999999997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81582.117808683935</v>
      </c>
      <c r="G358" s="18">
        <v>2199.7600000000002</v>
      </c>
      <c r="H358" s="18">
        <v>0</v>
      </c>
      <c r="I358" s="18">
        <v>85010.447038583225</v>
      </c>
      <c r="J358" s="18">
        <v>0</v>
      </c>
      <c r="K358" s="18">
        <v>10402.792803089545</v>
      </c>
      <c r="L358" s="13">
        <f>SUM(F358:K358)</f>
        <v>179195.1176503567</v>
      </c>
      <c r="N358" s="264"/>
      <c r="R358" s="3"/>
      <c r="S358" s="3"/>
      <c r="T358" s="3"/>
      <c r="U358" s="3"/>
      <c r="V358" s="3"/>
    </row>
    <row r="359" spans="1:22" s="3" customFormat="1" ht="12.2" customHeight="1" x14ac:dyDescent="0.15">
      <c r="A359" s="1" t="s">
        <v>542</v>
      </c>
      <c r="B359" s="2" t="s">
        <v>366</v>
      </c>
      <c r="C359" s="6">
        <v>2</v>
      </c>
      <c r="D359" s="2" t="s">
        <v>431</v>
      </c>
      <c r="E359" s="6"/>
      <c r="F359" s="18">
        <v>71624.87219131607</v>
      </c>
      <c r="G359" s="18">
        <v>1931.27</v>
      </c>
      <c r="H359" s="18">
        <v>0</v>
      </c>
      <c r="I359" s="18">
        <v>73189.112961416758</v>
      </c>
      <c r="J359" s="18">
        <v>0</v>
      </c>
      <c r="K359" s="18">
        <v>8956.2071969104545</v>
      </c>
      <c r="L359" s="19">
        <f>SUM(F359:K359)</f>
        <v>155701.46234964329</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153206.99</v>
      </c>
      <c r="G362" s="47">
        <f t="shared" si="22"/>
        <v>4131.0300000000007</v>
      </c>
      <c r="H362" s="47">
        <f t="shared" si="22"/>
        <v>0</v>
      </c>
      <c r="I362" s="47">
        <f t="shared" si="22"/>
        <v>158199.56</v>
      </c>
      <c r="J362" s="47">
        <f t="shared" si="22"/>
        <v>0</v>
      </c>
      <c r="K362" s="47">
        <f t="shared" si="22"/>
        <v>19359</v>
      </c>
      <c r="L362" s="47">
        <f t="shared" si="22"/>
        <v>334896.57999999996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71754.798871497478</v>
      </c>
      <c r="G367" s="18">
        <v>61776.761128502505</v>
      </c>
      <c r="H367" s="18">
        <v>0</v>
      </c>
      <c r="I367" s="56">
        <f>SUM(F367:H367)</f>
        <v>133531.56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13255.648167085743</v>
      </c>
      <c r="G368" s="63">
        <v>11412.351832914255</v>
      </c>
      <c r="H368" s="63">
        <v>0</v>
      </c>
      <c r="I368" s="56">
        <f>SUM(F368:H368)</f>
        <v>24668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85010.447038583225</v>
      </c>
      <c r="G369" s="47">
        <f>SUM(G367:G368)</f>
        <v>73189.112961416758</v>
      </c>
      <c r="H369" s="47">
        <f>SUM(H367:H368)</f>
        <v>0</v>
      </c>
      <c r="I369" s="47">
        <f>SUM(I367:I368)</f>
        <v>158199.56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125000</v>
      </c>
      <c r="H388" s="18">
        <v>12143.38</v>
      </c>
      <c r="I388" s="18"/>
      <c r="J388" s="24" t="s">
        <v>288</v>
      </c>
      <c r="K388" s="24" t="s">
        <v>288</v>
      </c>
      <c r="L388" s="56">
        <f t="shared" si="25"/>
        <v>137143.38</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125000</v>
      </c>
      <c r="H393" s="139">
        <f>SUM(H387:H392)</f>
        <v>12143.38</v>
      </c>
      <c r="I393" s="65">
        <f>SUM(I387:I392)</f>
        <v>0</v>
      </c>
      <c r="J393" s="45" t="s">
        <v>288</v>
      </c>
      <c r="K393" s="45" t="s">
        <v>288</v>
      </c>
      <c r="L393" s="47">
        <f>SUM(L387:L392)</f>
        <v>137143.38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125000</v>
      </c>
      <c r="H408" s="47">
        <f>H393+H401+H407</f>
        <v>12143.38</v>
      </c>
      <c r="I408" s="47">
        <f>I393+I401+I407</f>
        <v>0</v>
      </c>
      <c r="J408" s="24" t="s">
        <v>288</v>
      </c>
      <c r="K408" s="24" t="s">
        <v>288</v>
      </c>
      <c r="L408" s="47">
        <f>L393+L401+L407</f>
        <v>137143.38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830721.78</v>
      </c>
      <c r="G442" s="18"/>
      <c r="H442" s="18"/>
      <c r="I442" s="56">
        <f t="shared" si="33"/>
        <v>830721.78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830721.78</v>
      </c>
      <c r="G446" s="13">
        <f>SUM(G439:G445)</f>
        <v>0</v>
      </c>
      <c r="H446" s="13">
        <f>SUM(H439:H445)</f>
        <v>0</v>
      </c>
      <c r="I446" s="13">
        <f>SUM(I439:I445)</f>
        <v>830721.78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830721.78</v>
      </c>
      <c r="G459" s="18"/>
      <c r="H459" s="18"/>
      <c r="I459" s="56">
        <f t="shared" si="34"/>
        <v>830721.78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830721.78</v>
      </c>
      <c r="G460" s="83">
        <f>SUM(G454:G459)</f>
        <v>0</v>
      </c>
      <c r="H460" s="83">
        <f>SUM(H454:H459)</f>
        <v>0</v>
      </c>
      <c r="I460" s="83">
        <f>SUM(I454:I459)</f>
        <v>830721.78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830721.78</v>
      </c>
      <c r="G461" s="42">
        <f>G452+G460</f>
        <v>0</v>
      </c>
      <c r="H461" s="42">
        <f>H452+H460</f>
        <v>0</v>
      </c>
      <c r="I461" s="42">
        <f>I452+I460</f>
        <v>830721.78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1146763.43</v>
      </c>
      <c r="G465" s="18">
        <v>19606.03</v>
      </c>
      <c r="H465" s="18">
        <v>0</v>
      </c>
      <c r="I465" s="18">
        <v>0</v>
      </c>
      <c r="J465" s="18">
        <v>693578.4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25492045.84</v>
      </c>
      <c r="G468" s="18">
        <v>324998.84999999998</v>
      </c>
      <c r="H468" s="18">
        <v>364753.34</v>
      </c>
      <c r="I468" s="18"/>
      <c r="J468" s="18">
        <v>137143.38</v>
      </c>
      <c r="K468" s="24" t="s">
        <v>288</v>
      </c>
      <c r="L468" s="24" t="s">
        <v>288</v>
      </c>
      <c r="N468" s="265"/>
    </row>
    <row r="469" spans="1:14" s="52" customFormat="1" ht="12.2" customHeight="1" x14ac:dyDescent="0.2">
      <c r="A469" s="93" t="s">
        <v>611</v>
      </c>
      <c r="B469" s="75">
        <v>19</v>
      </c>
      <c r="C469" s="80">
        <v>3</v>
      </c>
      <c r="D469" s="2" t="s">
        <v>432</v>
      </c>
      <c r="E469" s="80"/>
      <c r="F469" s="18">
        <v>19997.310000000001</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25512043.149999999</v>
      </c>
      <c r="G470" s="53">
        <f>SUM(G468:G469)</f>
        <v>324998.84999999998</v>
      </c>
      <c r="H470" s="53">
        <f>SUM(H468:H469)</f>
        <v>364753.34</v>
      </c>
      <c r="I470" s="53">
        <f>SUM(I468:I469)</f>
        <v>0</v>
      </c>
      <c r="J470" s="53">
        <f>SUM(J468:J469)</f>
        <v>137143.38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25338629.649999999</v>
      </c>
      <c r="G472" s="18">
        <v>334896.58</v>
      </c>
      <c r="H472" s="18">
        <v>364753.34</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25338629.649999999</v>
      </c>
      <c r="G474" s="53">
        <f>SUM(G472:G473)</f>
        <v>334896.58</v>
      </c>
      <c r="H474" s="53">
        <f>SUM(H472:H473)</f>
        <v>364753.34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1320176.9299999997</v>
      </c>
      <c r="G476" s="53">
        <f>(G465+G470)- G474</f>
        <v>9708.2999999999884</v>
      </c>
      <c r="H476" s="53">
        <f>(H465+H470)- H474</f>
        <v>0</v>
      </c>
      <c r="I476" s="53">
        <f>(I465+I470)- I474</f>
        <v>0</v>
      </c>
      <c r="J476" s="53">
        <f>(J465+J470)- J474</f>
        <v>830721.78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1074933.2463799999</v>
      </c>
      <c r="G521" s="18">
        <v>541254.97000000009</v>
      </c>
      <c r="H521" s="18">
        <v>80627.91</v>
      </c>
      <c r="I521" s="18">
        <v>101596.99999999999</v>
      </c>
      <c r="J521" s="18">
        <v>13586.66</v>
      </c>
      <c r="K521" s="18">
        <v>908.53</v>
      </c>
      <c r="L521" s="88">
        <f>SUM(F521:K521)</f>
        <v>1812908.31638</v>
      </c>
      <c r="N521" s="265"/>
    </row>
    <row r="522" spans="1:14" s="52" customFormat="1" ht="12.2" customHeight="1" x14ac:dyDescent="0.2">
      <c r="A522" s="22" t="s">
        <v>634</v>
      </c>
      <c r="B522" s="105">
        <v>21</v>
      </c>
      <c r="C522" s="115">
        <v>2</v>
      </c>
      <c r="D522" s="2" t="s">
        <v>432</v>
      </c>
      <c r="E522" s="115"/>
      <c r="F522" s="18">
        <v>897321.03161999991</v>
      </c>
      <c r="G522" s="18">
        <v>450692.38</v>
      </c>
      <c r="H522" s="18">
        <v>69416</v>
      </c>
      <c r="I522" s="18">
        <v>171876.28999999998</v>
      </c>
      <c r="J522" s="18">
        <v>11697.34</v>
      </c>
      <c r="K522" s="18">
        <v>782.19</v>
      </c>
      <c r="L522" s="88">
        <f>SUM(F522:K522)</f>
        <v>1601785.23162</v>
      </c>
      <c r="N522" s="265"/>
    </row>
    <row r="523" spans="1:14" s="52" customFormat="1" ht="12.2" customHeight="1" thickBot="1" x14ac:dyDescent="0.25">
      <c r="A523" s="22" t="s">
        <v>635</v>
      </c>
      <c r="B523" s="105">
        <v>21</v>
      </c>
      <c r="C523" s="115">
        <v>3</v>
      </c>
      <c r="D523" s="2" t="s">
        <v>432</v>
      </c>
      <c r="E523" s="115"/>
      <c r="F523" s="18">
        <v>10388.212</v>
      </c>
      <c r="G523" s="18">
        <v>0</v>
      </c>
      <c r="H523" s="18">
        <v>1692123.03</v>
      </c>
      <c r="I523" s="18">
        <v>0</v>
      </c>
      <c r="J523" s="18">
        <v>0</v>
      </c>
      <c r="K523" s="18">
        <v>0</v>
      </c>
      <c r="L523" s="88">
        <f>SUM(F523:K523)</f>
        <v>1702511.2420000001</v>
      </c>
      <c r="N523" s="265"/>
    </row>
    <row r="524" spans="1:14" s="52" customFormat="1" ht="12.2" customHeight="1" thickTop="1" x14ac:dyDescent="0.2">
      <c r="A524" s="139" t="s">
        <v>63</v>
      </c>
      <c r="B524" s="107">
        <v>21</v>
      </c>
      <c r="C524" s="195">
        <v>4</v>
      </c>
      <c r="D524" s="196" t="s">
        <v>432</v>
      </c>
      <c r="E524" s="195"/>
      <c r="F524" s="108">
        <f>SUM(F521:F523)</f>
        <v>1982642.49</v>
      </c>
      <c r="G524" s="108">
        <f t="shared" ref="G524:L524" si="36">SUM(G521:G523)</f>
        <v>991947.35000000009</v>
      </c>
      <c r="H524" s="108">
        <f t="shared" si="36"/>
        <v>1842166.94</v>
      </c>
      <c r="I524" s="108">
        <f t="shared" si="36"/>
        <v>273473.28999999998</v>
      </c>
      <c r="J524" s="108">
        <f t="shared" si="36"/>
        <v>25284</v>
      </c>
      <c r="K524" s="108">
        <f t="shared" si="36"/>
        <v>1690.72</v>
      </c>
      <c r="L524" s="89">
        <f t="shared" si="36"/>
        <v>5117204.79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161262.25600000002</v>
      </c>
      <c r="G526" s="18">
        <v>87679.43</v>
      </c>
      <c r="H526" s="18">
        <v>1333.7069590964441</v>
      </c>
      <c r="I526" s="18">
        <v>3034.3003304698623</v>
      </c>
      <c r="J526" s="18">
        <v>931.08848951925802</v>
      </c>
      <c r="K526" s="18">
        <v>0</v>
      </c>
      <c r="L526" s="88">
        <f>SUM(F526:K526)</f>
        <v>254240.78177908558</v>
      </c>
      <c r="M526" s="8"/>
      <c r="N526" s="266"/>
    </row>
    <row r="527" spans="1:14" s="3" customFormat="1" ht="12.2" customHeight="1" x14ac:dyDescent="0.15">
      <c r="A527" s="22" t="s">
        <v>634</v>
      </c>
      <c r="B527" s="105">
        <v>21</v>
      </c>
      <c r="C527" s="115">
        <v>6</v>
      </c>
      <c r="D527" s="2" t="s">
        <v>432</v>
      </c>
      <c r="E527" s="115"/>
      <c r="F527" s="18">
        <v>201577.82</v>
      </c>
      <c r="G527" s="18">
        <v>109599.29</v>
      </c>
      <c r="H527" s="18">
        <v>2256.2930409035557</v>
      </c>
      <c r="I527" s="18">
        <v>2612.3596695301376</v>
      </c>
      <c r="J527" s="18">
        <v>801.61151048074203</v>
      </c>
      <c r="K527" s="18">
        <v>0</v>
      </c>
      <c r="L527" s="88">
        <f>SUM(F527:K527)</f>
        <v>316847.37422091444</v>
      </c>
      <c r="M527" s="8"/>
      <c r="N527" s="266"/>
    </row>
    <row r="528" spans="1:14" s="3" customFormat="1" ht="12.2" customHeight="1" thickBot="1" x14ac:dyDescent="0.2">
      <c r="A528" s="22" t="s">
        <v>635</v>
      </c>
      <c r="B528" s="118">
        <v>21</v>
      </c>
      <c r="C528" s="118">
        <v>7</v>
      </c>
      <c r="D528" s="2" t="s">
        <v>432</v>
      </c>
      <c r="E528" s="118"/>
      <c r="F528" s="18">
        <v>40315.564000000006</v>
      </c>
      <c r="G528" s="18">
        <v>21919.86</v>
      </c>
      <c r="H528" s="18">
        <v>0</v>
      </c>
      <c r="I528" s="18">
        <v>0</v>
      </c>
      <c r="J528" s="18">
        <v>0</v>
      </c>
      <c r="K528" s="18">
        <v>0</v>
      </c>
      <c r="L528" s="88">
        <f>SUM(F528:K528)</f>
        <v>62235.424000000006</v>
      </c>
      <c r="M528" s="8"/>
      <c r="N528" s="266"/>
    </row>
    <row r="529" spans="1:14" s="3" customFormat="1" ht="12.2" customHeight="1" thickTop="1" x14ac:dyDescent="0.15">
      <c r="A529" s="139" t="s">
        <v>65</v>
      </c>
      <c r="B529" s="107">
        <v>21</v>
      </c>
      <c r="C529" s="107">
        <v>8</v>
      </c>
      <c r="D529" s="158" t="s">
        <v>432</v>
      </c>
      <c r="E529" s="107"/>
      <c r="F529" s="89">
        <f>SUM(F526:F528)</f>
        <v>403155.64</v>
      </c>
      <c r="G529" s="89">
        <f t="shared" ref="G529:L529" si="37">SUM(G526:G528)</f>
        <v>219198.57999999996</v>
      </c>
      <c r="H529" s="89">
        <f t="shared" si="37"/>
        <v>3590</v>
      </c>
      <c r="I529" s="89">
        <f t="shared" si="37"/>
        <v>5646.66</v>
      </c>
      <c r="J529" s="89">
        <f t="shared" si="37"/>
        <v>1732.7</v>
      </c>
      <c r="K529" s="89">
        <f t="shared" si="37"/>
        <v>0</v>
      </c>
      <c r="L529" s="89">
        <f t="shared" si="37"/>
        <v>633323.57999999996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138235.42362000002</v>
      </c>
      <c r="G531" s="18">
        <v>75159.58</v>
      </c>
      <c r="H531" s="18">
        <v>0</v>
      </c>
      <c r="I531" s="18">
        <v>13738.85</v>
      </c>
      <c r="J531" s="18">
        <v>0</v>
      </c>
      <c r="K531" s="18">
        <v>0</v>
      </c>
      <c r="L531" s="88">
        <f>SUM(F531:K531)</f>
        <v>227133.85362000004</v>
      </c>
      <c r="M531" s="8"/>
      <c r="N531" s="266"/>
    </row>
    <row r="532" spans="1:14" s="3" customFormat="1" ht="12.2" customHeight="1" x14ac:dyDescent="0.15">
      <c r="A532" s="22" t="s">
        <v>634</v>
      </c>
      <c r="B532" s="105">
        <v>21</v>
      </c>
      <c r="C532" s="105">
        <v>10</v>
      </c>
      <c r="D532" s="2" t="s">
        <v>432</v>
      </c>
      <c r="E532" s="105"/>
      <c r="F532" s="18">
        <v>146786.06838000001</v>
      </c>
      <c r="G532" s="18">
        <v>79808.62</v>
      </c>
      <c r="H532" s="18">
        <v>0</v>
      </c>
      <c r="I532" s="18">
        <v>30242.13</v>
      </c>
      <c r="J532" s="18">
        <v>0</v>
      </c>
      <c r="K532" s="18">
        <v>0</v>
      </c>
      <c r="L532" s="88">
        <f>SUM(F532:K532)</f>
        <v>256836.81838000001</v>
      </c>
      <c r="M532" s="8"/>
      <c r="N532" s="266"/>
    </row>
    <row r="533" spans="1:14" s="3" customFormat="1" ht="12.2" customHeight="1" thickBot="1" x14ac:dyDescent="0.2">
      <c r="A533" s="22" t="s">
        <v>635</v>
      </c>
      <c r="B533" s="105">
        <v>21</v>
      </c>
      <c r="C533" s="105">
        <v>11</v>
      </c>
      <c r="D533" s="2" t="s">
        <v>432</v>
      </c>
      <c r="E533" s="105"/>
      <c r="F533" s="18">
        <v>88706.788</v>
      </c>
      <c r="G533" s="18">
        <v>88264.9</v>
      </c>
      <c r="H533" s="18">
        <v>0</v>
      </c>
      <c r="I533" s="18">
        <v>0</v>
      </c>
      <c r="J533" s="18">
        <v>0</v>
      </c>
      <c r="K533" s="18">
        <v>0</v>
      </c>
      <c r="L533" s="88">
        <f>SUM(F533:K533)</f>
        <v>176971.68799999999</v>
      </c>
      <c r="M533" s="8"/>
      <c r="N533" s="266"/>
    </row>
    <row r="534" spans="1:14" s="3" customFormat="1" ht="12.2" customHeight="1" thickTop="1" x14ac:dyDescent="0.15">
      <c r="A534" s="139" t="s">
        <v>67</v>
      </c>
      <c r="B534" s="107">
        <v>21</v>
      </c>
      <c r="C534" s="107">
        <v>12</v>
      </c>
      <c r="D534" s="158" t="s">
        <v>432</v>
      </c>
      <c r="E534" s="107"/>
      <c r="F534" s="89">
        <f>SUM(F531:F533)</f>
        <v>373728.28</v>
      </c>
      <c r="G534" s="89">
        <f t="shared" ref="G534:L534" si="38">SUM(G531:G533)</f>
        <v>243233.1</v>
      </c>
      <c r="H534" s="89">
        <f t="shared" si="38"/>
        <v>0</v>
      </c>
      <c r="I534" s="89">
        <f t="shared" si="38"/>
        <v>43980.98</v>
      </c>
      <c r="J534" s="89">
        <f t="shared" si="38"/>
        <v>0</v>
      </c>
      <c r="K534" s="89">
        <f t="shared" si="38"/>
        <v>0</v>
      </c>
      <c r="L534" s="89">
        <f t="shared" si="38"/>
        <v>660942.36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8089.0928000000022</v>
      </c>
      <c r="I536" s="18"/>
      <c r="J536" s="18"/>
      <c r="K536" s="18"/>
      <c r="L536" s="88">
        <f>SUM(F536:K536)</f>
        <v>8089.0928000000022</v>
      </c>
      <c r="M536" s="8"/>
      <c r="N536" s="266"/>
    </row>
    <row r="537" spans="1:14" s="3" customFormat="1" ht="12.2" customHeight="1" x14ac:dyDescent="0.15">
      <c r="A537" s="22" t="s">
        <v>634</v>
      </c>
      <c r="B537" s="105">
        <v>21</v>
      </c>
      <c r="C537" s="105">
        <v>14</v>
      </c>
      <c r="D537" s="2" t="s">
        <v>432</v>
      </c>
      <c r="E537" s="105"/>
      <c r="F537" s="18"/>
      <c r="G537" s="18"/>
      <c r="H537" s="18">
        <v>10111.366000000002</v>
      </c>
      <c r="I537" s="18"/>
      <c r="J537" s="18"/>
      <c r="K537" s="18"/>
      <c r="L537" s="88">
        <f>SUM(F537:K537)</f>
        <v>10111.366000000002</v>
      </c>
      <c r="M537" s="8"/>
      <c r="N537" s="266"/>
    </row>
    <row r="538" spans="1:14" s="3" customFormat="1" ht="12.2" customHeight="1" thickBot="1" x14ac:dyDescent="0.2">
      <c r="A538" s="22" t="s">
        <v>635</v>
      </c>
      <c r="B538" s="105">
        <v>21</v>
      </c>
      <c r="C538" s="105">
        <v>15</v>
      </c>
      <c r="D538" s="2" t="s">
        <v>432</v>
      </c>
      <c r="E538" s="105"/>
      <c r="F538" s="18"/>
      <c r="G538" s="18"/>
      <c r="H538" s="18">
        <v>2022.2732000000005</v>
      </c>
      <c r="I538" s="18"/>
      <c r="J538" s="18"/>
      <c r="K538" s="18"/>
      <c r="L538" s="88">
        <f>SUM(F538:K538)</f>
        <v>2022.2732000000005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20222.732000000004</v>
      </c>
      <c r="I539" s="89">
        <f t="shared" si="39"/>
        <v>0</v>
      </c>
      <c r="J539" s="89">
        <f t="shared" si="39"/>
        <v>0</v>
      </c>
      <c r="K539" s="89">
        <f t="shared" si="39"/>
        <v>0</v>
      </c>
      <c r="L539" s="89">
        <f t="shared" si="39"/>
        <v>20222.732000000004</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92514.92</v>
      </c>
      <c r="I541" s="18"/>
      <c r="J541" s="18"/>
      <c r="K541" s="18"/>
      <c r="L541" s="88">
        <f>SUM(F541:K541)</f>
        <v>92514.92</v>
      </c>
      <c r="M541" s="8"/>
      <c r="N541" s="266"/>
    </row>
    <row r="542" spans="1:14" s="3" customFormat="1" ht="12.2" customHeight="1" x14ac:dyDescent="0.15">
      <c r="A542" s="22" t="s">
        <v>634</v>
      </c>
      <c r="B542" s="105">
        <v>21</v>
      </c>
      <c r="C542" s="105">
        <v>18</v>
      </c>
      <c r="D542" s="2" t="s">
        <v>432</v>
      </c>
      <c r="E542" s="105"/>
      <c r="F542" s="18"/>
      <c r="G542" s="18"/>
      <c r="H542" s="18">
        <v>92514.92</v>
      </c>
      <c r="I542" s="18"/>
      <c r="J542" s="18"/>
      <c r="K542" s="18"/>
      <c r="L542" s="88">
        <f>SUM(F542:K542)</f>
        <v>92514.92</v>
      </c>
      <c r="M542" s="8"/>
      <c r="N542" s="266"/>
    </row>
    <row r="543" spans="1:14" s="3" customFormat="1" ht="12.2" customHeight="1" thickBot="1" x14ac:dyDescent="0.2">
      <c r="A543" s="22" t="s">
        <v>635</v>
      </c>
      <c r="B543" s="105">
        <v>21</v>
      </c>
      <c r="C543" s="105">
        <v>19</v>
      </c>
      <c r="D543" s="2" t="s">
        <v>432</v>
      </c>
      <c r="E543" s="105"/>
      <c r="F543" s="18"/>
      <c r="G543" s="18"/>
      <c r="H543" s="18">
        <v>92792.74</v>
      </c>
      <c r="I543" s="18"/>
      <c r="J543" s="18"/>
      <c r="K543" s="18"/>
      <c r="L543" s="88">
        <f>SUM(F543:K543)</f>
        <v>92792.74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277822.58</v>
      </c>
      <c r="I544" s="193">
        <f t="shared" si="40"/>
        <v>0</v>
      </c>
      <c r="J544" s="193">
        <f t="shared" si="40"/>
        <v>0</v>
      </c>
      <c r="K544" s="193">
        <f t="shared" si="40"/>
        <v>0</v>
      </c>
      <c r="L544" s="193">
        <f t="shared" si="40"/>
        <v>277822.58</v>
      </c>
      <c r="M544" s="8"/>
      <c r="N544" s="266"/>
    </row>
    <row r="545" spans="1:14" s="3" customFormat="1" ht="12.2" customHeight="1" thickTop="1" x14ac:dyDescent="0.15">
      <c r="A545" s="98" t="s">
        <v>72</v>
      </c>
      <c r="B545" s="107">
        <v>21</v>
      </c>
      <c r="C545" s="107">
        <v>21</v>
      </c>
      <c r="D545" s="158" t="s">
        <v>432</v>
      </c>
      <c r="E545" s="107"/>
      <c r="F545" s="89">
        <f>F524+F529+F534+F539+F544</f>
        <v>2759526.41</v>
      </c>
      <c r="G545" s="89">
        <f t="shared" ref="G545:L545" si="41">G524+G529+G534+G539+G544</f>
        <v>1454379.0300000003</v>
      </c>
      <c r="H545" s="89">
        <f t="shared" si="41"/>
        <v>2143802.2519999999</v>
      </c>
      <c r="I545" s="89">
        <f t="shared" si="41"/>
        <v>323100.92999999993</v>
      </c>
      <c r="J545" s="89">
        <f t="shared" si="41"/>
        <v>27016.7</v>
      </c>
      <c r="K545" s="89">
        <f t="shared" si="41"/>
        <v>1690.72</v>
      </c>
      <c r="L545" s="89">
        <f t="shared" si="41"/>
        <v>6709516.0420000004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1812908.31638</v>
      </c>
      <c r="G549" s="87">
        <f>L526</f>
        <v>254240.78177908558</v>
      </c>
      <c r="H549" s="87">
        <f>L531</f>
        <v>227133.85362000004</v>
      </c>
      <c r="I549" s="87">
        <f>L536</f>
        <v>8089.0928000000022</v>
      </c>
      <c r="J549" s="87">
        <f>L541</f>
        <v>92514.92</v>
      </c>
      <c r="K549" s="87">
        <f>SUM(F549:J549)</f>
        <v>2394886.9645790858</v>
      </c>
      <c r="L549" s="24" t="s">
        <v>288</v>
      </c>
      <c r="M549" s="8"/>
      <c r="N549" s="266"/>
    </row>
    <row r="550" spans="1:14" s="3" customFormat="1" ht="12.2" customHeight="1" x14ac:dyDescent="0.15">
      <c r="A550" s="22" t="s">
        <v>634</v>
      </c>
      <c r="B550" s="75">
        <v>21</v>
      </c>
      <c r="C550" s="75">
        <v>23</v>
      </c>
      <c r="D550" s="2" t="s">
        <v>432</v>
      </c>
      <c r="E550" s="75"/>
      <c r="F550" s="87">
        <f>L522</f>
        <v>1601785.23162</v>
      </c>
      <c r="G550" s="87">
        <f>L527</f>
        <v>316847.37422091444</v>
      </c>
      <c r="H550" s="87">
        <f>L532</f>
        <v>256836.81838000001</v>
      </c>
      <c r="I550" s="87">
        <f>L537</f>
        <v>10111.366000000002</v>
      </c>
      <c r="J550" s="87">
        <f>L542</f>
        <v>92514.92</v>
      </c>
      <c r="K550" s="87">
        <f>SUM(F550:J550)</f>
        <v>2278095.7102209143</v>
      </c>
      <c r="L550" s="24" t="s">
        <v>288</v>
      </c>
      <c r="M550" s="8"/>
      <c r="N550" s="266"/>
    </row>
    <row r="551" spans="1:14" s="3" customFormat="1" ht="12.2" customHeight="1" thickBot="1" x14ac:dyDescent="0.2">
      <c r="A551" s="22" t="s">
        <v>635</v>
      </c>
      <c r="B551" s="75">
        <v>21</v>
      </c>
      <c r="C551" s="75">
        <v>24</v>
      </c>
      <c r="D551" s="2" t="s">
        <v>432</v>
      </c>
      <c r="E551" s="75"/>
      <c r="F551" s="87">
        <f>L523</f>
        <v>1702511.2420000001</v>
      </c>
      <c r="G551" s="87">
        <f>L528</f>
        <v>62235.424000000006</v>
      </c>
      <c r="H551" s="87">
        <f>L533</f>
        <v>176971.68799999999</v>
      </c>
      <c r="I551" s="87">
        <f>L538</f>
        <v>2022.2732000000005</v>
      </c>
      <c r="J551" s="87">
        <f>L543</f>
        <v>92792.74</v>
      </c>
      <c r="K551" s="87">
        <f>SUM(F551:J551)</f>
        <v>2036533.3672000002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5117204.79</v>
      </c>
      <c r="G552" s="89">
        <f t="shared" si="42"/>
        <v>633323.57999999996</v>
      </c>
      <c r="H552" s="89">
        <f t="shared" si="42"/>
        <v>660942.36</v>
      </c>
      <c r="I552" s="89">
        <f t="shared" si="42"/>
        <v>20222.732000000004</v>
      </c>
      <c r="J552" s="89">
        <f t="shared" si="42"/>
        <v>277822.58</v>
      </c>
      <c r="K552" s="89">
        <f t="shared" si="42"/>
        <v>6709516.0420000004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5459510.2000000002</v>
      </c>
      <c r="I577" s="87">
        <f t="shared" si="47"/>
        <v>5459510.2000000002</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35836.080000000002</v>
      </c>
      <c r="I579" s="87">
        <f t="shared" si="47"/>
        <v>35836.080000000002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847847.95</v>
      </c>
      <c r="I581" s="87">
        <f t="shared" si="47"/>
        <v>847847.95</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105967.29</v>
      </c>
      <c r="G582" s="18">
        <v>194378.35</v>
      </c>
      <c r="H582" s="18">
        <v>692847.54</v>
      </c>
      <c r="I582" s="87">
        <f t="shared" si="47"/>
        <v>993193.18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115591.46</v>
      </c>
      <c r="I583" s="87">
        <f t="shared" si="47"/>
        <v>115591.46</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214475.75</v>
      </c>
      <c r="I591" s="18">
        <v>184651.31</v>
      </c>
      <c r="J591" s="18">
        <v>218005.13</v>
      </c>
      <c r="K591" s="104">
        <f t="shared" ref="K591:K597" si="48">SUM(H591:J591)</f>
        <v>617132.18999999994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92514.92</v>
      </c>
      <c r="I592" s="18">
        <v>92514.92</v>
      </c>
      <c r="J592" s="18">
        <v>92792.74</v>
      </c>
      <c r="K592" s="104">
        <f t="shared" si="48"/>
        <v>277822.58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8184.97</v>
      </c>
      <c r="J594" s="18"/>
      <c r="K594" s="104">
        <f t="shared" si="48"/>
        <v>8184.97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179.01</v>
      </c>
      <c r="I595" s="18">
        <f>154.11+667.04</f>
        <v>821.15</v>
      </c>
      <c r="J595" s="18"/>
      <c r="K595" s="104">
        <f t="shared" si="48"/>
        <v>1000.16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307169.68</v>
      </c>
      <c r="I598" s="108">
        <f>SUM(I591:I597)</f>
        <v>286172.34999999998</v>
      </c>
      <c r="J598" s="108">
        <f>SUM(J591:J597)</f>
        <v>310797.87</v>
      </c>
      <c r="K598" s="108">
        <f>SUM(K591:K597)</f>
        <v>904139.9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179682.49</v>
      </c>
      <c r="I604" s="18">
        <v>172843.57</v>
      </c>
      <c r="J604" s="18"/>
      <c r="K604" s="104">
        <f>SUM(H604:J604)</f>
        <v>352526.06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179682.49</v>
      </c>
      <c r="I605" s="108">
        <f>SUM(I602:I604)</f>
        <v>172843.57</v>
      </c>
      <c r="J605" s="108">
        <f>SUM(J602:J604)</f>
        <v>0</v>
      </c>
      <c r="K605" s="108">
        <f>SUM(K602:K604)</f>
        <v>352526.06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1504716.27</v>
      </c>
      <c r="H617" s="109">
        <f>SUM(F52)</f>
        <v>1504716.2700000003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121965.66000000002</v>
      </c>
      <c r="H618" s="109">
        <f>SUM(G52)</f>
        <v>121965.65999999999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236117.42</v>
      </c>
      <c r="H619" s="109">
        <f>SUM(H52)</f>
        <v>236117.42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830721.78</v>
      </c>
      <c r="H621" s="109">
        <f>SUM(J52)</f>
        <v>830721.78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1320176.9300000002</v>
      </c>
      <c r="H622" s="109">
        <f>F476</f>
        <v>1320176.9299999997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9708.2999999999993</v>
      </c>
      <c r="H623" s="109">
        <f>G476</f>
        <v>9708.2999999999884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830721.78</v>
      </c>
      <c r="H626" s="109">
        <f>J476</f>
        <v>830721.78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25492045.84</v>
      </c>
      <c r="H627" s="104">
        <f>SUM(F468)</f>
        <v>25492045.84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324998.85000000003</v>
      </c>
      <c r="H628" s="104">
        <f>SUM(G468)</f>
        <v>324998.84999999998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364753.33999999997</v>
      </c>
      <c r="H629" s="104">
        <f>SUM(H468)</f>
        <v>364753.34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137143.38</v>
      </c>
      <c r="H631" s="104">
        <f>SUM(J468)</f>
        <v>137143.38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25338629.649999999</v>
      </c>
      <c r="H632" s="104">
        <f>SUM(F472)</f>
        <v>25338629.649999999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364753.33999999997</v>
      </c>
      <c r="H633" s="104">
        <f>SUM(H472)</f>
        <v>364753.34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158199.56</v>
      </c>
      <c r="H634" s="104">
        <f>I369</f>
        <v>158199.56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334896.57999999996</v>
      </c>
      <c r="H635" s="104">
        <f>SUM(G472)</f>
        <v>334896.58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137143.38</v>
      </c>
      <c r="H637" s="164">
        <f>SUM(J468)</f>
        <v>137143.38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830721.78</v>
      </c>
      <c r="H639" s="104">
        <f>SUM(F461)</f>
        <v>830721.78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830721.78</v>
      </c>
      <c r="H642" s="104">
        <f>SUM(I461)</f>
        <v>830721.78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12143.38</v>
      </c>
      <c r="H644" s="104">
        <f>H408</f>
        <v>12143.38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125000</v>
      </c>
      <c r="H645" s="104">
        <f>G408</f>
        <v>125000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137143.38</v>
      </c>
      <c r="H646" s="104">
        <f>L408</f>
        <v>137143.38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904139.9</v>
      </c>
      <c r="H647" s="104">
        <f>L208+L226+L244</f>
        <v>904139.9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352526.06</v>
      </c>
      <c r="H648" s="104">
        <f>(J257+J338)-(J255+J336)</f>
        <v>352526.06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307169.68</v>
      </c>
      <c r="H649" s="104">
        <f>H598</f>
        <v>307169.68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286172.34999999998</v>
      </c>
      <c r="H650" s="104">
        <f>I598</f>
        <v>286172.34999999998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310797.87</v>
      </c>
      <c r="H651" s="104">
        <f>J598</f>
        <v>310797.87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125000</v>
      </c>
      <c r="H655" s="104">
        <f>K266+K347</f>
        <v>125000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9385198.2876503542</v>
      </c>
      <c r="G660" s="19">
        <f>(L229+L309+L359)</f>
        <v>8445781.7523496449</v>
      </c>
      <c r="H660" s="19">
        <f>(L247+L328+L360)</f>
        <v>7838179.3599999994</v>
      </c>
      <c r="I660" s="19">
        <f>SUM(F660:H660)</f>
        <v>25669159.399999999</v>
      </c>
      <c r="J660" s="13"/>
      <c r="K660" s="13"/>
      <c r="L660" s="13"/>
      <c r="M660" s="9"/>
    </row>
    <row r="661" spans="1:13" s="3" customFormat="1" ht="12.2" customHeight="1" x14ac:dyDescent="0.2">
      <c r="A661" s="1" t="s">
        <v>127</v>
      </c>
      <c r="F661" s="19">
        <f>(L358/IF(SUM(L358:L360)=0,1,SUM(L358:L360))*(SUM(G97:G110)))</f>
        <v>134969.48220446793</v>
      </c>
      <c r="G661" s="19">
        <f>(L359/IF(SUM(L358:L360)=0,1,SUM(L358:L360))*(SUM(G97:G110)))</f>
        <v>117274.0977955321</v>
      </c>
      <c r="H661" s="19">
        <f>(L360/IF(SUM(L358:L360)=0,1,SUM(L358:L360))*(SUM(G97:G110)))</f>
        <v>0</v>
      </c>
      <c r="I661" s="19">
        <f>SUM(F661:H661)</f>
        <v>252243.58000000002</v>
      </c>
      <c r="J661"/>
      <c r="K661" s="13"/>
      <c r="L661" s="13"/>
      <c r="M661" s="9"/>
    </row>
    <row r="662" spans="1:13" s="3" customFormat="1" ht="12.2" customHeight="1" x14ac:dyDescent="0.2">
      <c r="A662" s="1" t="s">
        <v>128</v>
      </c>
      <c r="F662" s="19">
        <f>(L208+L287)-(J208+J287)</f>
        <v>307169.68</v>
      </c>
      <c r="G662" s="19">
        <f>(L226+L306)-(J226+J306)</f>
        <v>286172.34999999998</v>
      </c>
      <c r="H662" s="19">
        <f>(L244+L325)-(J244+J325)</f>
        <v>310797.87</v>
      </c>
      <c r="I662" s="19">
        <f>SUM(F662:H662)</f>
        <v>904139.9</v>
      </c>
      <c r="J662"/>
      <c r="K662" s="13"/>
      <c r="L662" s="13"/>
      <c r="M662" s="8"/>
    </row>
    <row r="663" spans="1:13" s="3" customFormat="1" ht="12.2" customHeight="1" x14ac:dyDescent="0.15">
      <c r="A663" s="198" t="s">
        <v>129</v>
      </c>
      <c r="B663" s="169"/>
      <c r="C663" s="169"/>
      <c r="D663" s="169"/>
      <c r="E663" s="169"/>
      <c r="F663" s="199">
        <f>SUM(F575:F587)+SUM(H602:H604)+SUM(L611)</f>
        <v>285649.77999999997</v>
      </c>
      <c r="G663" s="199">
        <f>SUM(G575:G587)+SUM(I602:I604)+L612</f>
        <v>367221.92000000004</v>
      </c>
      <c r="H663" s="199">
        <f>SUM(H575:H587)+SUM(J602:J604)+L613</f>
        <v>7151633.2300000004</v>
      </c>
      <c r="I663" s="19">
        <f>SUM(F663:H663)</f>
        <v>7804504.9300000006</v>
      </c>
      <c r="J663" s="13"/>
      <c r="K663" s="13"/>
      <c r="L663" s="13"/>
      <c r="M663" s="9"/>
    </row>
    <row r="664" spans="1:13" s="3" customFormat="1" ht="12.2" customHeight="1" x14ac:dyDescent="0.15">
      <c r="A664" s="1" t="s">
        <v>130</v>
      </c>
      <c r="F664" s="19">
        <f>F660-SUM(F661:F663)</f>
        <v>8657409.3454458863</v>
      </c>
      <c r="G664" s="19">
        <f>G660-SUM(G661:G663)</f>
        <v>7675113.3845541123</v>
      </c>
      <c r="H664" s="19">
        <f>H660-SUM(H661:H663)</f>
        <v>375748.25999999885</v>
      </c>
      <c r="I664" s="19">
        <f>I660-SUM(I661:I663)</f>
        <v>16708270.989999998</v>
      </c>
      <c r="J664" s="13"/>
      <c r="K664" s="13"/>
      <c r="L664" s="13"/>
      <c r="M664" s="9"/>
    </row>
    <row r="665" spans="1:13" s="3" customFormat="1" ht="12.2" customHeight="1" x14ac:dyDescent="0.2">
      <c r="A665" s="1" t="s">
        <v>131</v>
      </c>
      <c r="F665" s="246">
        <v>446.61</v>
      </c>
      <c r="G665" s="247">
        <v>384.53</v>
      </c>
      <c r="H665" s="247"/>
      <c r="I665" s="19">
        <f>SUM(F665:H665)</f>
        <v>831.14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19384.72</v>
      </c>
      <c r="G667" s="19">
        <f>ROUND(G664/G665,2)</f>
        <v>19959.73</v>
      </c>
      <c r="H667" s="19" t="e">
        <f>ROUND(H664/H665,2)</f>
        <v>#DIV/0!</v>
      </c>
      <c r="I667" s="19">
        <f>ROUND(I664/I665,2)</f>
        <v>20102.84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-375748.26</v>
      </c>
      <c r="I669" s="19">
        <f>SUM(F669:H669)</f>
        <v>-375748.26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19384.72</v>
      </c>
      <c r="G672" s="19">
        <f>ROUND((G664+G669)/(G665+G670),2)</f>
        <v>19959.73</v>
      </c>
      <c r="H672" s="19" t="e">
        <f>ROUND((H664+H669)/(H665+H670),2)</f>
        <v>#DIV/0!</v>
      </c>
      <c r="I672" s="19">
        <f>ROUND((I664+I669)/(I665+I670),2)</f>
        <v>19650.75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36" sqref="E3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Hampstead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4957566.91</v>
      </c>
      <c r="C9" s="229">
        <f>'DOE25'!G197+'DOE25'!G215+'DOE25'!G233+'DOE25'!G276+'DOE25'!G295+'DOE25'!G314</f>
        <v>2675851.9300000002</v>
      </c>
    </row>
    <row r="10" spans="1:3" x14ac:dyDescent="0.2">
      <c r="A10" t="s">
        <v>775</v>
      </c>
      <c r="B10" s="240">
        <v>4380146.8099999996</v>
      </c>
      <c r="C10" s="240">
        <v>2364188.826494697</v>
      </c>
    </row>
    <row r="11" spans="1:3" x14ac:dyDescent="0.2">
      <c r="A11" t="s">
        <v>776</v>
      </c>
      <c r="B11" s="240">
        <v>219346.95</v>
      </c>
      <c r="C11" s="240">
        <v>118392.74590791423</v>
      </c>
    </row>
    <row r="12" spans="1:3" x14ac:dyDescent="0.2">
      <c r="A12" t="s">
        <v>777</v>
      </c>
      <c r="B12" s="240">
        <f>270770.44+21678.13+56546.42+9078.16</f>
        <v>358073.14999999997</v>
      </c>
      <c r="C12" s="240">
        <v>193270.3575973883</v>
      </c>
    </row>
    <row r="13" spans="1:3" x14ac:dyDescent="0.2">
      <c r="A13" t="str">
        <f>IF(B9=B13,IF(C9=C13,"Check Total OK","Check Total Error"),"Check Total Error")</f>
        <v>Check Total OK</v>
      </c>
      <c r="B13" s="231">
        <f>SUM(B10:B12)</f>
        <v>4957566.91</v>
      </c>
      <c r="C13" s="231">
        <f>SUM(C10:C12)</f>
        <v>2675851.9299999997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2356370.77</v>
      </c>
      <c r="C18" s="229">
        <f>'DOE25'!G198+'DOE25'!G216+'DOE25'!G234+'DOE25'!G277+'DOE25'!G296+'DOE25'!G315</f>
        <v>1235180.4500000002</v>
      </c>
    </row>
    <row r="19" spans="1:3" x14ac:dyDescent="0.2">
      <c r="A19" t="s">
        <v>775</v>
      </c>
      <c r="B19" s="240">
        <v>1159499.8600000001</v>
      </c>
      <c r="C19" s="240">
        <v>607795.50361242041</v>
      </c>
    </row>
    <row r="20" spans="1:3" x14ac:dyDescent="0.2">
      <c r="A20" t="s">
        <v>776</v>
      </c>
      <c r="B20" s="240">
        <v>871977.73</v>
      </c>
      <c r="C20" s="240">
        <v>457079.95475235773</v>
      </c>
    </row>
    <row r="21" spans="1:3" x14ac:dyDescent="0.2">
      <c r="A21" t="s">
        <v>777</v>
      </c>
      <c r="B21" s="240">
        <f>203800+79328.28+41764.9</f>
        <v>324893.18000000005</v>
      </c>
      <c r="C21" s="240">
        <v>170304.99163522176</v>
      </c>
    </row>
    <row r="22" spans="1:3" x14ac:dyDescent="0.2">
      <c r="A22" t="str">
        <f>IF(B18=B22,IF(C18=C22,"Check Total OK","Check Total Error"),"Check Total Error")</f>
        <v>Check Total OK</v>
      </c>
      <c r="B22" s="231">
        <f>SUM(B19:B21)</f>
        <v>2356370.77</v>
      </c>
      <c r="C22" s="231">
        <f>SUM(C19:C21)</f>
        <v>1235180.45</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48403.47</v>
      </c>
      <c r="C36" s="235">
        <f>'DOE25'!G200+'DOE25'!G218+'DOE25'!G236+'DOE25'!G279+'DOE25'!G298+'DOE25'!G317</f>
        <v>26027.78</v>
      </c>
    </row>
    <row r="37" spans="1:3" x14ac:dyDescent="0.2">
      <c r="A37" t="s">
        <v>775</v>
      </c>
      <c r="B37" s="240">
        <v>44603.47</v>
      </c>
      <c r="C37" s="240">
        <v>23984.423108438299</v>
      </c>
    </row>
    <row r="38" spans="1:3" x14ac:dyDescent="0.2">
      <c r="A38" t="s">
        <v>776</v>
      </c>
      <c r="B38" s="240">
        <v>0</v>
      </c>
      <c r="C38" s="240">
        <v>0</v>
      </c>
    </row>
    <row r="39" spans="1:3" x14ac:dyDescent="0.2">
      <c r="A39" t="s">
        <v>777</v>
      </c>
      <c r="B39" s="240">
        <v>3800</v>
      </c>
      <c r="C39" s="240">
        <v>2043.3568915617</v>
      </c>
    </row>
    <row r="40" spans="1:3" x14ac:dyDescent="0.2">
      <c r="A40" t="str">
        <f>IF(B36=B40,IF(C36=C40,"Check Total OK","Check Total Error"),"Check Total Error")</f>
        <v>Check Total OK</v>
      </c>
      <c r="B40" s="231">
        <f>SUM(B37:B39)</f>
        <v>48403.47</v>
      </c>
      <c r="C40" s="231">
        <f>SUM(C37:C39)</f>
        <v>26027.78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workbookViewId="0">
      <pane ySplit="4" topLeftCell="A5" activePane="bottomLeft" state="frozen"/>
      <selection activeCell="F46" sqref="F46"/>
      <selection pane="bottomLeft" activeCell="F28" sqref="F28"/>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Hampstead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19316732.539999999</v>
      </c>
      <c r="D5" s="20">
        <f>SUM('DOE25'!L197:L200)+SUM('DOE25'!L215:L218)+SUM('DOE25'!L233:L236)-F5-G5-H5</f>
        <v>19016128.949999999</v>
      </c>
      <c r="E5" s="243"/>
      <c r="F5" s="244"/>
      <c r="G5" s="53">
        <f>SUM('DOE25'!J197:J200)+SUM('DOE25'!J215:J218)+SUM('DOE25'!J233:J236)</f>
        <v>282744.49</v>
      </c>
      <c r="H5" s="53">
        <f>SUM('DOE25'!K197:K200)+SUM('DOE25'!K215:K218)+SUM('DOE25'!K233:K236)</f>
        <v>17859.099999999999</v>
      </c>
      <c r="I5" s="256"/>
    </row>
    <row r="6" spans="1:9" x14ac:dyDescent="0.2">
      <c r="A6" s="32">
        <v>2100</v>
      </c>
      <c r="B6" t="s">
        <v>796</v>
      </c>
      <c r="C6" s="276">
        <f t="shared" si="0"/>
        <v>1242888.8900000001</v>
      </c>
      <c r="D6" s="20">
        <f>'DOE25'!L202+'DOE25'!L220+'DOE25'!L238-F6-G6-H6</f>
        <v>1241067.7000000002</v>
      </c>
      <c r="E6" s="243"/>
      <c r="F6" s="244"/>
      <c r="G6" s="53">
        <f>'DOE25'!J202+'DOE25'!J220+'DOE25'!J238</f>
        <v>1821.19</v>
      </c>
      <c r="H6" s="53">
        <f>'DOE25'!K202+'DOE25'!K220+'DOE25'!K238</f>
        <v>0</v>
      </c>
      <c r="I6" s="256"/>
    </row>
    <row r="7" spans="1:9" x14ac:dyDescent="0.2">
      <c r="A7" s="32">
        <v>2200</v>
      </c>
      <c r="B7" t="s">
        <v>821</v>
      </c>
      <c r="C7" s="276">
        <f t="shared" si="0"/>
        <v>363611.36</v>
      </c>
      <c r="D7" s="20">
        <f>'DOE25'!L203+'DOE25'!L221+'DOE25'!L239-F7-G7-H7</f>
        <v>346414.62</v>
      </c>
      <c r="E7" s="243"/>
      <c r="F7" s="244"/>
      <c r="G7" s="53">
        <f>'DOE25'!J203+'DOE25'!J221+'DOE25'!J239</f>
        <v>17196.740000000002</v>
      </c>
      <c r="H7" s="53">
        <f>'DOE25'!K203+'DOE25'!K221+'DOE25'!K239</f>
        <v>0</v>
      </c>
      <c r="I7" s="256"/>
    </row>
    <row r="8" spans="1:9" x14ac:dyDescent="0.2">
      <c r="A8" s="32">
        <v>2300</v>
      </c>
      <c r="B8" t="s">
        <v>797</v>
      </c>
      <c r="C8" s="276">
        <f t="shared" si="0"/>
        <v>477812.97189999995</v>
      </c>
      <c r="D8" s="243"/>
      <c r="E8" s="20">
        <f>'DOE25'!L204+'DOE25'!L222+'DOE25'!L240-F8-G8-H8-D9-D11</f>
        <v>465790.91189999995</v>
      </c>
      <c r="F8" s="244"/>
      <c r="G8" s="53">
        <f>'DOE25'!J204+'DOE25'!J222+'DOE25'!J240</f>
        <v>0</v>
      </c>
      <c r="H8" s="53">
        <f>'DOE25'!K204+'DOE25'!K222+'DOE25'!K240</f>
        <v>12022.06</v>
      </c>
      <c r="I8" s="256"/>
    </row>
    <row r="9" spans="1:9" ht="14.25" x14ac:dyDescent="0.2">
      <c r="A9" s="32">
        <v>2310</v>
      </c>
      <c r="B9" s="185" t="s">
        <v>890</v>
      </c>
      <c r="C9" s="276">
        <f t="shared" si="0"/>
        <v>27689.35</v>
      </c>
      <c r="D9" s="244">
        <v>27689.35</v>
      </c>
      <c r="E9" s="243"/>
      <c r="F9" s="253"/>
      <c r="G9" s="253"/>
      <c r="H9" s="253"/>
      <c r="I9" s="256"/>
    </row>
    <row r="10" spans="1:9" ht="14.25" x14ac:dyDescent="0.2">
      <c r="A10" s="32">
        <v>2317</v>
      </c>
      <c r="B10" s="185" t="s">
        <v>891</v>
      </c>
      <c r="C10" s="276">
        <f t="shared" si="0"/>
        <v>12825</v>
      </c>
      <c r="D10" s="243"/>
      <c r="E10" s="244">
        <v>12825</v>
      </c>
      <c r="F10" s="253"/>
      <c r="G10" s="253"/>
      <c r="H10" s="253"/>
      <c r="I10" s="256"/>
    </row>
    <row r="11" spans="1:9" ht="14.25" x14ac:dyDescent="0.2">
      <c r="A11" s="32">
        <v>2321</v>
      </c>
      <c r="B11" s="185" t="s">
        <v>892</v>
      </c>
      <c r="C11" s="276">
        <f t="shared" si="0"/>
        <v>100700.3181</v>
      </c>
      <c r="D11" s="244">
        <f>427602.2*0.2355</f>
        <v>100700.3181</v>
      </c>
      <c r="E11" s="243"/>
      <c r="F11" s="253"/>
      <c r="G11" s="253"/>
      <c r="H11" s="253"/>
      <c r="I11" s="256"/>
    </row>
    <row r="12" spans="1:9" x14ac:dyDescent="0.2">
      <c r="A12" s="32">
        <v>2400</v>
      </c>
      <c r="B12" t="s">
        <v>711</v>
      </c>
      <c r="C12" s="276">
        <f t="shared" si="0"/>
        <v>1016808.1499999999</v>
      </c>
      <c r="D12" s="20">
        <f>'DOE25'!L205+'DOE25'!L223+'DOE25'!L241-F12-G12-H12</f>
        <v>1005731.71</v>
      </c>
      <c r="E12" s="243"/>
      <c r="F12" s="244"/>
      <c r="G12" s="53">
        <f>'DOE25'!J205+'DOE25'!J223+'DOE25'!J241</f>
        <v>5429.3600000000006</v>
      </c>
      <c r="H12" s="53">
        <f>'DOE25'!K205+'DOE25'!K223+'DOE25'!K241</f>
        <v>5647.08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1501806.5</v>
      </c>
      <c r="D14" s="20">
        <f>'DOE25'!L207+'DOE25'!L225+'DOE25'!L243-F14-G14-H14</f>
        <v>1473239.24</v>
      </c>
      <c r="E14" s="243"/>
      <c r="F14" s="244"/>
      <c r="G14" s="53">
        <f>'DOE25'!J207+'DOE25'!J225+'DOE25'!J243</f>
        <v>22382.65</v>
      </c>
      <c r="H14" s="53">
        <f>'DOE25'!K207+'DOE25'!K225+'DOE25'!K243</f>
        <v>6184.61</v>
      </c>
      <c r="I14" s="256"/>
    </row>
    <row r="15" spans="1:9" x14ac:dyDescent="0.2">
      <c r="A15" s="32">
        <v>2700</v>
      </c>
      <c r="B15" t="s">
        <v>799</v>
      </c>
      <c r="C15" s="276">
        <f t="shared" si="0"/>
        <v>904139.9</v>
      </c>
      <c r="D15" s="20">
        <f>'DOE25'!L208+'DOE25'!L226+'DOE25'!L244-F15-G15-H15</f>
        <v>904139.9</v>
      </c>
      <c r="E15" s="243"/>
      <c r="F15" s="244"/>
      <c r="G15" s="53">
        <f>'DOE25'!J208+'DOE25'!J226+'DOE25'!J244</f>
        <v>0</v>
      </c>
      <c r="H15" s="53">
        <f>'DOE25'!K208+'DOE25'!K226+'DOE25'!K244</f>
        <v>0</v>
      </c>
      <c r="I15" s="256"/>
    </row>
    <row r="16" spans="1:9" x14ac:dyDescent="0.2">
      <c r="A16" s="32">
        <v>2800</v>
      </c>
      <c r="B16" t="s">
        <v>800</v>
      </c>
      <c r="C16" s="276">
        <f t="shared" si="0"/>
        <v>17319.5</v>
      </c>
      <c r="D16" s="243"/>
      <c r="E16" s="20">
        <f>'DOE25'!L209+'DOE25'!L227+'DOE25'!L245-F16-G16-H16</f>
        <v>17319.5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14979.1</v>
      </c>
      <c r="D19" s="20">
        <f>'DOE25'!L253-F19-G19-H19</f>
        <v>14979.1</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229141.07</v>
      </c>
      <c r="D22" s="243"/>
      <c r="E22" s="243"/>
      <c r="F22" s="243"/>
      <c r="G22" s="53">
        <f>'DOE25'!L255+'DOE25'!L336</f>
        <v>229141.07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201365.01999999996</v>
      </c>
      <c r="D29" s="284">
        <f>'DOE25'!L358+'DOE25'!L359+'DOE25'!L360-'DOE25'!I367-F29-G29-H29</f>
        <v>182006.01999999996</v>
      </c>
      <c r="E29" s="243"/>
      <c r="F29" s="244"/>
      <c r="G29" s="53">
        <f>'DOE25'!J358+'DOE25'!J359+'DOE25'!J360</f>
        <v>0</v>
      </c>
      <c r="H29" s="53">
        <f>'DOE25'!K358+'DOE25'!K359+'DOE25'!K360</f>
        <v>19359</v>
      </c>
      <c r="I29" s="256"/>
    </row>
    <row r="30" spans="1:9" x14ac:dyDescent="0.2">
      <c r="A30" s="32"/>
      <c r="C30" s="277"/>
      <c r="D30" s="20"/>
      <c r="E30" s="281"/>
      <c r="F30" s="271"/>
      <c r="G30" s="53"/>
      <c r="H30" s="53"/>
      <c r="I30" s="256"/>
    </row>
    <row r="31" spans="1:9" x14ac:dyDescent="0.2">
      <c r="A31" s="32" t="s">
        <v>818</v>
      </c>
      <c r="B31" t="s">
        <v>817</v>
      </c>
      <c r="C31" s="276">
        <f>SUM(D31:I31)</f>
        <v>364753.33999999997</v>
      </c>
      <c r="D31" s="20">
        <f>'DOE25'!L290+'DOE25'!L309+'DOE25'!L328+'DOE25'!L333+'DOE25'!L334+'DOE25'!L335-F31-G31-H31</f>
        <v>341801.70999999996</v>
      </c>
      <c r="E31" s="243"/>
      <c r="F31" s="244"/>
      <c r="G31" s="53">
        <f>'DOE25'!J290+'DOE25'!J309+'DOE25'!J328+'DOE25'!J333+'DOE25'!J334+'DOE25'!J335</f>
        <v>22951.630000000005</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24653898.618100002</v>
      </c>
      <c r="E33" s="245">
        <f t="shared" si="1"/>
        <v>495935.41189999995</v>
      </c>
      <c r="F33" s="245">
        <f t="shared" si="1"/>
        <v>0</v>
      </c>
      <c r="G33" s="245">
        <f t="shared" si="1"/>
        <v>581667.13</v>
      </c>
      <c r="H33" s="245">
        <f t="shared" si="1"/>
        <v>61071.85</v>
      </c>
      <c r="I33" s="245">
        <f t="shared" si="1"/>
        <v>0</v>
      </c>
    </row>
    <row r="35" spans="1:9" ht="12" thickBot="1" x14ac:dyDescent="0.25">
      <c r="B35" s="251" t="s">
        <v>831</v>
      </c>
      <c r="D35" s="252">
        <f>E33</f>
        <v>495935.41189999995</v>
      </c>
      <c r="E35" s="248"/>
    </row>
    <row r="36" spans="1:9" ht="12" thickTop="1" x14ac:dyDescent="0.2">
      <c r="B36" t="s">
        <v>810</v>
      </c>
      <c r="D36" s="20">
        <f>D33</f>
        <v>24653898.618100002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28" sqref="H2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Hampstead School District</v>
      </c>
      <c r="B2" s="126">
        <f>'DOE25'!B2</f>
        <v>223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9206003.1699999999</v>
      </c>
      <c r="G4" s="303">
        <f>'DOE25'!L211+'DOE25'!L290</f>
        <v>9206003.1699999981</v>
      </c>
      <c r="H4" s="304">
        <f>F4-G4</f>
        <v>0</v>
      </c>
      <c r="I4" s="310" t="str">
        <f>IF(H4=0,"","Does not match DOE25 page 7 and 11 Totals!!")</f>
        <v/>
      </c>
      <c r="N4"/>
    </row>
    <row r="5" spans="1:18" x14ac:dyDescent="0.2">
      <c r="A5" s="21" t="s">
        <v>1104</v>
      </c>
      <c r="B5" s="305">
        <f>IFERROR(VLOOKUP(A5,'School Tables'!$C$3:$D$368,2,FALSE),"")</f>
        <v>22755</v>
      </c>
      <c r="C5" s="297" t="str">
        <f>IFERROR(INDEX('School Tables'!$B$3:$B$368,MATCH('School Level Expenditures'!B5,'School Tables'!$D$3:$D$368,0)),"")</f>
        <v>Hampstead</v>
      </c>
      <c r="D5" s="294">
        <v>9009998.5399999991</v>
      </c>
      <c r="E5" s="294">
        <v>196004.63</v>
      </c>
      <c r="F5" s="313">
        <f>D5+E5</f>
        <v>9206003.1699999999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8290080.29</v>
      </c>
      <c r="G24" s="303">
        <f>'DOE25'!L229+'DOE25'!L309</f>
        <v>8290080.290000001</v>
      </c>
      <c r="H24" s="304">
        <f>F24-G24</f>
        <v>0</v>
      </c>
      <c r="I24" s="310" t="str">
        <f>IF(H24=0,"","Does not match DOE25 page 8 and 12 Totals!!")</f>
        <v/>
      </c>
      <c r="N24"/>
    </row>
    <row r="25" spans="1:14" x14ac:dyDescent="0.2">
      <c r="A25" s="21" t="s">
        <v>1103</v>
      </c>
      <c r="B25" s="305">
        <f>IFERROR(VLOOKUP(A25,'School Tables'!$I$3:$J$80,2,FALSE),"")</f>
        <v>22750</v>
      </c>
      <c r="C25" s="297" t="str">
        <f t="array" ref="C25">IFERROR(INDEX('School Tables'!$H$3:$H$80,MATCH('School Level Expenditures'!B25,'School Tables'!$J$3:$J$80,0)),"")</f>
        <v>Hampstead</v>
      </c>
      <c r="D25" s="294">
        <v>8121331.5800000001</v>
      </c>
      <c r="E25" s="294">
        <v>168748.71</v>
      </c>
      <c r="F25" s="308">
        <f>D25+E25</f>
        <v>8290080.29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7838179.3600000003</v>
      </c>
      <c r="G36" s="303">
        <f>'DOE25'!L247+'DOE25'!L328</f>
        <v>7838179.3599999994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7838179.3600000003</v>
      </c>
      <c r="E37" s="294">
        <v>0</v>
      </c>
      <c r="F37" s="308">
        <f t="shared" ref="F37:F42" si="2">D37+E37</f>
        <v>7838179.3600000003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si="2"/>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72" activePane="bottomLeft" state="frozen"/>
      <selection activeCell="F46" sqref="F46"/>
      <selection pane="bottomLeft" activeCell="E93" sqref="E9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Hampstead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1069671.95</v>
      </c>
      <c r="D8" s="95">
        <f>'DOE25'!G9</f>
        <v>92559.66</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386305.26</v>
      </c>
      <c r="D11" s="95">
        <f>'DOE25'!G12</f>
        <v>0</v>
      </c>
      <c r="E11" s="95">
        <f>'DOE25'!H12</f>
        <v>0</v>
      </c>
      <c r="F11" s="95">
        <f>'DOE25'!I12</f>
        <v>0</v>
      </c>
      <c r="G11" s="95">
        <f>'DOE25'!J12</f>
        <v>0</v>
      </c>
      <c r="H11" s="124"/>
      <c r="I11" s="124"/>
    </row>
    <row r="12" spans="1:9" x14ac:dyDescent="0.2">
      <c r="A12" s="1" t="s">
        <v>143</v>
      </c>
      <c r="B12" s="6">
        <v>140</v>
      </c>
      <c r="C12" s="95">
        <f>'DOE25'!F13</f>
        <v>41482.53</v>
      </c>
      <c r="D12" s="95">
        <f>'DOE25'!G13</f>
        <v>10824.88</v>
      </c>
      <c r="E12" s="95">
        <f>'DOE25'!H13</f>
        <v>236117.42</v>
      </c>
      <c r="F12" s="95">
        <f>'DOE25'!I13</f>
        <v>0</v>
      </c>
      <c r="G12" s="95">
        <f>'DOE25'!J13</f>
        <v>830721.78</v>
      </c>
      <c r="H12" s="124"/>
      <c r="I12" s="124"/>
    </row>
    <row r="13" spans="1:9" x14ac:dyDescent="0.2">
      <c r="A13" s="1" t="s">
        <v>144</v>
      </c>
      <c r="B13" s="6">
        <v>150</v>
      </c>
      <c r="C13" s="95">
        <f>'DOE25'!F14</f>
        <v>7256.53</v>
      </c>
      <c r="D13" s="95">
        <f>'DOE25'!G14</f>
        <v>5166.8500000000004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13414.27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1504716.27</v>
      </c>
      <c r="D18" s="41">
        <f>SUM(D8:D17)</f>
        <v>121965.66000000002</v>
      </c>
      <c r="E18" s="41">
        <f>SUM(E8:E17)</f>
        <v>236117.42</v>
      </c>
      <c r="F18" s="41">
        <f>SUM(F8:F17)</f>
        <v>0</v>
      </c>
      <c r="G18" s="41">
        <f>SUM(G8:G17)</f>
        <v>830721.78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81856.320000000007</v>
      </c>
      <c r="D21" s="95">
        <f>'DOE25'!G22</f>
        <v>82130.679999999993</v>
      </c>
      <c r="E21" s="95">
        <f>'DOE25'!H22</f>
        <v>222318.26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44195.519999999997</v>
      </c>
      <c r="D23" s="95">
        <f>'DOE25'!G24</f>
        <v>23735.9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58487.5</v>
      </c>
      <c r="D28" s="95">
        <f>'DOE25'!G29</f>
        <v>0</v>
      </c>
      <c r="E28" s="95">
        <f>'DOE25'!H29</f>
        <v>0</v>
      </c>
      <c r="F28" s="95">
        <f>'DOE25'!I29</f>
        <v>0</v>
      </c>
      <c r="G28" s="24" t="s">
        <v>288</v>
      </c>
      <c r="H28" s="124"/>
      <c r="I28" s="124"/>
    </row>
    <row r="29" spans="1:9" x14ac:dyDescent="0.2">
      <c r="A29" s="1" t="s">
        <v>158</v>
      </c>
      <c r="B29" s="6">
        <v>480</v>
      </c>
      <c r="C29" s="95">
        <f>'DOE25'!F30</f>
        <v>0</v>
      </c>
      <c r="D29" s="95">
        <f>'DOE25'!G30</f>
        <v>6390.78</v>
      </c>
      <c r="E29" s="95">
        <f>'DOE25'!H30</f>
        <v>13799.16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184539.34</v>
      </c>
      <c r="D31" s="41">
        <f>SUM(D21:D30)</f>
        <v>112257.35999999999</v>
      </c>
      <c r="E31" s="41">
        <f>SUM(E21:E30)</f>
        <v>236117.42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33115.64</v>
      </c>
      <c r="D34" s="95">
        <f>'DOE25'!G35</f>
        <v>9708.2999999999993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830721.78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712061.29</v>
      </c>
      <c r="D49" s="24" t="s">
        <v>288</v>
      </c>
      <c r="E49" s="24" t="s">
        <v>288</v>
      </c>
      <c r="F49" s="24" t="s">
        <v>288</v>
      </c>
      <c r="G49" s="24" t="s">
        <v>288</v>
      </c>
      <c r="H49" s="124"/>
      <c r="I49" s="124"/>
    </row>
    <row r="50" spans="1:9" ht="12.75" thickTop="1" thickBot="1" x14ac:dyDescent="0.25">
      <c r="A50" s="38" t="s">
        <v>884</v>
      </c>
      <c r="B50" s="48"/>
      <c r="C50" s="41">
        <f>SUM(C34:C49)</f>
        <v>1320176.9300000002</v>
      </c>
      <c r="D50" s="41">
        <f>SUM(D34:D49)</f>
        <v>9708.2999999999993</v>
      </c>
      <c r="E50" s="41">
        <f>SUM(E34:E49)</f>
        <v>0</v>
      </c>
      <c r="F50" s="41">
        <f>SUM(F34:F49)</f>
        <v>0</v>
      </c>
      <c r="G50" s="41">
        <f>SUM(G34:G49)</f>
        <v>830721.78</v>
      </c>
      <c r="H50" s="124"/>
      <c r="I50" s="124"/>
    </row>
    <row r="51" spans="1:9" ht="12" thickTop="1" x14ac:dyDescent="0.2">
      <c r="A51" s="38" t="s">
        <v>885</v>
      </c>
      <c r="B51" s="2"/>
      <c r="C51" s="41">
        <f>C50+C31</f>
        <v>1504716.2700000003</v>
      </c>
      <c r="D51" s="41">
        <f>D50+D31</f>
        <v>121965.65999999999</v>
      </c>
      <c r="E51" s="41">
        <f>E50+E31</f>
        <v>236117.42</v>
      </c>
      <c r="F51" s="41">
        <f>F50+F31</f>
        <v>0</v>
      </c>
      <c r="G51" s="41">
        <f>G50+G31</f>
        <v>830721.78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19656200</v>
      </c>
      <c r="D56" s="95">
        <f>'DOE25'!G60</f>
        <v>0</v>
      </c>
      <c r="E56" s="95">
        <f>'DOE25'!H60</f>
        <v>0</v>
      </c>
      <c r="F56" s="95">
        <f>'DOE25'!I60</f>
        <v>0</v>
      </c>
      <c r="G56" s="95">
        <f>'DOE25'!J60</f>
        <v>0</v>
      </c>
      <c r="H56"/>
      <c r="I56"/>
    </row>
    <row r="57" spans="1:9" x14ac:dyDescent="0.2">
      <c r="A57" s="1" t="s">
        <v>164</v>
      </c>
      <c r="B57" s="6" t="s">
        <v>165</v>
      </c>
      <c r="C57" s="95">
        <f>'DOE25'!F79</f>
        <v>198386.12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6386.96</v>
      </c>
      <c r="D59" s="95">
        <f>'DOE25'!G96</f>
        <v>0</v>
      </c>
      <c r="E59" s="95">
        <f>'DOE25'!H96</f>
        <v>0</v>
      </c>
      <c r="F59" s="95">
        <f>'DOE25'!I96</f>
        <v>0</v>
      </c>
      <c r="G59" s="95">
        <f>'DOE25'!J96</f>
        <v>12143.38</v>
      </c>
      <c r="H59"/>
      <c r="I59"/>
    </row>
    <row r="60" spans="1:9" x14ac:dyDescent="0.2">
      <c r="A60" s="1" t="s">
        <v>170</v>
      </c>
      <c r="B60" s="118" t="s">
        <v>171</v>
      </c>
      <c r="C60" s="24" t="s">
        <v>288</v>
      </c>
      <c r="D60" s="95">
        <f>'DOE25'!G97</f>
        <v>252243.58000000002</v>
      </c>
      <c r="E60" s="24" t="s">
        <v>288</v>
      </c>
      <c r="F60" s="24" t="s">
        <v>288</v>
      </c>
      <c r="G60" s="24" t="s">
        <v>288</v>
      </c>
      <c r="H60"/>
      <c r="I60"/>
    </row>
    <row r="61" spans="1:9" ht="12" thickBot="1" x14ac:dyDescent="0.25">
      <c r="A61" s="1" t="s">
        <v>172</v>
      </c>
      <c r="B61" s="118" t="s">
        <v>173</v>
      </c>
      <c r="C61" s="95">
        <f>SUM('DOE25'!F98:F110)</f>
        <v>1752.92</v>
      </c>
      <c r="D61" s="95">
        <f>SUM('DOE25'!G98:G110)</f>
        <v>0</v>
      </c>
      <c r="E61" s="95">
        <f>SUM('DOE25'!H98:H110)</f>
        <v>532.5</v>
      </c>
      <c r="F61" s="95">
        <f>SUM('DOE25'!I98:I110)</f>
        <v>0</v>
      </c>
      <c r="G61" s="95">
        <f>SUM('DOE25'!J98:J110)</f>
        <v>0</v>
      </c>
      <c r="H61"/>
      <c r="I61"/>
    </row>
    <row r="62" spans="1:9" ht="12.75" thickTop="1" thickBot="1" x14ac:dyDescent="0.25">
      <c r="A62" s="29" t="s">
        <v>174</v>
      </c>
      <c r="B62" s="6"/>
      <c r="C62" s="130">
        <f>SUM(C57:C61)</f>
        <v>206526</v>
      </c>
      <c r="D62" s="130">
        <f>SUM(D57:D61)</f>
        <v>252243.58000000002</v>
      </c>
      <c r="E62" s="130">
        <f>SUM(E57:E61)</f>
        <v>532.5</v>
      </c>
      <c r="F62" s="130">
        <f>SUM(F57:F61)</f>
        <v>0</v>
      </c>
      <c r="G62" s="130">
        <f>SUM(G57:G61)</f>
        <v>12143.38</v>
      </c>
      <c r="H62"/>
      <c r="I62"/>
    </row>
    <row r="63" spans="1:9" ht="12" thickTop="1" x14ac:dyDescent="0.2">
      <c r="A63" s="29" t="s">
        <v>175</v>
      </c>
      <c r="B63" s="6"/>
      <c r="C63" s="22">
        <f>C56+C62</f>
        <v>19862726</v>
      </c>
      <c r="D63" s="22">
        <f>D56+D62</f>
        <v>252243.58000000002</v>
      </c>
      <c r="E63" s="22">
        <f>E56+E62</f>
        <v>532.5</v>
      </c>
      <c r="F63" s="22">
        <f>F56+F62</f>
        <v>0</v>
      </c>
      <c r="G63" s="22">
        <f>G56+G62</f>
        <v>12143.38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2742425.53</v>
      </c>
      <c r="D66" s="24" t="s">
        <v>288</v>
      </c>
      <c r="E66" s="24" t="s">
        <v>288</v>
      </c>
      <c r="F66" s="24" t="s">
        <v>288</v>
      </c>
      <c r="G66" s="24" t="s">
        <v>288</v>
      </c>
      <c r="H66"/>
      <c r="I66"/>
    </row>
    <row r="67" spans="1:9" x14ac:dyDescent="0.2">
      <c r="A67" s="1" t="s">
        <v>770</v>
      </c>
      <c r="B67" s="6">
        <v>3112</v>
      </c>
      <c r="C67" s="95">
        <f>'DOE25'!F118</f>
        <v>2476994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5219419.5299999993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58244.89</v>
      </c>
      <c r="D74" s="24"/>
      <c r="E74" s="24"/>
      <c r="F74" s="24"/>
      <c r="G74" s="24"/>
      <c r="H74"/>
      <c r="I74"/>
    </row>
    <row r="75" spans="1:9" x14ac:dyDescent="0.2">
      <c r="A75" s="1" t="s">
        <v>256</v>
      </c>
      <c r="B75" s="6">
        <v>3230</v>
      </c>
      <c r="C75" s="95">
        <f>'DOE25'!F126</f>
        <v>249103.43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1400</v>
      </c>
      <c r="D77" s="95">
        <f>SUM('DOE25'!G131:G135)</f>
        <v>3518.66</v>
      </c>
      <c r="E77" s="95">
        <f>SUM('DOE25'!H131:H135)</f>
        <v>0</v>
      </c>
      <c r="F77" s="95">
        <f>SUM('DOE25'!I131:I135)</f>
        <v>0</v>
      </c>
      <c r="G77" s="95">
        <f>SUM('DOE25'!J131:J135)</f>
        <v>0</v>
      </c>
      <c r="H77"/>
      <c r="I77"/>
    </row>
    <row r="78" spans="1:9" ht="12.75" thickTop="1" thickBot="1" x14ac:dyDescent="0.25">
      <c r="A78" s="29" t="s">
        <v>259</v>
      </c>
      <c r="B78" s="6"/>
      <c r="C78" s="130">
        <f>SUM(C72:C77)</f>
        <v>308748.32</v>
      </c>
      <c r="D78" s="130">
        <f>SUM(D72:D77)</f>
        <v>3518.66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5528167.8499999996</v>
      </c>
      <c r="D81" s="130">
        <f>SUM(D79:D80)+D78+D70</f>
        <v>3518.66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36443.269999999997</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64708.72</v>
      </c>
      <c r="D88" s="95">
        <f>SUM('DOE25'!G153:G161)</f>
        <v>69236.61</v>
      </c>
      <c r="E88" s="95">
        <f>SUM('DOE25'!H153:H161)</f>
        <v>364220.83999999997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101151.98999999999</v>
      </c>
      <c r="D91" s="131">
        <f>SUM(D85:D90)</f>
        <v>69236.61</v>
      </c>
      <c r="E91" s="131">
        <f>SUM(E85:E90)</f>
        <v>364220.83999999997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125000</v>
      </c>
    </row>
    <row r="104" spans="1:7" ht="12.75" thickTop="1" thickBot="1" x14ac:dyDescent="0.25">
      <c r="A104" s="33" t="s">
        <v>761</v>
      </c>
      <c r="C104" s="86">
        <f>C63+C81+C91+C103</f>
        <v>25492045.84</v>
      </c>
      <c r="D104" s="86">
        <f>D63+D81+D91+D103</f>
        <v>324998.85000000003</v>
      </c>
      <c r="E104" s="86">
        <f>E63+E81+E91+E103</f>
        <v>364753.33999999997</v>
      </c>
      <c r="F104" s="86">
        <f>F63+F81+F91+F103</f>
        <v>0</v>
      </c>
      <c r="G104" s="86">
        <f>G63+G81+G103</f>
        <v>137143.38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13660279.799999999</v>
      </c>
      <c r="D109" s="24" t="s">
        <v>288</v>
      </c>
      <c r="E109" s="95">
        <f>('DOE25'!L276)+('DOE25'!L295)+('DOE25'!L314)</f>
        <v>44750.53</v>
      </c>
      <c r="F109" s="24" t="s">
        <v>288</v>
      </c>
      <c r="G109" s="24" t="s">
        <v>288</v>
      </c>
    </row>
    <row r="110" spans="1:7" x14ac:dyDescent="0.2">
      <c r="A110" t="s">
        <v>198</v>
      </c>
      <c r="B110" s="32" t="s">
        <v>199</v>
      </c>
      <c r="C110" s="95">
        <f>('DOE25'!L198)+('DOE25'!L216)+('DOE25'!L234)</f>
        <v>5563877.25</v>
      </c>
      <c r="D110" s="24" t="s">
        <v>288</v>
      </c>
      <c r="E110" s="95">
        <f>('DOE25'!L277)+('DOE25'!L296)+('DOE25'!L315)</f>
        <v>214269.89999999997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92575.49</v>
      </c>
      <c r="D112" s="24" t="s">
        <v>288</v>
      </c>
      <c r="E112" s="95">
        <f>+('DOE25'!L279)+('DOE25'!L298)+('DOE25'!L317)</f>
        <v>532.5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14979.1</v>
      </c>
      <c r="D114" s="24" t="s">
        <v>288</v>
      </c>
      <c r="E114" s="95">
        <f>+ SUM('DOE25'!L333:L335)</f>
        <v>0</v>
      </c>
      <c r="F114" s="24" t="s">
        <v>288</v>
      </c>
      <c r="G114" s="24" t="s">
        <v>288</v>
      </c>
    </row>
    <row r="115" spans="1:7" ht="12.75" thickTop="1" thickBot="1" x14ac:dyDescent="0.25">
      <c r="A115" s="33" t="s">
        <v>205</v>
      </c>
      <c r="C115" s="86">
        <f>SUM(C109:C114)</f>
        <v>19331711.639999997</v>
      </c>
      <c r="D115" s="86">
        <f>SUM(D109:D114)</f>
        <v>0</v>
      </c>
      <c r="E115" s="86">
        <f>SUM(E109:E114)</f>
        <v>259552.92999999996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1242888.8900000001</v>
      </c>
      <c r="D118" s="24" t="s">
        <v>288</v>
      </c>
      <c r="E118" s="95">
        <f>+('DOE25'!L281)+('DOE25'!L300)+('DOE25'!L319)</f>
        <v>79486.19</v>
      </c>
      <c r="F118" s="24" t="s">
        <v>288</v>
      </c>
      <c r="G118" s="24" t="s">
        <v>288</v>
      </c>
    </row>
    <row r="119" spans="1:7" x14ac:dyDescent="0.2">
      <c r="A119" t="s">
        <v>208</v>
      </c>
      <c r="B119" s="32" t="s">
        <v>209</v>
      </c>
      <c r="C119" s="95">
        <f>('DOE25'!L203)+('DOE25'!L221)+('DOE25'!L239)</f>
        <v>363611.36</v>
      </c>
      <c r="D119" s="24" t="s">
        <v>288</v>
      </c>
      <c r="E119" s="95">
        <f>+('DOE25'!L282)+('DOE25'!L301)+('DOE25'!L320)</f>
        <v>25714.219999999998</v>
      </c>
      <c r="F119" s="24" t="s">
        <v>288</v>
      </c>
      <c r="G119" s="24" t="s">
        <v>288</v>
      </c>
    </row>
    <row r="120" spans="1:7" x14ac:dyDescent="0.2">
      <c r="A120" t="s">
        <v>210</v>
      </c>
      <c r="B120" s="32" t="s">
        <v>211</v>
      </c>
      <c r="C120" s="95">
        <f>('DOE25'!L204)+('DOE25'!L222)+('DOE25'!L240)</f>
        <v>606202.64</v>
      </c>
      <c r="D120" s="24" t="s">
        <v>288</v>
      </c>
      <c r="E120" s="95">
        <f>+('DOE25'!L283)+('DOE25'!L302)+('DOE25'!L321)</f>
        <v>0</v>
      </c>
      <c r="F120" s="24" t="s">
        <v>288</v>
      </c>
      <c r="G120" s="24" t="s">
        <v>288</v>
      </c>
    </row>
    <row r="121" spans="1:7" x14ac:dyDescent="0.2">
      <c r="A121" t="s">
        <v>212</v>
      </c>
      <c r="B121" s="32" t="s">
        <v>213</v>
      </c>
      <c r="C121" s="95">
        <f>('DOE25'!L205)+('DOE25'!L223)+('DOE25'!L241)</f>
        <v>1016808.1499999999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1501806.5</v>
      </c>
      <c r="D123" s="24" t="s">
        <v>288</v>
      </c>
      <c r="E123" s="95">
        <f>+('DOE25'!L286)+('DOE25'!L305)+('DOE25'!L324)</f>
        <v>0</v>
      </c>
      <c r="F123" s="24" t="s">
        <v>288</v>
      </c>
      <c r="G123" s="24" t="s">
        <v>288</v>
      </c>
    </row>
    <row r="124" spans="1:7" x14ac:dyDescent="0.2">
      <c r="A124" t="s">
        <v>218</v>
      </c>
      <c r="B124" s="32" t="s">
        <v>219</v>
      </c>
      <c r="C124" s="95">
        <f>('DOE25'!L208)+('DOE25'!L226)+('DOE25'!L244+'DOE25'!L254)</f>
        <v>904139.9</v>
      </c>
      <c r="D124" s="24" t="s">
        <v>288</v>
      </c>
      <c r="E124" s="95">
        <f>+('DOE25'!L287)+('DOE25'!L306)+('DOE25'!L325)</f>
        <v>0</v>
      </c>
      <c r="F124" s="24" t="s">
        <v>288</v>
      </c>
      <c r="G124" s="24" t="s">
        <v>288</v>
      </c>
    </row>
    <row r="125" spans="1:7" x14ac:dyDescent="0.2">
      <c r="A125" t="s">
        <v>220</v>
      </c>
      <c r="B125" s="32" t="s">
        <v>221</v>
      </c>
      <c r="C125" s="95">
        <f>('DOE25'!L209)+('DOE25'!L227)+('DOE25'!L245)</f>
        <v>17319.5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334896.57999999996</v>
      </c>
      <c r="E127" s="24" t="s">
        <v>288</v>
      </c>
      <c r="F127" s="24" t="s">
        <v>288</v>
      </c>
      <c r="G127" s="24" t="s">
        <v>288</v>
      </c>
    </row>
    <row r="128" spans="1:7" ht="12.75" thickTop="1" thickBot="1" x14ac:dyDescent="0.25">
      <c r="A128" s="33" t="s">
        <v>226</v>
      </c>
      <c r="C128" s="86">
        <f>SUM(C118:C127)</f>
        <v>5652776.9400000004</v>
      </c>
      <c r="D128" s="86">
        <f>SUM(D118:D127)</f>
        <v>334896.57999999996</v>
      </c>
      <c r="E128" s="86">
        <f>SUM(E118:E127)</f>
        <v>105200.41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229141.07</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137143.38</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-12143.380000000005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354141.07</v>
      </c>
      <c r="D144" s="141">
        <f>SUM(D130:D143)</f>
        <v>0</v>
      </c>
      <c r="E144" s="141">
        <f>SUM(E130:E143)</f>
        <v>0</v>
      </c>
      <c r="F144" s="141">
        <f>SUM(F130:F143)</f>
        <v>0</v>
      </c>
      <c r="G144" s="141">
        <f>SUM(G130:G143)</f>
        <v>0</v>
      </c>
    </row>
    <row r="145" spans="1:9" ht="12.75" thickTop="1" thickBot="1" x14ac:dyDescent="0.25">
      <c r="A145" s="33" t="s">
        <v>244</v>
      </c>
      <c r="C145" s="86">
        <f>(C115+C128+C144)</f>
        <v>25338629.649999999</v>
      </c>
      <c r="D145" s="86">
        <f>(D115+D128+D144)</f>
        <v>334896.57999999996</v>
      </c>
      <c r="E145" s="86">
        <f>(E115+E128+E144)</f>
        <v>364753.33999999997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Hampstead School District</v>
      </c>
    </row>
    <row r="3" spans="1:4" x14ac:dyDescent="0.2">
      <c r="B3" s="188" t="s">
        <v>1602</v>
      </c>
    </row>
    <row r="4" spans="1:4" x14ac:dyDescent="0.2">
      <c r="B4" t="s">
        <v>61</v>
      </c>
      <c r="C4" s="179">
        <f>IF('DOE25'!F665+'DOE25'!F670=0,0,ROUND('DOE25'!F672,0))</f>
        <v>19385</v>
      </c>
    </row>
    <row r="5" spans="1:4" x14ac:dyDescent="0.2">
      <c r="B5" t="s">
        <v>700</v>
      </c>
      <c r="C5" s="179">
        <f>IF('DOE25'!G665+'DOE25'!G670=0,0,ROUND('DOE25'!G672,0))</f>
        <v>19960</v>
      </c>
    </row>
    <row r="6" spans="1:4" x14ac:dyDescent="0.2">
      <c r="B6" t="s">
        <v>62</v>
      </c>
      <c r="C6" s="179">
        <f>IF('DOE25'!H665+'DOE25'!H670=0,0,ROUND('DOE25'!H672,0))</f>
        <v>0</v>
      </c>
    </row>
    <row r="7" spans="1:4" x14ac:dyDescent="0.2">
      <c r="B7" t="s">
        <v>701</v>
      </c>
      <c r="C7" s="179">
        <f>IF('DOE25'!I665+'DOE25'!I670=0,0,ROUND('DOE25'!I672,0))</f>
        <v>19651</v>
      </c>
    </row>
    <row r="9" spans="1:4" x14ac:dyDescent="0.2">
      <c r="A9" s="187" t="s">
        <v>94</v>
      </c>
      <c r="B9" s="188" t="s">
        <v>1603</v>
      </c>
      <c r="C9" s="181" t="s">
        <v>720</v>
      </c>
      <c r="D9" s="181" t="s">
        <v>721</v>
      </c>
    </row>
    <row r="10" spans="1:4" x14ac:dyDescent="0.2">
      <c r="A10">
        <v>1100</v>
      </c>
      <c r="B10" t="s">
        <v>702</v>
      </c>
      <c r="C10" s="179">
        <f>ROUND('DOE25'!L197+'DOE25'!L215+'DOE25'!L233+'DOE25'!L276+'DOE25'!L295+'DOE25'!L314,0)</f>
        <v>13705030</v>
      </c>
      <c r="D10" s="182">
        <f>ROUND((C10/$C$28)*100,1)</f>
        <v>53.9</v>
      </c>
    </row>
    <row r="11" spans="1:4" x14ac:dyDescent="0.2">
      <c r="A11">
        <v>1200</v>
      </c>
      <c r="B11" t="s">
        <v>703</v>
      </c>
      <c r="C11" s="179">
        <f>ROUND('DOE25'!L198+'DOE25'!L216+'DOE25'!L234+'DOE25'!L277+'DOE25'!L296+'DOE25'!L315,0)</f>
        <v>5778147</v>
      </c>
      <c r="D11" s="182">
        <f>ROUND((C11/$C$28)*100,1)</f>
        <v>22.7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93108</v>
      </c>
      <c r="D13" s="182">
        <f>ROUND((C13/$C$28)*100,1)</f>
        <v>0.4</v>
      </c>
    </row>
    <row r="14" spans="1:4" x14ac:dyDescent="0.2">
      <c r="D14" s="182"/>
    </row>
    <row r="15" spans="1:4" x14ac:dyDescent="0.2">
      <c r="A15">
        <v>2100</v>
      </c>
      <c r="B15" t="s">
        <v>706</v>
      </c>
      <c r="C15" s="179">
        <f>ROUND('DOE25'!L202+'DOE25'!L220+'DOE25'!L238+'DOE25'!L281+'DOE25'!L300+'DOE25'!L319,0)</f>
        <v>1322375</v>
      </c>
      <c r="D15" s="182">
        <f t="shared" ref="D15:D27" si="0">ROUND((C15/$C$28)*100,1)</f>
        <v>5.2</v>
      </c>
    </row>
    <row r="16" spans="1:4" x14ac:dyDescent="0.2">
      <c r="A16">
        <v>2200</v>
      </c>
      <c r="B16" t="s">
        <v>707</v>
      </c>
      <c r="C16" s="179">
        <f>ROUND('DOE25'!L203+'DOE25'!L221+'DOE25'!L239+'DOE25'!L282+'DOE25'!L301+'DOE25'!L320,0)</f>
        <v>389326</v>
      </c>
      <c r="D16" s="182">
        <f t="shared" si="0"/>
        <v>1.5</v>
      </c>
    </row>
    <row r="17" spans="1:4" x14ac:dyDescent="0.2">
      <c r="A17" s="183" t="s">
        <v>723</v>
      </c>
      <c r="B17" t="s">
        <v>738</v>
      </c>
      <c r="C17" s="179">
        <f>ROUND('DOE25'!L204+'DOE25'!L209+'DOE25'!L222+'DOE25'!L227+'DOE25'!L240+'DOE25'!L245+'DOE25'!L283+'DOE25'!L288+'DOE25'!L302+'DOE25'!L307+'DOE25'!L321+'DOE25'!L326,0)</f>
        <v>623522</v>
      </c>
      <c r="D17" s="182">
        <f t="shared" si="0"/>
        <v>2.5</v>
      </c>
    </row>
    <row r="18" spans="1:4" x14ac:dyDescent="0.2">
      <c r="A18">
        <v>2400</v>
      </c>
      <c r="B18" t="s">
        <v>711</v>
      </c>
      <c r="C18" s="179">
        <f>ROUND('DOE25'!L205+'DOE25'!L223+'DOE25'!L241+'DOE25'!L284+'DOE25'!L303+'DOE25'!L322,0)</f>
        <v>1016808</v>
      </c>
      <c r="D18" s="182">
        <f t="shared" si="0"/>
        <v>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1501807</v>
      </c>
      <c r="D20" s="182">
        <f t="shared" si="0"/>
        <v>5.9</v>
      </c>
    </row>
    <row r="21" spans="1:4" x14ac:dyDescent="0.2">
      <c r="A21">
        <v>2700</v>
      </c>
      <c r="B21" t="s">
        <v>710</v>
      </c>
      <c r="C21" s="179">
        <f>ROUND('DOE25'!L208+'DOE25'!L226+'DOE25'!L244+'DOE25'!L287+'DOE25'!L306+'DOE25'!L325,0)</f>
        <v>904140</v>
      </c>
      <c r="D21" s="182">
        <f t="shared" si="0"/>
        <v>3.6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14979</v>
      </c>
      <c r="D24" s="182">
        <f t="shared" si="0"/>
        <v>0.1</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82653.419999999984</v>
      </c>
      <c r="D27" s="182">
        <f t="shared" si="0"/>
        <v>0.3</v>
      </c>
    </row>
    <row r="28" spans="1:4" x14ac:dyDescent="0.2">
      <c r="B28" s="187" t="s">
        <v>719</v>
      </c>
      <c r="C28" s="180">
        <f>SUM(C10:C27)</f>
        <v>25431895.420000002</v>
      </c>
      <c r="D28" s="184">
        <f>ROUND(SUM(D10:D27),0)</f>
        <v>100</v>
      </c>
    </row>
    <row r="29" spans="1:4" x14ac:dyDescent="0.2">
      <c r="A29">
        <v>4000</v>
      </c>
      <c r="B29" t="s">
        <v>724</v>
      </c>
      <c r="C29" s="179">
        <f>ROUND('DOE25'!L255+'DOE25'!L336+'DOE25'!L374+'DOE25'!L375+'DOE25'!L376+'DOE25'!L377+'DOE25'!L378+'DOE25'!L379+'DOE25'!L380,0)</f>
        <v>229141</v>
      </c>
    </row>
    <row r="30" spans="1:4" x14ac:dyDescent="0.2">
      <c r="B30" s="187" t="s">
        <v>725</v>
      </c>
      <c r="C30" s="180">
        <f>SUM(C28:C29)</f>
        <v>25661036.420000002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19656200</v>
      </c>
      <c r="D35" s="182">
        <f t="shared" ref="D35:D40" si="1">ROUND((C35/$C$41)*100,1)</f>
        <v>75.8</v>
      </c>
    </row>
    <row r="36" spans="1:4" x14ac:dyDescent="0.2">
      <c r="B36" s="185" t="s">
        <v>739</v>
      </c>
      <c r="C36" s="179">
        <f>SUM('DOE25'!F112:J112)-SUM('DOE25'!G97:G110)+('DOE25'!F174+'DOE25'!F175+'DOE25'!I174+'DOE25'!I175)-C35</f>
        <v>219201.87999999896</v>
      </c>
      <c r="D36" s="182">
        <f t="shared" si="1"/>
        <v>0.8</v>
      </c>
    </row>
    <row r="37" spans="1:4" x14ac:dyDescent="0.2">
      <c r="A37" s="183" t="s">
        <v>835</v>
      </c>
      <c r="B37" s="185" t="s">
        <v>728</v>
      </c>
      <c r="C37" s="179">
        <f>ROUND('DOE25'!F117+'DOE25'!F118,0)</f>
        <v>5219420</v>
      </c>
      <c r="D37" s="182">
        <f t="shared" si="1"/>
        <v>20.100000000000001</v>
      </c>
    </row>
    <row r="38" spans="1:4" x14ac:dyDescent="0.2">
      <c r="A38" s="183" t="s">
        <v>734</v>
      </c>
      <c r="B38" s="185" t="s">
        <v>729</v>
      </c>
      <c r="C38" s="179">
        <f>ROUND(SUM('DOE25'!F140:J140)-SUM('DOE25'!F117:F119),0)</f>
        <v>312267</v>
      </c>
      <c r="D38" s="182">
        <f t="shared" si="1"/>
        <v>1.2</v>
      </c>
    </row>
    <row r="39" spans="1:4" x14ac:dyDescent="0.2">
      <c r="A39">
        <v>4000</v>
      </c>
      <c r="B39" s="185" t="s">
        <v>730</v>
      </c>
      <c r="C39" s="179">
        <f>ROUND('DOE25'!F169+'DOE25'!G169+'DOE25'!H169+'DOE25'!I169,0)</f>
        <v>534609</v>
      </c>
      <c r="D39" s="182">
        <f t="shared" si="1"/>
        <v>2.1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25941697.879999999</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Hampstead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2019-10-08T14:41:13Z</cp:lastPrinted>
  <dcterms:created xsi:type="dcterms:W3CDTF">1997-12-04T19:04:30Z</dcterms:created>
  <dcterms:modified xsi:type="dcterms:W3CDTF">2019-11-22T14:52:04Z</dcterms:modified>
</cp:coreProperties>
</file>