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concurrentCalc="0"/>
</workbook>
</file>

<file path=xl/calcChain.xml><?xml version="1.0" encoding="utf-8"?>
<calcChain xmlns="http://schemas.openxmlformats.org/spreadsheetml/2006/main">
  <c r="F50" i="1" l="1"/>
  <c r="G234" i="1"/>
  <c r="F234" i="1"/>
  <c r="J227" i="1"/>
  <c r="I227" i="1"/>
  <c r="H227" i="1"/>
  <c r="G227" i="1"/>
  <c r="F227" i="1"/>
  <c r="J225" i="1"/>
  <c r="I225" i="1"/>
  <c r="H225" i="1"/>
  <c r="G225" i="1"/>
  <c r="F225" i="1"/>
  <c r="H223" i="1"/>
  <c r="H222" i="1"/>
  <c r="K222" i="1"/>
  <c r="I222" i="1"/>
  <c r="G222" i="1"/>
  <c r="F222" i="1"/>
  <c r="G221" i="1"/>
  <c r="F221" i="1"/>
  <c r="I221" i="1"/>
  <c r="H221" i="1"/>
  <c r="H220" i="1"/>
  <c r="G220" i="1"/>
  <c r="F220" i="1"/>
  <c r="I220" i="1"/>
  <c r="G216" i="1"/>
  <c r="F216" i="1"/>
  <c r="H216" i="1"/>
  <c r="J216" i="1"/>
  <c r="I216" i="1"/>
  <c r="G215" i="1"/>
  <c r="I215" i="1"/>
  <c r="F215" i="1"/>
  <c r="G203" i="1"/>
  <c r="J209" i="1"/>
  <c r="I209" i="1"/>
  <c r="H209" i="1"/>
  <c r="G209" i="1"/>
  <c r="F209" i="1"/>
  <c r="J207" i="1"/>
  <c r="I207" i="1"/>
  <c r="H207" i="1"/>
  <c r="G207" i="1"/>
  <c r="F207" i="1"/>
  <c r="H205" i="1"/>
  <c r="H204" i="1"/>
  <c r="K204" i="1"/>
  <c r="I204" i="1"/>
  <c r="G204" i="1"/>
  <c r="F204" i="1"/>
  <c r="F203" i="1"/>
  <c r="I203" i="1"/>
  <c r="H203" i="1"/>
  <c r="H202" i="1"/>
  <c r="G202" i="1"/>
  <c r="F202" i="1"/>
  <c r="I202" i="1"/>
  <c r="G198" i="1"/>
  <c r="F198" i="1"/>
  <c r="H198" i="1"/>
  <c r="J198" i="1"/>
  <c r="I198" i="1"/>
  <c r="H197" i="1"/>
  <c r="G197" i="1"/>
  <c r="I197" i="1"/>
  <c r="F197" i="1"/>
  <c r="H255" i="1"/>
  <c r="K205" i="1"/>
  <c r="J205" i="1"/>
  <c r="I205" i="1"/>
  <c r="G205" i="1"/>
  <c r="F205" i="1"/>
  <c r="K203" i="1"/>
  <c r="J203" i="1"/>
  <c r="I200" i="1"/>
  <c r="H200" i="1"/>
  <c r="G200" i="1"/>
  <c r="F200" i="1"/>
  <c r="K198" i="1"/>
  <c r="J197" i="1"/>
  <c r="K223" i="1"/>
  <c r="J223" i="1"/>
  <c r="I223" i="1"/>
  <c r="G223" i="1"/>
  <c r="F223" i="1"/>
  <c r="K221" i="1"/>
  <c r="J221" i="1"/>
  <c r="J220" i="1"/>
  <c r="I218" i="1"/>
  <c r="G218" i="1"/>
  <c r="F218" i="1"/>
  <c r="K218" i="1"/>
  <c r="J218" i="1"/>
  <c r="H218" i="1"/>
  <c r="J215" i="1"/>
  <c r="H215" i="1"/>
  <c r="I522" i="1"/>
  <c r="I521" i="1"/>
  <c r="I527" i="1"/>
  <c r="I526" i="1"/>
  <c r="H527" i="1"/>
  <c r="H526" i="1"/>
  <c r="H528" i="1"/>
  <c r="G528" i="1"/>
  <c r="G527" i="1"/>
  <c r="G526" i="1"/>
  <c r="F528" i="1"/>
  <c r="F527" i="1"/>
  <c r="F526" i="1"/>
  <c r="I528" i="1"/>
  <c r="H523" i="1"/>
  <c r="F533" i="1"/>
  <c r="G533" i="1"/>
  <c r="G522" i="1"/>
  <c r="F522" i="1"/>
  <c r="H522" i="1"/>
  <c r="H531" i="1"/>
  <c r="G521" i="1"/>
  <c r="F521" i="1"/>
  <c r="K521" i="1"/>
  <c r="H521" i="1"/>
  <c r="J533" i="1"/>
  <c r="J532" i="1"/>
  <c r="J531" i="1"/>
  <c r="I533" i="1"/>
  <c r="I532" i="1"/>
  <c r="I531" i="1"/>
  <c r="H533" i="1"/>
  <c r="H532" i="1"/>
  <c r="G532" i="1"/>
  <c r="G531" i="1"/>
  <c r="F532" i="1"/>
  <c r="F531" i="1"/>
  <c r="K567" i="1"/>
  <c r="I562" i="1"/>
  <c r="G562" i="1"/>
  <c r="F562" i="1"/>
  <c r="H562" i="1"/>
  <c r="I604" i="1"/>
  <c r="H604" i="1"/>
  <c r="H301" i="1"/>
  <c r="H300" i="1"/>
  <c r="I300" i="1"/>
  <c r="I296" i="1"/>
  <c r="H295" i="1"/>
  <c r="I282" i="1"/>
  <c r="H282" i="1"/>
  <c r="H281" i="1"/>
  <c r="I277" i="1"/>
  <c r="H276" i="1"/>
  <c r="H234" i="1"/>
  <c r="H233" i="1"/>
  <c r="I612" i="1"/>
  <c r="G612" i="1"/>
  <c r="F612" i="1"/>
  <c r="I595" i="1"/>
  <c r="H595" i="1"/>
  <c r="H591" i="1"/>
  <c r="H208" i="1"/>
  <c r="H226" i="1"/>
  <c r="H244" i="1"/>
  <c r="F101" i="1"/>
  <c r="G368" i="1"/>
  <c r="F368" i="1"/>
  <c r="G367" i="1"/>
  <c r="F367" i="1"/>
  <c r="G359" i="1"/>
  <c r="F359" i="1"/>
  <c r="G358" i="1"/>
  <c r="F358" i="1"/>
  <c r="H358" i="1"/>
  <c r="H159" i="1"/>
  <c r="H155" i="1"/>
  <c r="H154" i="1"/>
  <c r="B8" i="14"/>
  <c r="B5" i="14"/>
  <c r="C8" i="14"/>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B6" i="14"/>
  <c r="C6" i="14"/>
  <c r="B7" i="14"/>
  <c r="C7" i="14"/>
  <c r="B9" i="14"/>
  <c r="C9" i="14"/>
  <c r="B10" i="14"/>
  <c r="C10" i="14"/>
  <c r="B11" i="14"/>
  <c r="C11" i="14"/>
  <c r="B12" i="14"/>
  <c r="C12" i="14"/>
  <c r="B13" i="14"/>
  <c r="C13" i="14"/>
  <c r="B14" i="14"/>
  <c r="C14" i="14"/>
  <c r="B15" i="14"/>
  <c r="C15" i="14"/>
  <c r="B16" i="14"/>
  <c r="C16" i="14"/>
  <c r="B17" i="14"/>
  <c r="C17" i="14"/>
  <c r="B18" i="14"/>
  <c r="C18" i="14"/>
  <c r="B19" i="14"/>
  <c r="C19" i="14"/>
  <c r="B20" i="14"/>
  <c r="C20" i="14"/>
  <c r="C5" i="14"/>
  <c r="F24" i="14"/>
  <c r="F4" i="14"/>
  <c r="F36" i="14"/>
  <c r="B2" i="14"/>
  <c r="A2" i="14"/>
  <c r="F33" i="13"/>
  <c r="C45" i="2"/>
  <c r="G51" i="1"/>
  <c r="F51" i="1"/>
  <c r="C37" i="10"/>
  <c r="F40" i="2"/>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c r="G44" i="2"/>
  <c r="I458" i="1"/>
  <c r="J39" i="1"/>
  <c r="G38" i="2"/>
  <c r="C68" i="2"/>
  <c r="B2" i="13"/>
  <c r="G8" i="13"/>
  <c r="H8" i="13"/>
  <c r="L204" i="1"/>
  <c r="L222" i="1"/>
  <c r="L240" i="1"/>
  <c r="D39" i="13"/>
  <c r="G13" i="13"/>
  <c r="H13" i="13"/>
  <c r="L206" i="1"/>
  <c r="E13" i="13"/>
  <c r="C13" i="13"/>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c r="L244" i="1"/>
  <c r="H662" i="1"/>
  <c r="G17" i="13"/>
  <c r="H17" i="13"/>
  <c r="L251" i="1"/>
  <c r="G18" i="13"/>
  <c r="H18" i="13"/>
  <c r="L252" i="1"/>
  <c r="D18" i="13"/>
  <c r="C18" i="13"/>
  <c r="G19" i="13"/>
  <c r="H19" i="13"/>
  <c r="L253" i="1"/>
  <c r="G29" i="13"/>
  <c r="H29" i="13"/>
  <c r="L358" i="1"/>
  <c r="L359" i="1"/>
  <c r="L360" i="1"/>
  <c r="I367" i="1"/>
  <c r="J290" i="1"/>
  <c r="J309" i="1"/>
  <c r="J328" i="1"/>
  <c r="K290" i="1"/>
  <c r="K309" i="1"/>
  <c r="K328" i="1"/>
  <c r="L276" i="1"/>
  <c r="L277" i="1"/>
  <c r="L278" i="1"/>
  <c r="L279" i="1"/>
  <c r="L281" i="1"/>
  <c r="L282" i="1"/>
  <c r="E119" i="2"/>
  <c r="L283" i="1"/>
  <c r="L284" i="1"/>
  <c r="E121" i="2"/>
  <c r="L285" i="1"/>
  <c r="E122" i="2"/>
  <c r="L286" i="1"/>
  <c r="L287" i="1"/>
  <c r="L288" i="1"/>
  <c r="L295" i="1"/>
  <c r="L296" i="1"/>
  <c r="L297" i="1"/>
  <c r="L298" i="1"/>
  <c r="E112" i="2"/>
  <c r="L300" i="1"/>
  <c r="L301" i="1"/>
  <c r="L302" i="1"/>
  <c r="L303" i="1"/>
  <c r="L304" i="1"/>
  <c r="L305" i="1"/>
  <c r="L306" i="1"/>
  <c r="E124" i="2"/>
  <c r="L307" i="1"/>
  <c r="E125" i="2"/>
  <c r="L314" i="1"/>
  <c r="L328" i="1"/>
  <c r="L315" i="1"/>
  <c r="L316" i="1"/>
  <c r="L317" i="1"/>
  <c r="L319" i="1"/>
  <c r="L320" i="1"/>
  <c r="L321" i="1"/>
  <c r="L322" i="1"/>
  <c r="L323" i="1"/>
  <c r="L324" i="1"/>
  <c r="L325" i="1"/>
  <c r="L326" i="1"/>
  <c r="L333" i="1"/>
  <c r="E114" i="2"/>
  <c r="L334" i="1"/>
  <c r="L335" i="1"/>
  <c r="L260" i="1"/>
  <c r="C131" i="2"/>
  <c r="L261" i="1"/>
  <c r="C132" i="2"/>
  <c r="L341" i="1"/>
  <c r="L342" i="1"/>
  <c r="L255" i="1"/>
  <c r="L336" i="1"/>
  <c r="E130" i="2"/>
  <c r="C11" i="13"/>
  <c r="C10" i="13"/>
  <c r="C9" i="13"/>
  <c r="L361" i="1"/>
  <c r="B4" i="12"/>
  <c r="B36" i="12"/>
  <c r="C36" i="12"/>
  <c r="B40" i="12"/>
  <c r="C40" i="12"/>
  <c r="B27" i="12"/>
  <c r="C27" i="12"/>
  <c r="B31" i="12"/>
  <c r="A31" i="12"/>
  <c r="C31" i="12"/>
  <c r="B9" i="12"/>
  <c r="B13" i="12"/>
  <c r="C9" i="12"/>
  <c r="C13" i="12"/>
  <c r="B18" i="12"/>
  <c r="B22" i="12"/>
  <c r="C18" i="12"/>
  <c r="C22" i="12"/>
  <c r="B1" i="12"/>
  <c r="L387" i="1"/>
  <c r="L388" i="1"/>
  <c r="L393" i="1"/>
  <c r="C138" i="2"/>
  <c r="L389" i="1"/>
  <c r="L390" i="1"/>
  <c r="L391" i="1"/>
  <c r="L392" i="1"/>
  <c r="L395" i="1"/>
  <c r="L396" i="1"/>
  <c r="L397" i="1"/>
  <c r="L398" i="1"/>
  <c r="L399" i="1"/>
  <c r="L400" i="1"/>
  <c r="L403" i="1"/>
  <c r="L404" i="1"/>
  <c r="L405" i="1"/>
  <c r="L406" i="1"/>
  <c r="L266" i="1"/>
  <c r="J60" i="1"/>
  <c r="G56" i="2"/>
  <c r="G59" i="2"/>
  <c r="G61" i="2"/>
  <c r="F2" i="11"/>
  <c r="L613" i="1"/>
  <c r="H663" i="1"/>
  <c r="L612" i="1"/>
  <c r="G663" i="1"/>
  <c r="L611" i="1"/>
  <c r="F663" i="1"/>
  <c r="C40" i="10"/>
  <c r="F60" i="1"/>
  <c r="G60" i="1"/>
  <c r="H60" i="1"/>
  <c r="I60" i="1"/>
  <c r="F79" i="1"/>
  <c r="C57" i="2"/>
  <c r="F94" i="1"/>
  <c r="F111" i="1"/>
  <c r="G111" i="1"/>
  <c r="G112" i="1"/>
  <c r="H79" i="1"/>
  <c r="H94" i="1"/>
  <c r="H111" i="1"/>
  <c r="I111" i="1"/>
  <c r="I112" i="1"/>
  <c r="J111" i="1"/>
  <c r="J112" i="1"/>
  <c r="F121" i="1"/>
  <c r="F136" i="1"/>
  <c r="G121" i="1"/>
  <c r="G136" i="1"/>
  <c r="H121" i="1"/>
  <c r="H136" i="1"/>
  <c r="I121" i="1"/>
  <c r="I136" i="1"/>
  <c r="J121" i="1"/>
  <c r="J136" i="1"/>
  <c r="F147" i="1"/>
  <c r="F162" i="1"/>
  <c r="F169" i="1"/>
  <c r="G147" i="1"/>
  <c r="G162" i="1"/>
  <c r="H147" i="1"/>
  <c r="H162" i="1"/>
  <c r="H169" i="1"/>
  <c r="I147" i="1"/>
  <c r="I162" i="1"/>
  <c r="C12" i="10"/>
  <c r="L250" i="1"/>
  <c r="C113" i="2"/>
  <c r="L332" i="1"/>
  <c r="L254" i="1"/>
  <c r="L268" i="1"/>
  <c r="C26" i="10"/>
  <c r="L269" i="1"/>
  <c r="L349" i="1"/>
  <c r="L350" i="1"/>
  <c r="I665" i="1"/>
  <c r="I670" i="1"/>
  <c r="I669" i="1"/>
  <c r="C42" i="10"/>
  <c r="C32" i="10"/>
  <c r="L374" i="1"/>
  <c r="L375" i="1"/>
  <c r="L376" i="1"/>
  <c r="L377" i="1"/>
  <c r="F130" i="2"/>
  <c r="L378" i="1"/>
  <c r="L379" i="1"/>
  <c r="L380" i="1"/>
  <c r="B2" i="10"/>
  <c r="L344" i="1"/>
  <c r="L345" i="1"/>
  <c r="L346" i="1"/>
  <c r="L347" i="1"/>
  <c r="L351" i="1"/>
  <c r="K351" i="1"/>
  <c r="L521" i="1"/>
  <c r="F549" i="1"/>
  <c r="L522" i="1"/>
  <c r="F550" i="1"/>
  <c r="L523" i="1"/>
  <c r="F551" i="1"/>
  <c r="L526" i="1"/>
  <c r="G549" i="1"/>
  <c r="L527" i="1"/>
  <c r="G550" i="1"/>
  <c r="L528" i="1"/>
  <c r="G551" i="1"/>
  <c r="L531" i="1"/>
  <c r="H549" i="1"/>
  <c r="L532" i="1"/>
  <c r="H550" i="1"/>
  <c r="L533" i="1"/>
  <c r="H551" i="1"/>
  <c r="L536" i="1"/>
  <c r="I549" i="1"/>
  <c r="L537" i="1"/>
  <c r="I550" i="1"/>
  <c r="L538" i="1"/>
  <c r="I551" i="1"/>
  <c r="L541" i="1"/>
  <c r="J549" i="1"/>
  <c r="L542" i="1"/>
  <c r="J550" i="1"/>
  <c r="L543" i="1"/>
  <c r="J551" i="1"/>
  <c r="E132" i="2"/>
  <c r="E131" i="2"/>
  <c r="K270" i="1"/>
  <c r="J270" i="1"/>
  <c r="I270" i="1"/>
  <c r="H270" i="1"/>
  <c r="G270" i="1"/>
  <c r="F270" i="1"/>
  <c r="A1" i="2"/>
  <c r="A2" i="2"/>
  <c r="C8" i="2"/>
  <c r="D8" i="2"/>
  <c r="E8" i="2"/>
  <c r="F8" i="2"/>
  <c r="I439" i="1"/>
  <c r="J9" i="1"/>
  <c r="G8" i="2"/>
  <c r="C9" i="2"/>
  <c r="D9" i="2"/>
  <c r="E9" i="2"/>
  <c r="F9" i="2"/>
  <c r="I440" i="1"/>
  <c r="J10" i="1"/>
  <c r="G9" i="2"/>
  <c r="C10" i="2"/>
  <c r="C11" i="2"/>
  <c r="C18" i="2"/>
  <c r="D11" i="2"/>
  <c r="E11" i="2"/>
  <c r="F11" i="2"/>
  <c r="I441" i="1"/>
  <c r="J12" i="1"/>
  <c r="G11" i="2"/>
  <c r="C12" i="2"/>
  <c r="D12" i="2"/>
  <c r="E12" i="2"/>
  <c r="F12" i="2"/>
  <c r="I442" i="1"/>
  <c r="J13" i="1"/>
  <c r="G12" i="2"/>
  <c r="C13" i="2"/>
  <c r="D13" i="2"/>
  <c r="E13" i="2"/>
  <c r="F13" i="2"/>
  <c r="I443" i="1"/>
  <c r="J14" i="1"/>
  <c r="G13" i="2"/>
  <c r="F14" i="2"/>
  <c r="C15" i="2"/>
  <c r="D15" i="2"/>
  <c r="E15" i="2"/>
  <c r="F15" i="2"/>
  <c r="C16" i="2"/>
  <c r="D16" i="2"/>
  <c r="E16" i="2"/>
  <c r="F16" i="2"/>
  <c r="I444" i="1"/>
  <c r="J17" i="1"/>
  <c r="C17" i="2"/>
  <c r="D17" i="2"/>
  <c r="E17" i="2"/>
  <c r="F17" i="2"/>
  <c r="I445" i="1"/>
  <c r="J18" i="1"/>
  <c r="G17" i="2"/>
  <c r="C21" i="2"/>
  <c r="D21" i="2"/>
  <c r="E21" i="2"/>
  <c r="E31" i="2"/>
  <c r="F21" i="2"/>
  <c r="I448" i="1"/>
  <c r="J22" i="1"/>
  <c r="C22" i="2"/>
  <c r="D22" i="2"/>
  <c r="E22" i="2"/>
  <c r="F22" i="2"/>
  <c r="I449" i="1"/>
  <c r="J23" i="1"/>
  <c r="C23" i="2"/>
  <c r="D23" i="2"/>
  <c r="E23" i="2"/>
  <c r="F23" i="2"/>
  <c r="I450" i="1"/>
  <c r="J24" i="1"/>
  <c r="G23" i="2"/>
  <c r="C24" i="2"/>
  <c r="D24" i="2"/>
  <c r="E24" i="2"/>
  <c r="F24" i="2"/>
  <c r="C25" i="2"/>
  <c r="F25" i="2"/>
  <c r="C26" i="2"/>
  <c r="F26" i="2"/>
  <c r="C27" i="2"/>
  <c r="D27" i="2"/>
  <c r="E27" i="2"/>
  <c r="F27" i="2"/>
  <c r="C28" i="2"/>
  <c r="D28" i="2"/>
  <c r="E28" i="2"/>
  <c r="F28" i="2"/>
  <c r="C29" i="2"/>
  <c r="D29" i="2"/>
  <c r="E29" i="2"/>
  <c r="F29" i="2"/>
  <c r="C30" i="2"/>
  <c r="D30" i="2"/>
  <c r="E30" i="2"/>
  <c r="F30" i="2"/>
  <c r="I451" i="1"/>
  <c r="J31" i="1"/>
  <c r="G30" i="2"/>
  <c r="C34" i="2"/>
  <c r="D34" i="2"/>
  <c r="E34" i="2"/>
  <c r="F34" i="2"/>
  <c r="C35" i="2"/>
  <c r="D35" i="2"/>
  <c r="E35" i="2"/>
  <c r="F35" i="2"/>
  <c r="I454" i="1"/>
  <c r="J49" i="1"/>
  <c r="G48" i="2"/>
  <c r="I456" i="1"/>
  <c r="J43" i="1"/>
  <c r="I457" i="1"/>
  <c r="J37" i="1"/>
  <c r="G36" i="2"/>
  <c r="I459" i="1"/>
  <c r="J48" i="1"/>
  <c r="G47" i="2"/>
  <c r="C49" i="2"/>
  <c r="D56" i="2"/>
  <c r="E56" i="2"/>
  <c r="F56" i="2"/>
  <c r="E57" i="2"/>
  <c r="C58" i="2"/>
  <c r="E58" i="2"/>
  <c r="C59" i="2"/>
  <c r="D59" i="2"/>
  <c r="E59" i="2"/>
  <c r="F59" i="2"/>
  <c r="D60" i="2"/>
  <c r="C61" i="2"/>
  <c r="D61" i="2"/>
  <c r="E61" i="2"/>
  <c r="F61" i="2"/>
  <c r="C66" i="2"/>
  <c r="C67" i="2"/>
  <c r="C69" i="2"/>
  <c r="D69" i="2"/>
  <c r="D70" i="2"/>
  <c r="E69" i="2"/>
  <c r="E70" i="2"/>
  <c r="F69" i="2"/>
  <c r="F70" i="2"/>
  <c r="G69" i="2"/>
  <c r="G70" i="2"/>
  <c r="C72" i="2"/>
  <c r="F72" i="2"/>
  <c r="F78" i="2"/>
  <c r="F81" i="2"/>
  <c r="C73" i="2"/>
  <c r="F73" i="2"/>
  <c r="C74" i="2"/>
  <c r="C75" i="2"/>
  <c r="C76" i="2"/>
  <c r="E76" i="2"/>
  <c r="F76" i="2"/>
  <c r="C77" i="2"/>
  <c r="D77" i="2"/>
  <c r="D78" i="2"/>
  <c r="E77" i="2"/>
  <c r="E78" i="2"/>
  <c r="F77" i="2"/>
  <c r="G77" i="2"/>
  <c r="G78" i="2"/>
  <c r="G81" i="2"/>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C114" i="2"/>
  <c r="D115" i="2"/>
  <c r="F115" i="2"/>
  <c r="G115" i="2"/>
  <c r="E120" i="2"/>
  <c r="E123" i="2"/>
  <c r="F128" i="2"/>
  <c r="G128" i="2"/>
  <c r="C130" i="2"/>
  <c r="D134" i="2"/>
  <c r="D144" i="2"/>
  <c r="E134" i="2"/>
  <c r="F134" i="2"/>
  <c r="K419" i="1"/>
  <c r="K427" i="1"/>
  <c r="K433" i="1"/>
  <c r="L263" i="1"/>
  <c r="C135" i="2"/>
  <c r="E135" i="2"/>
  <c r="L264" i="1"/>
  <c r="C136" i="2"/>
  <c r="L265" i="1"/>
  <c r="C137" i="2"/>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c r="D156" i="2"/>
  <c r="E156" i="2"/>
  <c r="F156" i="2"/>
  <c r="B157" i="2"/>
  <c r="G157" i="2"/>
  <c r="C157" i="2"/>
  <c r="D157" i="2"/>
  <c r="E157" i="2"/>
  <c r="F157" i="2"/>
  <c r="B158" i="2"/>
  <c r="C158" i="2"/>
  <c r="D158" i="2"/>
  <c r="E158" i="2"/>
  <c r="F158" i="2"/>
  <c r="B159" i="2"/>
  <c r="C159" i="2"/>
  <c r="D159" i="2"/>
  <c r="E159" i="2"/>
  <c r="F159" i="2"/>
  <c r="B160" i="2"/>
  <c r="C160" i="2"/>
  <c r="D160" i="2"/>
  <c r="E160" i="2"/>
  <c r="F160" i="2"/>
  <c r="F500" i="1"/>
  <c r="B161" i="2"/>
  <c r="G161" i="2"/>
  <c r="G500" i="1"/>
  <c r="C161" i="2"/>
  <c r="H500" i="1"/>
  <c r="D161" i="2"/>
  <c r="I500" i="1"/>
  <c r="E161" i="2"/>
  <c r="J500" i="1"/>
  <c r="F161" i="2"/>
  <c r="B162" i="2"/>
  <c r="C162" i="2"/>
  <c r="D162" i="2"/>
  <c r="E162" i="2"/>
  <c r="F162" i="2"/>
  <c r="B163" i="2"/>
  <c r="C163" i="2"/>
  <c r="D163" i="2"/>
  <c r="E163" i="2"/>
  <c r="F163" i="2"/>
  <c r="F503" i="1"/>
  <c r="B164" i="2"/>
  <c r="G503" i="1"/>
  <c r="C164" i="2"/>
  <c r="H503" i="1"/>
  <c r="D164" i="2"/>
  <c r="I503" i="1"/>
  <c r="E164" i="2"/>
  <c r="J503" i="1"/>
  <c r="F164" i="2"/>
  <c r="F19" i="1"/>
  <c r="G617" i="1"/>
  <c r="G19" i="1"/>
  <c r="H19" i="1"/>
  <c r="G619" i="1"/>
  <c r="I19" i="1"/>
  <c r="F32" i="1"/>
  <c r="F52" i="1"/>
  <c r="H617" i="1"/>
  <c r="G32" i="1"/>
  <c r="G52" i="1"/>
  <c r="H618" i="1"/>
  <c r="H32" i="1"/>
  <c r="I32" i="1"/>
  <c r="H51" i="1"/>
  <c r="H52" i="1"/>
  <c r="H619" i="1"/>
  <c r="I51" i="1"/>
  <c r="I52" i="1"/>
  <c r="H620" i="1"/>
  <c r="F177" i="1"/>
  <c r="F192" i="1"/>
  <c r="I177" i="1"/>
  <c r="F183" i="1"/>
  <c r="G183" i="1"/>
  <c r="H183" i="1"/>
  <c r="I183" i="1"/>
  <c r="J183" i="1"/>
  <c r="J192" i="1"/>
  <c r="F188" i="1"/>
  <c r="G188" i="1"/>
  <c r="G192"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L270" i="1"/>
  <c r="F290" i="1"/>
  <c r="G290" i="1"/>
  <c r="H290" i="1"/>
  <c r="I290" i="1"/>
  <c r="F309" i="1"/>
  <c r="G309" i="1"/>
  <c r="G338" i="1"/>
  <c r="G352" i="1"/>
  <c r="H309" i="1"/>
  <c r="I309" i="1"/>
  <c r="F328" i="1"/>
  <c r="G328" i="1"/>
  <c r="H328" i="1"/>
  <c r="I328" i="1"/>
  <c r="F337" i="1"/>
  <c r="G337" i="1"/>
  <c r="H337" i="1"/>
  <c r="I337" i="1"/>
  <c r="J337" i="1"/>
  <c r="K337" i="1"/>
  <c r="F362" i="1"/>
  <c r="G362" i="1"/>
  <c r="H362" i="1"/>
  <c r="I362" i="1"/>
  <c r="G634" i="1"/>
  <c r="J362" i="1"/>
  <c r="K362" i="1"/>
  <c r="I368" i="1"/>
  <c r="F369" i="1"/>
  <c r="G369" i="1"/>
  <c r="H369" i="1"/>
  <c r="I369" i="1"/>
  <c r="H634" i="1"/>
  <c r="L381" i="1"/>
  <c r="F382" i="1"/>
  <c r="G382" i="1"/>
  <c r="H382" i="1"/>
  <c r="I382" i="1"/>
  <c r="J382" i="1"/>
  <c r="K382" i="1"/>
  <c r="F393" i="1"/>
  <c r="G393" i="1"/>
  <c r="H393" i="1"/>
  <c r="H408" i="1"/>
  <c r="H644" i="1"/>
  <c r="I393" i="1"/>
  <c r="F401" i="1"/>
  <c r="G401" i="1"/>
  <c r="H401" i="1"/>
  <c r="I401" i="1"/>
  <c r="F407" i="1"/>
  <c r="G407" i="1"/>
  <c r="H407" i="1"/>
  <c r="I407" i="1"/>
  <c r="F408" i="1"/>
  <c r="G408" i="1"/>
  <c r="I408" i="1"/>
  <c r="L413" i="1"/>
  <c r="L414" i="1"/>
  <c r="L415" i="1"/>
  <c r="L416" i="1"/>
  <c r="L417" i="1"/>
  <c r="L418" i="1"/>
  <c r="F419" i="1"/>
  <c r="G419" i="1"/>
  <c r="H419" i="1"/>
  <c r="I419" i="1"/>
  <c r="J419" i="1"/>
  <c r="L421" i="1"/>
  <c r="L427" i="1"/>
  <c r="L422" i="1"/>
  <c r="L423" i="1"/>
  <c r="L424" i="1"/>
  <c r="L425" i="1"/>
  <c r="L426" i="1"/>
  <c r="F427" i="1"/>
  <c r="G427" i="1"/>
  <c r="H427" i="1"/>
  <c r="I427" i="1"/>
  <c r="J427" i="1"/>
  <c r="L429" i="1"/>
  <c r="L430" i="1"/>
  <c r="L433" i="1"/>
  <c r="L431" i="1"/>
  <c r="L432" i="1"/>
  <c r="F433" i="1"/>
  <c r="G433" i="1"/>
  <c r="H433" i="1"/>
  <c r="I433" i="1"/>
  <c r="J433" i="1"/>
  <c r="F446" i="1"/>
  <c r="G639" i="1"/>
  <c r="G446" i="1"/>
  <c r="H446" i="1"/>
  <c r="F452" i="1"/>
  <c r="G452" i="1"/>
  <c r="H452" i="1"/>
  <c r="F460" i="1"/>
  <c r="G460" i="1"/>
  <c r="G461" i="1"/>
  <c r="H640" i="1"/>
  <c r="H460" i="1"/>
  <c r="F461" i="1"/>
  <c r="H639" i="1"/>
  <c r="H461" i="1"/>
  <c r="F470" i="1"/>
  <c r="G470" i="1"/>
  <c r="H470" i="1"/>
  <c r="H476" i="1"/>
  <c r="H624" i="1"/>
  <c r="J624" i="1"/>
  <c r="I470" i="1"/>
  <c r="J470" i="1"/>
  <c r="J476" i="1"/>
  <c r="H626" i="1"/>
  <c r="F474" i="1"/>
  <c r="G474" i="1"/>
  <c r="H474" i="1"/>
  <c r="I474" i="1"/>
  <c r="I476" i="1"/>
  <c r="H625" i="1"/>
  <c r="J625" i="1"/>
  <c r="J474" i="1"/>
  <c r="K495" i="1"/>
  <c r="K496" i="1"/>
  <c r="K497" i="1"/>
  <c r="K498" i="1"/>
  <c r="K499" i="1"/>
  <c r="K501" i="1"/>
  <c r="K502" i="1"/>
  <c r="F517" i="1"/>
  <c r="G517" i="1"/>
  <c r="H517" i="1"/>
  <c r="I517" i="1"/>
  <c r="F524" i="1"/>
  <c r="G524" i="1"/>
  <c r="H524" i="1"/>
  <c r="I524" i="1"/>
  <c r="J524" i="1"/>
  <c r="K524" i="1"/>
  <c r="K545"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H571"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c r="I598" i="1"/>
  <c r="H650" i="1"/>
  <c r="J598" i="1"/>
  <c r="H651" i="1"/>
  <c r="K602" i="1"/>
  <c r="K603" i="1"/>
  <c r="K604" i="1"/>
  <c r="K605" i="1"/>
  <c r="G648" i="1"/>
  <c r="H605" i="1"/>
  <c r="I605" i="1"/>
  <c r="J605" i="1"/>
  <c r="F614" i="1"/>
  <c r="G614" i="1"/>
  <c r="H614" i="1"/>
  <c r="I614" i="1"/>
  <c r="J614" i="1"/>
  <c r="K614" i="1"/>
  <c r="L614" i="1"/>
  <c r="G618" i="1"/>
  <c r="G620" i="1"/>
  <c r="G622" i="1"/>
  <c r="G623" i="1"/>
  <c r="G624" i="1"/>
  <c r="G625" i="1"/>
  <c r="H627" i="1"/>
  <c r="H628" i="1"/>
  <c r="H629" i="1"/>
  <c r="H630" i="1"/>
  <c r="H631" i="1"/>
  <c r="H632" i="1"/>
  <c r="H633" i="1"/>
  <c r="H635" i="1"/>
  <c r="H636" i="1"/>
  <c r="H637" i="1"/>
  <c r="H638" i="1"/>
  <c r="G640" i="1"/>
  <c r="G641" i="1"/>
  <c r="H641" i="1"/>
  <c r="G643" i="1"/>
  <c r="H643" i="1"/>
  <c r="G644" i="1"/>
  <c r="G645" i="1"/>
  <c r="H645" i="1"/>
  <c r="G651" i="1"/>
  <c r="G652" i="1"/>
  <c r="H652" i="1"/>
  <c r="G653" i="1"/>
  <c r="H653" i="1"/>
  <c r="G654" i="1"/>
  <c r="H654" i="1"/>
  <c r="H655" i="1"/>
  <c r="L256" i="1"/>
  <c r="A40" i="12"/>
  <c r="D18" i="2"/>
  <c r="C91" i="2"/>
  <c r="D31" i="2"/>
  <c r="D50" i="2"/>
  <c r="F18" i="2"/>
  <c r="E103" i="2"/>
  <c r="D91" i="2"/>
  <c r="G62" i="2"/>
  <c r="H112" i="1"/>
  <c r="J641" i="1"/>
  <c r="J571" i="1"/>
  <c r="L419" i="1"/>
  <c r="D81" i="2"/>
  <c r="I169" i="1"/>
  <c r="J643" i="1"/>
  <c r="J140" i="1"/>
  <c r="G22" i="2"/>
  <c r="H140" i="1"/>
  <c r="L560" i="1"/>
  <c r="H192" i="1"/>
  <c r="J655" i="1"/>
  <c r="J645" i="1"/>
  <c r="L247" i="1"/>
  <c r="C125" i="2"/>
  <c r="C120" i="2"/>
  <c r="J257" i="1"/>
  <c r="J271" i="1"/>
  <c r="C119" i="2"/>
  <c r="C112" i="2"/>
  <c r="I257" i="1"/>
  <c r="I271" i="1"/>
  <c r="L211" i="1"/>
  <c r="F257" i="1"/>
  <c r="F271" i="1"/>
  <c r="C121" i="2"/>
  <c r="D6" i="13"/>
  <c r="C6" i="13"/>
  <c r="K257" i="1"/>
  <c r="K271" i="1"/>
  <c r="I545" i="1"/>
  <c r="F552" i="1"/>
  <c r="J545" i="1"/>
  <c r="G545" i="1"/>
  <c r="H552" i="1"/>
  <c r="G552" i="1"/>
  <c r="L529" i="1"/>
  <c r="K549" i="1"/>
  <c r="L570" i="1"/>
  <c r="F571" i="1"/>
  <c r="I571" i="1"/>
  <c r="K571" i="1"/>
  <c r="L565" i="1"/>
  <c r="E118" i="2"/>
  <c r="F338" i="1"/>
  <c r="F352" i="1"/>
  <c r="C13" i="10"/>
  <c r="L309" i="1"/>
  <c r="C11" i="10"/>
  <c r="C20" i="10"/>
  <c r="K338" i="1"/>
  <c r="K352" i="1"/>
  <c r="C18" i="10"/>
  <c r="L290" i="1"/>
  <c r="C110" i="2"/>
  <c r="F476" i="1"/>
  <c r="H622" i="1"/>
  <c r="I552" i="1"/>
  <c r="J651" i="1"/>
  <c r="K598" i="1"/>
  <c r="G647" i="1"/>
  <c r="G662" i="1"/>
  <c r="H257" i="1"/>
  <c r="H271" i="1"/>
  <c r="D15" i="13"/>
  <c r="C15" i="13"/>
  <c r="H647" i="1"/>
  <c r="J552" i="1"/>
  <c r="H545" i="1"/>
  <c r="G476" i="1"/>
  <c r="H623" i="1"/>
  <c r="J623" i="1"/>
  <c r="L401" i="1"/>
  <c r="C139" i="2"/>
  <c r="J644" i="1"/>
  <c r="J622" i="1"/>
  <c r="C78" i="2"/>
  <c r="C70" i="2"/>
  <c r="C81" i="2"/>
  <c r="F112" i="1"/>
  <c r="J640" i="1"/>
  <c r="G164" i="2"/>
  <c r="J634" i="1"/>
  <c r="F661" i="1"/>
  <c r="L362" i="1"/>
  <c r="G661" i="1"/>
  <c r="D62" i="2"/>
  <c r="D63" i="2"/>
  <c r="E62" i="2"/>
  <c r="E63" i="2"/>
  <c r="J617" i="1"/>
  <c r="J639" i="1"/>
  <c r="K551" i="1"/>
  <c r="I25" i="13"/>
  <c r="K550" i="1"/>
  <c r="L534" i="1"/>
  <c r="K500" i="1"/>
  <c r="I460" i="1"/>
  <c r="I452" i="1"/>
  <c r="I446" i="1"/>
  <c r="G642" i="1"/>
  <c r="H338" i="1"/>
  <c r="H352" i="1"/>
  <c r="C123" i="2"/>
  <c r="E109" i="2"/>
  <c r="E115" i="2"/>
  <c r="C56" i="2"/>
  <c r="F662" i="1"/>
  <c r="C25" i="10"/>
  <c r="C21" i="10"/>
  <c r="C17" i="10"/>
  <c r="D19" i="13"/>
  <c r="C19" i="13"/>
  <c r="D14" i="13"/>
  <c r="C14" i="13"/>
  <c r="C62" i="2"/>
  <c r="G22" i="13"/>
  <c r="C22" i="13"/>
  <c r="L539" i="1"/>
  <c r="K503" i="1"/>
  <c r="L382" i="1"/>
  <c r="G636" i="1"/>
  <c r="J636" i="1"/>
  <c r="G257" i="1"/>
  <c r="G271" i="1"/>
  <c r="C142" i="2"/>
  <c r="C111" i="2"/>
  <c r="H661" i="1"/>
  <c r="C15" i="10"/>
  <c r="A13" i="12"/>
  <c r="D29" i="13"/>
  <c r="C29" i="13"/>
  <c r="D12" i="13"/>
  <c r="C12" i="13"/>
  <c r="D5" i="13"/>
  <c r="C5" i="13"/>
  <c r="E8" i="13"/>
  <c r="C8" i="13"/>
  <c r="E128" i="2"/>
  <c r="C35" i="10"/>
  <c r="C36" i="10"/>
  <c r="C29" i="10"/>
  <c r="E81" i="2"/>
  <c r="G649" i="1"/>
  <c r="J649" i="1"/>
  <c r="L544" i="1"/>
  <c r="L524" i="1"/>
  <c r="J338" i="1"/>
  <c r="J352" i="1"/>
  <c r="D127" i="2"/>
  <c r="D128" i="2"/>
  <c r="D145" i="2"/>
  <c r="C124" i="2"/>
  <c r="C122" i="2"/>
  <c r="C118" i="2"/>
  <c r="C19" i="10"/>
  <c r="C16" i="10"/>
  <c r="D17" i="13"/>
  <c r="C17" i="13"/>
  <c r="D7" i="13"/>
  <c r="C7" i="13"/>
  <c r="E16" i="13"/>
  <c r="C16" i="13"/>
  <c r="H660" i="1"/>
  <c r="G36" i="14"/>
  <c r="H36" i="14"/>
  <c r="I36" i="14"/>
  <c r="C10" i="10"/>
  <c r="C109" i="2"/>
  <c r="L229" i="1"/>
  <c r="G24" i="14"/>
  <c r="L337" i="1"/>
  <c r="F62" i="2"/>
  <c r="F63" i="2"/>
  <c r="C23" i="10"/>
  <c r="G163" i="2"/>
  <c r="G162" i="2"/>
  <c r="G160" i="2"/>
  <c r="G159" i="2"/>
  <c r="G158" i="2"/>
  <c r="G103" i="2"/>
  <c r="F103" i="2"/>
  <c r="C103" i="2"/>
  <c r="F91" i="2"/>
  <c r="E50" i="2"/>
  <c r="E51" i="2"/>
  <c r="C50" i="2"/>
  <c r="F31" i="2"/>
  <c r="C31" i="2"/>
  <c r="E18" i="2"/>
  <c r="E144" i="2"/>
  <c r="F50" i="2"/>
  <c r="F51" i="2"/>
  <c r="C24" i="10"/>
  <c r="H31" i="13"/>
  <c r="H33" i="13"/>
  <c r="I338" i="1"/>
  <c r="I352" i="1"/>
  <c r="J650" i="1"/>
  <c r="L407" i="1"/>
  <c r="C140" i="2"/>
  <c r="C141" i="2"/>
  <c r="C144" i="2"/>
  <c r="L571" i="1"/>
  <c r="I192" i="1"/>
  <c r="E91" i="2"/>
  <c r="E104" i="2"/>
  <c r="L408" i="1"/>
  <c r="G637" i="1"/>
  <c r="J637" i="1"/>
  <c r="D51" i="2"/>
  <c r="J654" i="1"/>
  <c r="J653" i="1"/>
  <c r="F144" i="2"/>
  <c r="F145" i="2"/>
  <c r="G21" i="2"/>
  <c r="G31" i="2"/>
  <c r="J32" i="1"/>
  <c r="L434" i="1"/>
  <c r="G638" i="1"/>
  <c r="J638" i="1"/>
  <c r="J434" i="1"/>
  <c r="F434" i="1"/>
  <c r="K434" i="1"/>
  <c r="G134" i="2"/>
  <c r="G144" i="2"/>
  <c r="G145" i="2"/>
  <c r="G31" i="13"/>
  <c r="J193" i="1"/>
  <c r="G646" i="1"/>
  <c r="F104" i="2"/>
  <c r="H193" i="1"/>
  <c r="G629" i="1"/>
  <c r="J629" i="1"/>
  <c r="G169" i="1"/>
  <c r="C39" i="10"/>
  <c r="G140" i="1"/>
  <c r="F140" i="1"/>
  <c r="G63" i="2"/>
  <c r="G104" i="2"/>
  <c r="J618" i="1"/>
  <c r="G42" i="2"/>
  <c r="J51" i="1"/>
  <c r="G16" i="2"/>
  <c r="G18" i="2"/>
  <c r="J19" i="1"/>
  <c r="G621" i="1"/>
  <c r="F545" i="1"/>
  <c r="H434" i="1"/>
  <c r="J620" i="1"/>
  <c r="J619" i="1"/>
  <c r="D103" i="2"/>
  <c r="D104" i="2"/>
  <c r="I140" i="1"/>
  <c r="I193" i="1"/>
  <c r="G630" i="1"/>
  <c r="J630" i="1"/>
  <c r="A22" i="12"/>
  <c r="G50" i="2"/>
  <c r="G51" i="2"/>
  <c r="J652" i="1"/>
  <c r="G571" i="1"/>
  <c r="I434" i="1"/>
  <c r="G434" i="1"/>
  <c r="I663" i="1"/>
  <c r="C27" i="10"/>
  <c r="G635" i="1"/>
  <c r="J635" i="1"/>
  <c r="G33" i="13"/>
  <c r="C115" i="2"/>
  <c r="L257" i="1"/>
  <c r="L271" i="1"/>
  <c r="G632" i="1"/>
  <c r="J632" i="1"/>
  <c r="E33" i="13"/>
  <c r="D35" i="13"/>
  <c r="I662" i="1"/>
  <c r="L338" i="1"/>
  <c r="L352" i="1"/>
  <c r="G633" i="1"/>
  <c r="J633" i="1"/>
  <c r="H648" i="1"/>
  <c r="J648" i="1"/>
  <c r="F660" i="1"/>
  <c r="F664" i="1"/>
  <c r="F672" i="1"/>
  <c r="C4" i="10"/>
  <c r="G4" i="14"/>
  <c r="H4" i="14"/>
  <c r="I4" i="14"/>
  <c r="E145" i="2"/>
  <c r="J647" i="1"/>
  <c r="C128" i="2"/>
  <c r="L545" i="1"/>
  <c r="H646" i="1"/>
  <c r="J646" i="1"/>
  <c r="F193" i="1"/>
  <c r="G627" i="1"/>
  <c r="J627" i="1"/>
  <c r="C63" i="2"/>
  <c r="C104" i="2"/>
  <c r="I661" i="1"/>
  <c r="H664" i="1"/>
  <c r="H667" i="1"/>
  <c r="D31" i="13"/>
  <c r="C31" i="13"/>
  <c r="I461" i="1"/>
  <c r="H642" i="1"/>
  <c r="J642" i="1"/>
  <c r="G660" i="1"/>
  <c r="G664" i="1"/>
  <c r="G667" i="1"/>
  <c r="C25" i="13"/>
  <c r="I33" i="13"/>
  <c r="K552" i="1"/>
  <c r="C28" i="10"/>
  <c r="D23" i="10"/>
  <c r="H24" i="14"/>
  <c r="I24" i="14"/>
  <c r="C51" i="2"/>
  <c r="G631" i="1"/>
  <c r="J631" i="1"/>
  <c r="G193" i="1"/>
  <c r="G628" i="1"/>
  <c r="J628" i="1"/>
  <c r="G626" i="1"/>
  <c r="J626" i="1"/>
  <c r="J52" i="1"/>
  <c r="H621" i="1"/>
  <c r="J621" i="1"/>
  <c r="C38" i="10"/>
  <c r="C145" i="2"/>
  <c r="F667" i="1"/>
  <c r="I660" i="1"/>
  <c r="I664" i="1"/>
  <c r="I672" i="1"/>
  <c r="C7" i="10"/>
  <c r="H672" i="1"/>
  <c r="C6" i="10"/>
  <c r="D25" i="10"/>
  <c r="G672" i="1"/>
  <c r="C5" i="10"/>
  <c r="D22" i="10"/>
  <c r="D18" i="10"/>
  <c r="D27" i="10"/>
  <c r="D15" i="10"/>
  <c r="D21" i="10"/>
  <c r="D24" i="10"/>
  <c r="D20" i="10"/>
  <c r="D11" i="10"/>
  <c r="D12" i="10"/>
  <c r="D13" i="10"/>
  <c r="D17" i="10"/>
  <c r="D19" i="10"/>
  <c r="D10" i="10"/>
  <c r="D26" i="10"/>
  <c r="C30" i="10"/>
  <c r="D16" i="10"/>
  <c r="D33" i="13"/>
  <c r="D36" i="13"/>
  <c r="H656" i="1"/>
  <c r="C41" i="10"/>
  <c r="D38" i="10"/>
  <c r="I667"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<sst xmlns="http://schemas.openxmlformats.org/spreadsheetml/2006/main" count="5509" uniqueCount="1613">
  <si>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</si>
  <si>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</si>
  <si>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</si>
  <si>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</si>
  <si>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</si>
  <si>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</si>
  <si>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</si>
  <si>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</si>
  <si>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</si>
  <si>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</si>
  <si>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</si>
  <si>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</si>
  <si>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</si>
  <si>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</si>
  <si>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</si>
  <si>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</si>
  <si>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</si>
  <si>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</si>
  <si>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</si>
  <si>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</si>
  <si>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</si>
  <si>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</si>
  <si>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</si>
  <si>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</si>
  <si>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</si>
  <si>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</si>
  <si>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</si>
  <si>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</si>
  <si>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</si>
  <si>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</si>
  <si>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</si>
  <si>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</si>
  <si>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</si>
  <si>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</si>
  <si>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</si>
  <si>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</si>
  <si>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</si>
  <si>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</si>
  <si>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</si>
  <si>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</si>
  <si>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</si>
  <si>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</si>
  <si>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</si>
  <si>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</si>
  <si>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</si>
  <si>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</si>
  <si>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</si>
  <si>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</si>
  <si>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</si>
  <si>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</si>
  <si>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</si>
  <si>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</si>
  <si>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</si>
  <si>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</si>
  <si>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</si>
  <si>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</si>
  <si>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</si>
  <si>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</si>
  <si>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</si>
  <si>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</si>
  <si>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</si>
  <si>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</si>
  <si>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</si>
  <si>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</si>
  <si>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</si>
  <si>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</si>
  <si>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</si>
  <si>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</si>
  <si>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</si>
  <si>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</si>
  <si>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</si>
  <si>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</si>
  <si>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</si>
  <si>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</si>
  <si>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</si>
  <si>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</si>
  <si>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</si>
  <si>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</si>
  <si>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</si>
  <si>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</si>
  <si>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</si>
  <si>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</si>
  <si>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</si>
  <si>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</si>
  <si>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</si>
  <si>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</si>
  <si>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</si>
  <si>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</si>
  <si>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</si>
  <si>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</si>
  <si>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</si>
  <si>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</si>
  <si>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</si>
  <si>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</si>
  <si>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</si>
  <si>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</si>
  <si>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</si>
  <si>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</si>
  <si>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</si>
  <si>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</si>
  <si>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</si>
  <si>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</si>
  <si>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</si>
  <si>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</si>
  <si>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</si>
  <si>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</si>
  <si>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</si>
  <si>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</si>
  <si>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</si>
  <si>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</si>
  <si>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</si>
  <si>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</si>
  <si>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</si>
  <si>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</si>
  <si>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</si>
  <si>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</si>
  <si>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</si>
  <si>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</si>
  <si>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</si>
  <si>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</si>
  <si>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</si>
  <si>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</si>
  <si>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</si>
  <si>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</si>
  <si>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</si>
  <si>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</si>
  <si>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</si>
  <si>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</si>
  <si>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</si>
  <si>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</si>
  <si>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</si>
  <si>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</si>
  <si>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</si>
  <si>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</si>
  <si>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</si>
  <si>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</si>
  <si>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</si>
  <si>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</si>
  <si>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</si>
  <si>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</si>
  <si>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</si>
  <si>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</si>
  <si>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</si>
  <si>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</si>
  <si>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</si>
  <si>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</si>
  <si>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</si>
  <si>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</si>
  <si>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</si>
  <si>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</si>
  <si>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</si>
  <si>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</si>
  <si>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</si>
  <si>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</si>
  <si>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</si>
  <si>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</si>
  <si>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</si>
  <si>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</si>
  <si>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</si>
  <si>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</si>
  <si>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</si>
  <si>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</si>
  <si>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</si>
  <si>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</si>
  <si>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</si>
  <si>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</si>
  <si>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</si>
  <si>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</si>
  <si>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</si>
  <si>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</si>
  <si>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</si>
  <si>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</si>
  <si>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</si>
  <si>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</si>
  <si>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</si>
  <si>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</si>
  <si>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</si>
  <si>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</si>
  <si>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</si>
  <si>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</si>
  <si>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</si>
  <si>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</si>
  <si>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</si>
  <si>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</si>
  <si>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</si>
  <si>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</si>
  <si>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</si>
  <si>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</si>
  <si>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</si>
  <si>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</si>
  <si>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</si>
  <si>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</si>
  <si>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</si>
  <si>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</si>
  <si>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</si>
  <si>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</si>
  <si>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</si>
  <si>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</si>
  <si>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</si>
  <si>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</si>
  <si>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</si>
  <si>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</si>
  <si>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</si>
  <si>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</si>
  <si>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</si>
  <si>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</si>
  <si>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</si>
  <si>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</si>
  <si>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</si>
  <si>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</si>
  <si>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</si>
  <si>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</si>
  <si>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</si>
  <si>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</si>
  <si>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</si>
  <si>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</si>
  <si>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</si>
  <si>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</si>
  <si>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</si>
  <si>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</si>
  <si>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</si>
  <si>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</si>
  <si>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</si>
  <si>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</si>
  <si>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</si>
  <si>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</si>
  <si>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</si>
  <si>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</si>
  <si>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</si>
  <si>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</si>
  <si>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</si>
  <si>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</si>
  <si>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</si>
  <si>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</si>
  <si>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</si>
  <si>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</si>
  <si>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</si>
  <si>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</si>
  <si>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</si>
  <si>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</si>
  <si>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</si>
  <si>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</si>
  <si>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</si>
  <si>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</si>
  <si>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</si>
  <si>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</si>
  <si>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</si>
  <si>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</si>
  <si>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</si>
  <si>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</si>
  <si>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</si>
  <si>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</si>
  <si>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</si>
  <si>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</si>
  <si>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</si>
  <si>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</si>
  <si>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</si>
  <si>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</si>
  <si>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</si>
  <si>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</si>
  <si>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</si>
  <si>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</si>
  <si>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</si>
  <si>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</si>
  <si>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</si>
  <si>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</si>
  <si>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</si>
  <si>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</si>
  <si>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</si>
  <si>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</si>
  <si>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</si>
  <si>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</si>
  <si>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</si>
  <si>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</si>
  <si>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</si>
  <si>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</si>
  <si>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</si>
  <si>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</si>
  <si>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</si>
  <si>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</si>
  <si>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</si>
  <si>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</si>
  <si>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</si>
  <si>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</si>
  <si>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</si>
  <si>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</si>
  <si>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</si>
  <si>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</si>
  <si>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</si>
  <si>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</si>
  <si>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</si>
  <si>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</si>
  <si>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</si>
  <si>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</si>
  <si>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</si>
  <si>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</si>
  <si>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</si>
  <si>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</si>
  <si>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</si>
  <si>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</si>
  <si>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</si>
  <si>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</si>
  <si>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</si>
  <si>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</si>
  <si>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</si>
  <si>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</si>
  <si>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</si>
  <si>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</si>
  <si>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</si>
  <si>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</si>
  <si>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</si>
  <si>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</si>
  <si>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</si>
  <si>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</si>
  <si>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</si>
  <si>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</si>
  <si>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</si>
  <si>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</si>
  <si>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</si>
  <si>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</si>
  <si>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</si>
  <si>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</si>
  <si>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</si>
  <si>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</si>
  <si>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</si>
  <si>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</si>
  <si>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</si>
  <si>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</si>
  <si>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</si>
  <si>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</si>
  <si>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</si>
  <si>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</si>
  <si>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</si>
  <si>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</si>
  <si>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</si>
  <si>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</si>
  <si>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</si>
  <si>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</si>
  <si>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</si>
  <si>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</si>
  <si>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</si>
  <si>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</si>
  <si>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</si>
  <si>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</si>
  <si>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</si>
  <si>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</si>
  <si>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</si>
  <si>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</si>
  <si>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</si>
  <si>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</si>
  <si>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</si>
  <si>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</si>
  <si>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</si>
  <si>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</si>
  <si>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</si>
  <si>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</si>
  <si>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</si>
  <si>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</si>
  <si>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</si>
  <si>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</si>
  <si>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</si>
  <si>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</si>
  <si>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</si>
  <si>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</si>
  <si>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</si>
  <si>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</si>
  <si>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</si>
  <si>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</si>
  <si>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</si>
  <si>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</si>
  <si>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</si>
  <si>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</si>
  <si>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</si>
  <si>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</si>
  <si>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</si>
  <si>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</si>
  <si>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</si>
  <si>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</si>
  <si>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</si>
  <si>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</si>
  <si>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</si>
  <si>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</si>
  <si>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</si>
  <si>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</si>
  <si>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</si>
  <si>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</si>
  <si>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</si>
  <si>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</si>
  <si>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</si>
  <si>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</si>
  <si>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</si>
  <si>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</si>
  <si>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</si>
  <si>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</si>
  <si>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</si>
  <si>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</si>
  <si>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</si>
  <si>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</si>
  <si>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</si>
  <si>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</si>
  <si>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</si>
  <si>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</si>
  <si>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</si>
  <si>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</si>
  <si>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</si>
  <si>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</si>
  <si>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</si>
  <si>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</si>
  <si>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</si>
  <si>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</si>
  <si>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</si>
  <si>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</si>
  <si>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</si>
  <si>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</si>
  <si>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</si>
  <si>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</si>
  <si>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</si>
  <si>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</si>
  <si>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</si>
  <si>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</si>
  <si>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</si>
  <si>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</si>
  <si>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</si>
  <si>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</si>
  <si>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</si>
  <si>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</si>
  <si>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</si>
  <si>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</si>
  <si>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</si>
  <si>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</si>
  <si>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</si>
  <si>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</si>
  <si>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</si>
  <si>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</si>
  <si>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</si>
  <si>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</si>
  <si>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</si>
  <si>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</si>
  <si>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</si>
  <si>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</si>
  <si>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</si>
  <si>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</si>
  <si>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</si>
  <si>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</si>
  <si>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</si>
  <si>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</si>
  <si>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</si>
  <si>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</si>
  <si>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</si>
  <si>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</si>
  <si>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</si>
  <si>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</si>
  <si>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</si>
  <si>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</si>
  <si>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</si>
  <si>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</si>
  <si>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</si>
  <si>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</si>
  <si>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</si>
  <si>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</si>
  <si>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</si>
  <si>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</si>
  <si>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</si>
  <si>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</si>
  <si>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</si>
  <si>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</si>
  <si>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</si>
  <si>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</si>
  <si>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</si>
  <si>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</si>
  <si>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</si>
  <si>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</si>
  <si>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</si>
  <si>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</si>
  <si>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</si>
  <si>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</si>
  <si>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</si>
  <si>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</si>
  <si>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</si>
  <si>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</si>
  <si>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</si>
  <si>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</si>
  <si>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</si>
  <si>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</si>
  <si>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</si>
  <si>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</si>
  <si>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</si>
  <si>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</si>
  <si>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</si>
  <si>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</si>
  <si>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</si>
  <si>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</si>
  <si>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</si>
  <si>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</si>
  <si>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</si>
  <si>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</si>
  <si>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</si>
  <si>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</si>
  <si>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</si>
  <si>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</si>
  <si>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</si>
  <si>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</si>
  <si>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</si>
  <si>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</si>
  <si>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</si>
  <si>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</si>
  <si>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</si>
  <si>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</si>
  <si>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</si>
  <si>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</si>
  <si>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</si>
  <si>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</si>
  <si>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</si>
  <si>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</si>
  <si>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</si>
  <si>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</si>
  <si>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</si>
  <si>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</si>
  <si>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</si>
  <si>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</si>
  <si>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</si>
  <si>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</si>
  <si>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</si>
  <si>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</si>
  <si>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</si>
  <si>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</si>
  <si>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</si>
  <si>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</si>
  <si>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</si>
  <si>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</si>
  <si>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</si>
  <si>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</si>
  <si>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</si>
  <si>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</si>
  <si>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</si>
  <si>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</si>
  <si>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</si>
  <si>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</si>
  <si>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</si>
  <si>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</si>
  <si>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</si>
  <si>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</si>
  <si>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</si>
  <si>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</si>
  <si>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</si>
  <si>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</si>
  <si>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</si>
  <si>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</si>
  <si>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</si>
  <si>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</si>
  <si>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</si>
  <si>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</si>
  <si>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</si>
  <si>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</si>
  <si>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</si>
  <si>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</si>
  <si>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</si>
  <si>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</si>
  <si>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</si>
  <si>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</si>
  <si>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</si>
  <si>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</si>
  <si>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</si>
  <si>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</si>
  <si>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</si>
  <si>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</si>
  <si>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</si>
  <si>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</si>
  <si>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</si>
  <si>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</si>
  <si>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</si>
  <si>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</si>
  <si>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</si>
  <si>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</si>
  <si>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</si>
  <si>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</si>
  <si>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</si>
  <si>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</si>
  <si>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</si>
  <si>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</si>
  <si>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</si>
  <si>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</si>
  <si>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</si>
  <si>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</si>
  <si>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</si>
  <si>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</si>
  <si>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</si>
  <si>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</si>
  <si>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</si>
  <si>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</si>
  <si>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</si>
  <si>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</si>
  <si>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</si>
  <si>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</si>
  <si>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</si>
  <si>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</si>
  <si>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</si>
  <si>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</si>
  <si>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</si>
  <si>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</si>
  <si>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</si>
  <si>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</si>
  <si>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</si>
  <si>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</si>
  <si>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</si>
  <si>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</si>
  <si>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</si>
  <si>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</si>
  <si>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</si>
  <si>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</si>
  <si>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</si>
  <si>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</si>
  <si>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</si>
  <si>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</si>
  <si>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</si>
  <si>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</si>
  <si>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</si>
  <si>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</si>
  <si>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</si>
  <si>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</si>
  <si>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</si>
  <si>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</si>
  <si>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</si>
  <si>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</si>
  <si>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</si>
  <si>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</si>
  <si>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</si>
  <si>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</si>
  <si>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</si>
  <si>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</si>
  <si>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</si>
  <si>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</si>
  <si>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</si>
  <si>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</si>
  <si>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</si>
  <si>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</si>
  <si>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</si>
  <si>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</si>
  <si>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</si>
  <si>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</si>
  <si>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</si>
  <si>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</si>
  <si>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</si>
  <si>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</si>
  <si>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</si>
  <si>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</si>
  <si>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</si>
  <si>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</si>
  <si>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</si>
  <si>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</si>
  <si>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</si>
  <si>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</si>
  <si>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</si>
  <si>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</si>
  <si>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</si>
  <si>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</si>
  <si>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</si>
  <si>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</si>
  <si>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</si>
  <si>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</si>
  <si>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</si>
  <si>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</si>
  <si>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</si>
  <si>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</si>
  <si>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</si>
  <si>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</si>
  <si>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</si>
  <si>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</si>
  <si>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</si>
  <si>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</si>
  <si>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</si>
  <si>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</si>
  <si>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</si>
  <si>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</si>
  <si>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</si>
  <si>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</si>
  <si>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</si>
  <si>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</si>
  <si>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</si>
  <si>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</si>
  <si>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</si>
  <si>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</si>
  <si>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</si>
  <si>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</si>
  <si>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</si>
  <si>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</si>
  <si>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</si>
  <si>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</si>
  <si>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</si>
  <si>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</si>
  <si>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</si>
  <si>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</si>
  <si>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</si>
  <si>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</si>
  <si>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</si>
  <si>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</si>
  <si>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</si>
  <si>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</si>
  <si>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</si>
  <si>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</si>
  <si>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</si>
  <si>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</si>
  <si>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</si>
  <si>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</si>
  <si>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</si>
  <si>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</si>
  <si>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</si>
  <si>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</si>
  <si>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</si>
  <si>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</si>
  <si>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</si>
  <si>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</si>
  <si>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</si>
  <si>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</si>
  <si>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</si>
  <si>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</si>
  <si>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</si>
  <si>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</si>
  <si>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</si>
  <si>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</si>
  <si>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</si>
  <si>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</si>
  <si>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</si>
  <si>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</si>
  <si>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</si>
  <si>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</si>
  <si>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</si>
  <si>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</si>
  <si>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</si>
  <si>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</si>
  <si>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</si>
  <si>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</si>
  <si>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</si>
  <si>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</si>
  <si>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</si>
  <si>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</si>
  <si>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</si>
  <si>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</si>
  <si>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</si>
  <si>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</si>
  <si>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</si>
  <si>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</si>
  <si>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</si>
  <si>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</si>
  <si>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</si>
  <si>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</si>
  <si>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</si>
  <si>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</si>
  <si>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</si>
  <si>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</si>
  <si>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</si>
  <si>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</si>
  <si>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</si>
  <si>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</si>
  <si>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</si>
  <si>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</si>
  <si>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</si>
  <si>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</si>
  <si>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</si>
  <si>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</si>
  <si>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</si>
  <si>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</si>
  <si>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</si>
  <si>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</si>
  <si>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</si>
  <si>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</si>
  <si>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</si>
  <si>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</si>
  <si>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</si>
  <si>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</si>
  <si>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</si>
  <si>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</si>
  <si>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</si>
  <si>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</si>
  <si>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</si>
  <si>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</si>
  <si>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</si>
  <si>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</si>
  <si>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</si>
  <si>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</si>
  <si>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</si>
  <si>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</si>
  <si>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</si>
  <si>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</si>
  <si>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</si>
  <si>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</si>
  <si>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</si>
  <si>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</si>
  <si>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</si>
  <si>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</si>
  <si>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</si>
  <si>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</si>
  <si>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</si>
  <si>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</si>
  <si>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</si>
  <si>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</si>
  <si>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</si>
  <si>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</si>
  <si>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</si>
  <si>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</si>
  <si>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</si>
  <si>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</si>
  <si>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</si>
  <si>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</si>
  <si>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</si>
  <si>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</si>
  <si>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</si>
  <si>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</si>
  <si>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</si>
  <si>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</si>
  <si>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</si>
  <si>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</si>
  <si>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</si>
  <si>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</si>
  <si>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</si>
  <si>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</si>
  <si>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</si>
  <si>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</si>
  <si>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</si>
  <si>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</si>
  <si>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</si>
  <si>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</si>
  <si>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</si>
  <si>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</si>
  <si>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</si>
  <si>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</si>
  <si>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</si>
  <si>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</si>
  <si>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</si>
  <si>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</si>
  <si>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</si>
  <si>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</si>
  <si>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</si>
  <si>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</si>
  <si>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</si>
  <si>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</si>
  <si>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</si>
  <si>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</si>
  <si>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</si>
  <si>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</si>
  <si>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</si>
  <si>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</si>
  <si>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</si>
  <si>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</si>
  <si>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</si>
  <si>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</si>
  <si>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</si>
  <si>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</si>
  <si>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</si>
  <si>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</si>
  <si>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</si>
  <si>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</si>
  <si>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</si>
  <si>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</si>
  <si>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</si>
  <si>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</si>
  <si>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</si>
  <si>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</si>
  <si>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</si>
  <si>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</si>
  <si>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</si>
  <si>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</si>
  <si>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</si>
  <si>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</si>
  <si>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</si>
  <si>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</si>
  <si>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</si>
  <si>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</si>
  <si>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</si>
  <si>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</si>
  <si>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</si>
  <si>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</si>
  <si>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</si>
  <si>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</si>
  <si>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</si>
  <si>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</si>
  <si>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</si>
  <si>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</si>
  <si>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</si>
  <si>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</si>
  <si>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</si>
  <si>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</si>
  <si>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</si>
  <si>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</si>
  <si>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</si>
  <si>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</si>
  <si>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</si>
  <si>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</si>
  <si>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</si>
  <si>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</si>
  <si>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</si>
  <si>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</si>
  <si>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</si>
  <si>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</si>
  <si>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</si>
  <si>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</si>
  <si>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</si>
  <si>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</si>
  <si>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</si>
  <si>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</si>
  <si>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</si>
  <si>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</si>
  <si>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</si>
  <si>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</si>
  <si>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</si>
  <si>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</si>
  <si>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</si>
  <si>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</si>
  <si>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</si>
  <si>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</si>
  <si>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</si>
  <si>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</si>
  <si>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</si>
  <si>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</si>
  <si>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</si>
  <si>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</si>
  <si>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</si>
  <si>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</si>
  <si>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</si>
  <si>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</si>
  <si>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</si>
  <si>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</si>
  <si>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</si>
  <si>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</si>
  <si>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</si>
  <si>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</si>
  <si>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</si>
  <si>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</si>
  <si>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</si>
  <si>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</si>
  <si>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</si>
  <si>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</si>
  <si>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</si>
  <si>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</si>
  <si>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</si>
  <si>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</si>
  <si>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</si>
  <si>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</si>
  <si>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</si>
  <si>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</si>
  <si>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</si>
  <si>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</si>
  <si>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</si>
  <si>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</si>
  <si>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</si>
  <si>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</si>
  <si>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</si>
  <si>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</si>
  <si>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</si>
  <si>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</si>
  <si>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</si>
  <si>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</si>
  <si>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</si>
  <si>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</si>
  <si>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</si>
  <si>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</si>
  <si>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</si>
  <si>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</si>
  <si>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</si>
  <si>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</si>
  <si>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</si>
  <si>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</si>
  <si>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</si>
  <si>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</si>
  <si>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</si>
  <si>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</si>
  <si>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</si>
  <si>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</si>
  <si>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</si>
  <si>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</si>
  <si>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</si>
  <si>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</si>
  <si>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</si>
  <si>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</si>
  <si>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</si>
  <si>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</si>
  <si>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</si>
  <si>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</si>
  <si>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</si>
  <si>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</si>
  <si>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</si>
  <si>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</si>
  <si>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</si>
  <si>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</si>
  <si>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</si>
  <si>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</si>
  <si>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</si>
  <si>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</si>
  <si>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</si>
  <si>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</si>
  <si>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</si>
  <si>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</si>
  <si>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</si>
  <si>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</si>
  <si>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</si>
  <si>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</si>
  <si>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</si>
  <si>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</si>
  <si>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</si>
  <si>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</si>
  <si>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</si>
  <si>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</si>
  <si>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</si>
  <si>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</si>
  <si>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</si>
  <si>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</si>
  <si>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</si>
  <si>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</si>
  <si>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</si>
  <si>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</si>
  <si>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</si>
  <si>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</si>
  <si>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</si>
  <si>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</si>
  <si>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</si>
  <si>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</si>
  <si>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</si>
  <si>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</si>
  <si>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</si>
  <si>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</si>
  <si>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</si>
  <si>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</si>
  <si>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</si>
  <si>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</si>
  <si>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</si>
  <si>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</si>
  <si>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</si>
  <si>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</si>
  <si>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</si>
  <si>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</si>
  <si>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</si>
  <si>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</si>
  <si>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</si>
  <si>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</si>
  <si>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</si>
  <si>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</si>
  <si>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</si>
  <si>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</si>
  <si>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</si>
  <si>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</si>
  <si>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</si>
  <si>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</si>
  <si>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</si>
  <si>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</si>
  <si>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</si>
  <si>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</si>
  <si>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</si>
  <si>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</si>
  <si>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</si>
  <si>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</si>
  <si>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</si>
  <si>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</si>
  <si>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</si>
  <si>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</si>
  <si>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</si>
  <si>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</si>
  <si>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</si>
  <si>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</si>
  <si>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</si>
  <si>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</si>
  <si>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</si>
  <si>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</si>
  <si>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</si>
  <si>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</si>
  <si>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</si>
  <si>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</si>
  <si>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</si>
  <si>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</si>
  <si>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</si>
  <si>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</si>
  <si>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</si>
  <si>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</si>
  <si>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</si>
  <si>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</si>
  <si>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</si>
  <si>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</si>
  <si>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</si>
  <si>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</si>
  <si>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</si>
  <si>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</si>
  <si>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</si>
  <si>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</si>
  <si>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</si>
  <si>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</si>
  <si>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</si>
  <si>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</si>
  <si>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</si>
  <si>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</si>
  <si>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</si>
  <si>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</si>
  <si>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</si>
  <si>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</si>
  <si>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</si>
  <si>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</si>
  <si>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</si>
  <si>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</si>
  <si>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</si>
  <si>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</si>
  <si>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</si>
  <si>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</si>
  <si>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</si>
  <si>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</si>
  <si>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</si>
  <si>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</si>
  <si>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</si>
  <si>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</si>
  <si>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</si>
  <si>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</si>
  <si>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</si>
  <si>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</si>
  <si>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</si>
  <si>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</si>
  <si>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</si>
  <si>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</si>
  <si>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</si>
  <si>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</si>
  <si>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</si>
  <si>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</si>
  <si>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</si>
  <si>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</si>
  <si>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</si>
  <si>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</si>
  <si>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</si>
  <si>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</si>
  <si>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</si>
  <si>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</si>
  <si>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</si>
  <si>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</si>
  <si>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</si>
  <si>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</si>
  <si>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</si>
  <si>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</si>
  <si>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</si>
  <si>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</si>
  <si>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</si>
  <si>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</si>
  <si>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</si>
  <si>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</si>
  <si>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</si>
  <si>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</si>
  <si>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</si>
  <si>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</si>
  <si>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</si>
  <si>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</si>
  <si>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</si>
  <si>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</si>
  <si>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</si>
  <si>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</si>
  <si>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</si>
  <si>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</si>
  <si>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</si>
  <si>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</si>
  <si>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</si>
  <si>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</si>
  <si>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</si>
  <si>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</si>
  <si>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</si>
  <si>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</si>
  <si>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</si>
  <si>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</si>
  <si>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</si>
  <si>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</si>
  <si>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</si>
  <si>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</si>
  <si>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</si>
  <si>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</si>
  <si>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</si>
  <si>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</si>
  <si>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</si>
  <si>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</si>
  <si>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</si>
  <si>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</si>
  <si>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</si>
  <si>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</si>
  <si>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</si>
  <si>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</si>
  <si>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</si>
  <si>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</si>
  <si>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</si>
  <si>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</si>
  <si>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</si>
  <si>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</si>
  <si>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</si>
  <si>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</si>
  <si>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</si>
  <si>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</si>
  <si>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</si>
  <si>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</si>
  <si>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</si>
  <si>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</si>
  <si>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</si>
  <si>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</si>
  <si>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</si>
  <si>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</si>
  <si>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</si>
  <si>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</si>
  <si>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</si>
  <si>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</si>
  <si>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</si>
  <si>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</si>
  <si>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</si>
  <si>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</si>
  <si>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</si>
  <si>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</si>
  <si>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</si>
  <si>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</si>
  <si>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</si>
  <si>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</si>
  <si>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</si>
  <si>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</si>
  <si>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</si>
  <si>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</si>
  <si>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</si>
  <si>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</si>
  <si>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</si>
  <si>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</si>
  <si>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</si>
  <si>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</si>
  <si>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</si>
  <si>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</si>
  <si>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</si>
  <si>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</si>
  <si>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</si>
  <si>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</si>
  <si>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</si>
  <si>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</si>
  <si>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</si>
  <si>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</si>
  <si>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</si>
  <si>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</si>
  <si>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</si>
  <si>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</si>
  <si>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</si>
  <si>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</si>
  <si>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</si>
  <si>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</si>
  <si>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</si>
  <si>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</si>
  <si>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</si>
  <si>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</si>
  <si>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</si>
  <si>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</si>
  <si>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</si>
  <si>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</si>
  <si>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</si>
  <si>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</si>
  <si>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</si>
  <si>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</si>
  <si>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</si>
  <si>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</si>
  <si>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</si>
  <si>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</si>
  <si>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</si>
  <si>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</si>
  <si>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</si>
  <si>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</si>
  <si>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</si>
  <si>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</si>
  <si>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</si>
  <si>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</si>
  <si>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</si>
  <si>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</si>
  <si>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</si>
  <si>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</si>
  <si>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</si>
  <si>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</si>
  <si>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</si>
  <si>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</si>
  <si>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</si>
  <si>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</si>
  <si>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</si>
  <si>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</si>
  <si>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</si>
  <si>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</si>
  <si>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</si>
  <si>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</si>
  <si>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</si>
  <si>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</si>
  <si>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</si>
  <si>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</si>
  <si>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</si>
  <si>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</si>
  <si>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</si>
  <si>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</si>
  <si>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</si>
  <si>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</si>
  <si>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</si>
  <si>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</si>
  <si>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</si>
  <si>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</si>
  <si>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</si>
  <si>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</si>
  <si>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</si>
  <si>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</si>
  <si>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</si>
  <si>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</si>
  <si>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</si>
  <si>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</si>
  <si>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</si>
  <si>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</si>
  <si>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</si>
  <si>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</si>
  <si>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</si>
  <si>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</si>
  <si>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</si>
  <si>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</si>
  <si>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</si>
  <si>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</si>
  <si>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</si>
  <si>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</si>
  <si>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</si>
  <si>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</si>
  <si>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</si>
  <si>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</si>
  <si>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</si>
  <si>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</si>
  <si>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</si>
  <si>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</si>
  <si>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</si>
  <si>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</si>
  <si>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</si>
  <si>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</si>
  <si>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</si>
  <si>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</si>
  <si>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</si>
  <si>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</si>
  <si>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</si>
  <si>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</si>
  <si>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</si>
  <si>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</si>
  <si>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</si>
  <si>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</si>
  <si>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</si>
  <si>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</si>
  <si>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</si>
  <si>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</si>
  <si>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</si>
  <si>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</si>
  <si>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</si>
  <si>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</si>
  <si>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</si>
  <si>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</si>
  <si>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</si>
  <si>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</si>
  <si>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</si>
  <si>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</si>
  <si>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</si>
  <si>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</si>
  <si>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</si>
  <si>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</si>
  <si>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</si>
  <si>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</si>
  <si>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</si>
  <si>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</si>
  <si>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</si>
  <si>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</si>
  <si>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</si>
  <si>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</si>
  <si>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</si>
  <si>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</si>
  <si>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</si>
  <si>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</si>
  <si>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</si>
  <si>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</si>
  <si>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</si>
  <si>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</si>
  <si>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</si>
  <si>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</si>
  <si>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</si>
  <si>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</si>
  <si>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</si>
  <si>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</si>
  <si>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</si>
  <si>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</si>
  <si>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</si>
  <si>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</si>
  <si>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</si>
  <si>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</si>
  <si>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</si>
  <si>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</si>
  <si>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</si>
  <si>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</si>
  <si>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</si>
  <si>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</si>
  <si>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</si>
  <si>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</si>
  <si>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</si>
  <si>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</si>
  <si>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</si>
  <si>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</si>
  <si>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</si>
  <si>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</si>
  <si>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</si>
  <si>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</si>
  <si>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</si>
  <si>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</si>
  <si>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</si>
  <si>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</si>
  <si>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</si>
  <si>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</si>
  <si>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</si>
  <si>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</si>
  <si>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</si>
  <si>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</si>
  <si>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</si>
  <si>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</si>
  <si>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</si>
  <si>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</si>
  <si>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</si>
  <si>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</si>
  <si>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</si>
  <si>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</si>
  <si>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</si>
  <si>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</si>
  <si>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</si>
  <si>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</si>
  <si>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</si>
  <si>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</si>
  <si>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</si>
  <si>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</si>
  <si>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</si>
  <si>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</si>
  <si>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</si>
  <si>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</si>
  <si>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</si>
  <si>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</si>
  <si>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</si>
  <si>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</si>
  <si>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</si>
  <si>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</si>
  <si>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</si>
  <si>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</si>
  <si>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</si>
  <si>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</si>
  <si>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</si>
  <si>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</si>
  <si>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</si>
  <si>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</si>
  <si>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</si>
  <si>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</si>
  <si>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</si>
  <si>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</si>
  <si>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</si>
  <si>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</si>
  <si>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</si>
  <si>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</si>
  <si>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</si>
  <si>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</si>
  <si>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</si>
  <si>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</si>
  <si>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</si>
  <si>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</si>
  <si>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</si>
  <si>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</si>
  <si>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</si>
  <si>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</si>
  <si>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</si>
  <si>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</si>
  <si>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</si>
  <si>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</si>
  <si>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</si>
  <si>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</si>
  <si>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</si>
  <si>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</si>
  <si>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</si>
  <si>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</si>
  <si>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</si>
  <si>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</si>
  <si>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</si>
  <si>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</si>
  <si>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</si>
  <si>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</si>
  <si>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</si>
  <si>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</si>
  <si>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</si>
  <si>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</si>
  <si>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</si>
  <si>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</si>
  <si>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</si>
  <si>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</si>
  <si>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</si>
  <si>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</si>
  <si>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</si>
  <si>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</si>
  <si>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</si>
  <si>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</si>
  <si>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</si>
  <si>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</si>
  <si>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</si>
  <si>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</si>
  <si>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</si>
  <si>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</si>
  <si>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</si>
  <si>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</si>
  <si>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</si>
  <si>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</si>
  <si>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</si>
  <si>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</si>
  <si>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</si>
  <si>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</si>
  <si>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</si>
  <si>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</si>
  <si>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</si>
  <si>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</si>
  <si>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</si>
  <si>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</si>
  <si>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</si>
  <si>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</si>
  <si>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</si>
  <si>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</si>
  <si>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</si>
  <si>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</si>
  <si>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</si>
  <si>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</si>
  <si>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</si>
  <si>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</si>
  <si>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</si>
  <si>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</si>
  <si>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</si>
  <si>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</si>
  <si>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</si>
  <si>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</si>
  <si>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</si>
  <si>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</si>
  <si>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</si>
  <si>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</si>
  <si>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</si>
  <si>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</si>
  <si>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</si>
  <si>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</si>
  <si>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</si>
  <si>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</si>
  <si>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</si>
  <si>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</si>
  <si>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</si>
  <si>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</si>
  <si>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</si>
  <si>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</si>
  <si>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</si>
  <si>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</si>
  <si>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</si>
  <si>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</si>
  <si>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</si>
  <si>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</si>
  <si>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</si>
  <si>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</si>
  <si>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</si>
  <si>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</si>
  <si>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</si>
  <si>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</si>
  <si>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</si>
  <si>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</si>
  <si>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</si>
  <si>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</si>
  <si>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</si>
  <si>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</si>
  <si>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</si>
  <si>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</si>
  <si>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</si>
  <si>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</si>
  <si>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</si>
  <si>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</si>
  <si>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</si>
  <si>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</si>
  <si>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</si>
  <si>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</si>
  <si>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</si>
  <si>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</si>
  <si>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</si>
  <si>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</si>
  <si>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</si>
  <si>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</si>
  <si>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</si>
  <si>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</si>
  <si>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</si>
  <si>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</si>
  <si>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</si>
  <si>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</si>
  <si>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</si>
  <si>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</si>
  <si>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</si>
  <si>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</si>
  <si>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</si>
  <si>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</si>
  <si>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</si>
  <si>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</si>
  <si>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</si>
  <si>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</si>
  <si>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</si>
  <si>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</si>
  <si>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</si>
  <si>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</si>
  <si>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</si>
  <si>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</si>
  <si>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</si>
  <si>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</si>
  <si>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</si>
  <si>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</si>
  <si>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</si>
  <si>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</si>
  <si>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</si>
  <si>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</si>
  <si>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</si>
  <si>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</si>
  <si>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</si>
  <si>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</si>
  <si>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</si>
  <si>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</si>
  <si>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</si>
  <si>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</si>
  <si>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05/02</t>
  </si>
  <si>
    <t>07/22</t>
  </si>
  <si>
    <t>Hooksett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</si>
</sst>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G665" sqref="G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261</v>
      </c>
      <c r="C2" s="21">
        <v>261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1612123.81</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191048.66</v>
      </c>
      <c r="G12" s="18">
        <v>37853.089999999997</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199839.97</v>
      </c>
      <c r="G13" s="18">
        <v>8831.64</v>
      </c>
      <c r="H13" s="18">
        <v>199881.9</v>
      </c>
      <c r="I13" s="18"/>
      <c r="J13" s="67">
        <f>SUM(I442)</f>
        <v>624817.83000000007</v>
      </c>
      <c r="K13" s="24" t="s">
        <v>288</v>
      </c>
      <c r="L13" s="24" t="s">
        <v>288</v>
      </c>
      <c r="M13" s="8"/>
      <c r="N13" s="266"/>
    </row>
    <row r="14" spans="1:14" s="3" customFormat="1" ht="12.2" customHeight="1" x14ac:dyDescent="0.15">
      <c r="A14" s="1" t="s">
        <v>565</v>
      </c>
      <c r="B14" s="2" t="s">
        <v>289</v>
      </c>
      <c r="C14" s="6">
        <v>6</v>
      </c>
      <c r="D14" s="2" t="s">
        <v>428</v>
      </c>
      <c r="E14" s="6">
        <v>150</v>
      </c>
      <c r="F14" s="18">
        <v>85888.89</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2088901.3299999998</v>
      </c>
      <c r="G19" s="41">
        <f>SUM(G9:G18)</f>
        <v>46684.729999999996</v>
      </c>
      <c r="H19" s="41">
        <f>SUM(H9:H18)</f>
        <v>199881.9</v>
      </c>
      <c r="I19" s="41">
        <f>SUM(I9:I18)</f>
        <v>0</v>
      </c>
      <c r="J19" s="41">
        <f>SUM(J9:J18)</f>
        <v>624817.83000000007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37853.089999999997</v>
      </c>
      <c r="G22" s="18"/>
      <c r="H22" s="18">
        <v>191048.66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347311.91</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9404.32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10439.780000000001</v>
      </c>
      <c r="H30" s="18">
        <v>8833.24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394569.32</v>
      </c>
      <c r="G32" s="41">
        <f>SUM(G22:G31)</f>
        <v>10439.780000000001</v>
      </c>
      <c r="H32" s="41">
        <f>SUM(H22:H31)</f>
        <v>199881.9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95500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36244.949999999997</v>
      </c>
      <c r="H48" s="18"/>
      <c r="I48" s="18"/>
      <c r="J48" s="13">
        <f>SUM(I459)</f>
        <v>624817.83000000007</v>
      </c>
      <c r="K48" s="24" t="s">
        <v>288</v>
      </c>
      <c r="L48" s="24" t="s">
        <v>288</v>
      </c>
      <c r="M48" s="8"/>
      <c r="N48" s="266"/>
    </row>
    <row r="49" spans="1:14" s="3" customFormat="1" ht="12.2" customHeight="1" x14ac:dyDescent="0.15">
      <c r="A49" s="1" t="s">
        <v>859</v>
      </c>
      <c r="B49" s="2" t="s">
        <v>289</v>
      </c>
      <c r="C49" s="6">
        <v>34</v>
      </c>
      <c r="D49" s="2"/>
      <c r="E49" s="6">
        <v>753</v>
      </c>
      <c r="F49" s="18">
        <v>312644.65999999997</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1381687.35-95500</f>
        <v>1286187.3500000001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1694332.01</v>
      </c>
      <c r="G51" s="41">
        <f>SUM(G35:G50)</f>
        <v>36244.949999999997</v>
      </c>
      <c r="H51" s="41">
        <f>SUM(H35:H50)</f>
        <v>0</v>
      </c>
      <c r="I51" s="41">
        <f>SUM(I35:I50)</f>
        <v>0</v>
      </c>
      <c r="J51" s="41">
        <f>SUM(J35:J50)</f>
        <v>624817.83000000007</v>
      </c>
      <c r="K51" s="45" t="s">
        <v>288</v>
      </c>
      <c r="L51" s="45" t="s">
        <v>288</v>
      </c>
      <c r="N51" s="264"/>
    </row>
    <row r="52" spans="1:14" s="3" customFormat="1" ht="12.2" customHeight="1" thickTop="1" x14ac:dyDescent="0.15">
      <c r="A52" s="38" t="s">
        <v>455</v>
      </c>
      <c r="B52" s="39" t="s">
        <v>289</v>
      </c>
      <c r="C52" s="6">
        <v>37</v>
      </c>
      <c r="D52" s="39" t="s">
        <v>653</v>
      </c>
      <c r="E52" s="39"/>
      <c r="F52" s="41">
        <f>F51+F32</f>
        <v>2088901.33</v>
      </c>
      <c r="G52" s="41">
        <f>G51+G32</f>
        <v>46684.729999999996</v>
      </c>
      <c r="H52" s="41">
        <f>H51+H32</f>
        <v>199881.9</v>
      </c>
      <c r="I52" s="41">
        <f>I51+I32</f>
        <v>0</v>
      </c>
      <c r="J52" s="41">
        <f>J51+J32</f>
        <v>624817.83000000007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22589932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22589932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8516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2612.5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11128.5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25413.06</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25413.06</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403.88</v>
      </c>
      <c r="G96" s="18"/>
      <c r="H96" s="18"/>
      <c r="I96" s="18"/>
      <c r="J96" s="18">
        <v>14096.82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424722.44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15500+5093.74</f>
        <v>20593.739999999998</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5767.17</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42934.29</v>
      </c>
      <c r="G109" s="18">
        <v>59.05</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169586.81</v>
      </c>
      <c r="G110" s="18">
        <v>52.48</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233518.72</v>
      </c>
      <c r="G111" s="41">
        <f>SUM(G96:G110)</f>
        <v>424833.97</v>
      </c>
      <c r="H111" s="41">
        <f>SUM(H96:H110)</f>
        <v>5767.17</v>
      </c>
      <c r="I111" s="41">
        <f>SUM(I96:I110)</f>
        <v>0</v>
      </c>
      <c r="J111" s="41">
        <f>SUM(J96:J110)</f>
        <v>14096.82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22859992.279999997</v>
      </c>
      <c r="G112" s="41">
        <f>G60+G111</f>
        <v>424833.97</v>
      </c>
      <c r="H112" s="41">
        <f>H60+H79+H94+H111</f>
        <v>5767.17</v>
      </c>
      <c r="I112" s="41">
        <f>I60+I111</f>
        <v>0</v>
      </c>
      <c r="J112" s="41">
        <f>J60+J111</f>
        <v>14096.82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3847268.56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4092119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3031.35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7942418.9100000001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330172.46000000002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224323.66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7940.09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84095.75</v>
      </c>
      <c r="I134" s="24"/>
      <c r="J134" s="24"/>
      <c r="K134" s="24"/>
      <c r="L134" s="24"/>
      <c r="M134" s="8"/>
      <c r="N134" s="266"/>
    </row>
    <row r="135" spans="1:14" s="3" customFormat="1" ht="12.2" customHeight="1" thickBot="1" x14ac:dyDescent="0.2">
      <c r="A135" s="1" t="s">
        <v>501</v>
      </c>
      <c r="B135" s="2" t="s">
        <v>321</v>
      </c>
      <c r="C135" s="6">
        <v>18</v>
      </c>
      <c r="D135" s="2" t="s">
        <v>430</v>
      </c>
      <c r="E135" s="6">
        <v>3290</v>
      </c>
      <c r="F135" s="18">
        <v>131664</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686160.12</v>
      </c>
      <c r="G136" s="41">
        <f>SUM(G123:G135)</f>
        <v>7940.09</v>
      </c>
      <c r="H136" s="41">
        <f>SUM(H123:H135)</f>
        <v>84095.75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8628579.0299999993</v>
      </c>
      <c r="G140" s="41">
        <f>G121+SUM(G136:G137)</f>
        <v>7940.09</v>
      </c>
      <c r="H140" s="41">
        <f>H121+SUM(H136:H139)</f>
        <v>84095.75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132145.74+13592.66</f>
        <v>145738.4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6271.78+57488.95</f>
        <v>63760.729999999996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199097.83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301755.18+141730.24</f>
        <v>443485.42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225661.97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225661.97</v>
      </c>
      <c r="G162" s="41">
        <f>SUM(G150:G161)</f>
        <v>199097.83</v>
      </c>
      <c r="H162" s="41">
        <f>SUM(H150:H161)</f>
        <v>652984.55000000005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225661.97</v>
      </c>
      <c r="G169" s="41">
        <f>G147+G162+SUM(G163:G168)</f>
        <v>199097.83</v>
      </c>
      <c r="H169" s="41">
        <f>H147+H162+SUM(H163:H168)</f>
        <v>652984.55000000005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31714233.279999994</v>
      </c>
      <c r="G193" s="47">
        <f>G112+G140+G169+G192</f>
        <v>631871.89</v>
      </c>
      <c r="H193" s="47">
        <f>H112+H140+H169+H192</f>
        <v>742847.47000000009</v>
      </c>
      <c r="I193" s="47">
        <f>I112+I140+I169+I192</f>
        <v>0</v>
      </c>
      <c r="J193" s="47">
        <f>J112+J140+J192</f>
        <v>14096.82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2986722.24+54750.89</f>
        <v>3041473.1300000004</v>
      </c>
      <c r="G197" s="18">
        <f>1661910.36+14078.45+24670.79</f>
        <v>1700659.6</v>
      </c>
      <c r="H197" s="18">
        <f>2831.08+39887.16</f>
        <v>42718.240000000005</v>
      </c>
      <c r="I197" s="18">
        <f>121884.9+4357.08</f>
        <v>126241.98</v>
      </c>
      <c r="J197" s="18">
        <f>6023.62</f>
        <v>6023.62</v>
      </c>
      <c r="K197" s="18"/>
      <c r="L197" s="19">
        <f>SUM(F197:K197)</f>
        <v>4917116.5700000012</v>
      </c>
      <c r="M197" s="8"/>
      <c r="N197" s="266"/>
    </row>
    <row r="198" spans="1:14" s="3" customFormat="1" ht="12.2" customHeight="1" x14ac:dyDescent="0.15">
      <c r="A198" s="1" t="s">
        <v>439</v>
      </c>
      <c r="B198" s="2" t="s">
        <v>341</v>
      </c>
      <c r="C198" s="2" t="s">
        <v>291</v>
      </c>
      <c r="D198" s="2" t="s">
        <v>431</v>
      </c>
      <c r="E198" s="6">
        <v>1200</v>
      </c>
      <c r="F198" s="18">
        <f>505905.73+32799.67+101944.92+130849.05+87479.52</f>
        <v>858978.89000000013</v>
      </c>
      <c r="G198" s="18">
        <f>401581.94+5831.73+46999.31+84768.65+35528.19</f>
        <v>574709.82000000007</v>
      </c>
      <c r="H198" s="18">
        <f>177195.26+380796.76+3860.34+4447.95+28536.56+299</f>
        <v>595135.87</v>
      </c>
      <c r="I198" s="18">
        <f>1265.98+3064.7+7313.12</f>
        <v>11643.8</v>
      </c>
      <c r="J198" s="18">
        <f>3988.61</f>
        <v>3988.61</v>
      </c>
      <c r="K198" s="18">
        <f>1149+1785</f>
        <v>2934</v>
      </c>
      <c r="L198" s="19">
        <f>SUM(F198:K198)</f>
        <v>2047390.9900000002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6088.66</f>
        <v>6088.66</v>
      </c>
      <c r="G200" s="18">
        <f>1328.38</f>
        <v>1328.38</v>
      </c>
      <c r="H200" s="18">
        <f>2956.63</f>
        <v>2956.63</v>
      </c>
      <c r="I200" s="18">
        <f>314.66</f>
        <v>314.66000000000003</v>
      </c>
      <c r="J200" s="18"/>
      <c r="K200" s="18"/>
      <c r="L200" s="19">
        <f>SUM(F200:K200)</f>
        <v>10688.33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134475.5+112814.17+212864+48136.02</f>
        <v>508289.69</v>
      </c>
      <c r="G202" s="18">
        <f>44312.63+55326.9+124233.56+228.16+25337.97</f>
        <v>249439.22</v>
      </c>
      <c r="H202" s="18">
        <f>13606.16+912+280+155.35+1950.2+141041.32+119941.39+259173.86+17650.03+36470.52</f>
        <v>591180.83000000007</v>
      </c>
      <c r="I202" s="18">
        <f>629.39+3153.39+1150.89+937.53+1331.47+3574.96</f>
        <v>10777.630000000001</v>
      </c>
      <c r="J202" s="18"/>
      <c r="K202" s="18"/>
      <c r="L202" s="19">
        <f t="shared" ref="L202:L208" si="0">SUM(F202:K202)</f>
        <v>1359687.37</v>
      </c>
      <c r="M202" s="8"/>
      <c r="N202" s="266"/>
    </row>
    <row r="203" spans="1:14" s="3" customFormat="1" ht="12.2" customHeight="1" x14ac:dyDescent="0.15">
      <c r="A203" s="1" t="s">
        <v>443</v>
      </c>
      <c r="B203" s="2" t="s">
        <v>341</v>
      </c>
      <c r="C203" s="2" t="s">
        <v>295</v>
      </c>
      <c r="D203" s="2" t="s">
        <v>431</v>
      </c>
      <c r="E203" s="6">
        <v>2200</v>
      </c>
      <c r="F203" s="18">
        <f>159067.49+53116.03</f>
        <v>212183.52</v>
      </c>
      <c r="G203" s="18">
        <f>1734+132328.86+28799.86</f>
        <v>162862.71999999997</v>
      </c>
      <c r="H203" s="18">
        <f>4793.22+7649.09</f>
        <v>12442.310000000001</v>
      </c>
      <c r="I203" s="18">
        <f>22577.98+831.6</f>
        <v>23409.579999999998</v>
      </c>
      <c r="J203" s="18">
        <f>3100.01</f>
        <v>3100.01</v>
      </c>
      <c r="K203" s="18">
        <f>256</f>
        <v>256</v>
      </c>
      <c r="L203" s="19">
        <f t="shared" si="0"/>
        <v>414254.14</v>
      </c>
      <c r="M203" s="8"/>
      <c r="N203" s="266"/>
    </row>
    <row r="204" spans="1:14" s="3" customFormat="1" ht="12.2" customHeight="1" x14ac:dyDescent="0.15">
      <c r="A204" s="1" t="s">
        <v>444</v>
      </c>
      <c r="B204" s="2" t="s">
        <v>341</v>
      </c>
      <c r="C204" s="2" t="s">
        <v>296</v>
      </c>
      <c r="D204" s="2" t="s">
        <v>431</v>
      </c>
      <c r="E204" s="6">
        <v>2300</v>
      </c>
      <c r="F204" s="18">
        <f>10300.5</f>
        <v>10300.5</v>
      </c>
      <c r="G204" s="18">
        <f>809.59</f>
        <v>809.59</v>
      </c>
      <c r="H204" s="18">
        <f>30254.18+440948.34</f>
        <v>471202.52</v>
      </c>
      <c r="I204" s="18">
        <f>1489.87</f>
        <v>1489.87</v>
      </c>
      <c r="J204" s="18"/>
      <c r="K204" s="18">
        <f>4001.99</f>
        <v>4001.99</v>
      </c>
      <c r="L204" s="19">
        <f t="shared" si="0"/>
        <v>487804.47000000003</v>
      </c>
      <c r="M204" s="8"/>
      <c r="N204" s="266"/>
    </row>
    <row r="205" spans="1:14" s="3" customFormat="1" ht="12.2" customHeight="1" x14ac:dyDescent="0.15">
      <c r="A205" s="1" t="s">
        <v>445</v>
      </c>
      <c r="B205" s="2" t="s">
        <v>341</v>
      </c>
      <c r="C205" s="2" t="s">
        <v>297</v>
      </c>
      <c r="D205" s="2" t="s">
        <v>431</v>
      </c>
      <c r="E205" s="6">
        <v>2400</v>
      </c>
      <c r="F205" s="18">
        <f>497704.37</f>
        <v>497704.37</v>
      </c>
      <c r="G205" s="18">
        <f>268417.23</f>
        <v>268417.23</v>
      </c>
      <c r="H205" s="18">
        <f>8131.75+23643.91+195.93</f>
        <v>31971.59</v>
      </c>
      <c r="I205" s="18">
        <f>5942.73</f>
        <v>5942.73</v>
      </c>
      <c r="J205" s="18">
        <f>3967.81</f>
        <v>3967.81</v>
      </c>
      <c r="K205" s="18">
        <f>2924</f>
        <v>2924</v>
      </c>
      <c r="L205" s="19">
        <f t="shared" si="0"/>
        <v>810927.73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247107.08+50577.14</f>
        <v>297684.21999999997</v>
      </c>
      <c r="G207" s="18">
        <f>175425.32+29730.68</f>
        <v>205156</v>
      </c>
      <c r="H207" s="18">
        <f>76886.6+226859.02+83753.5+5123.36+42516.18</f>
        <v>435138.66</v>
      </c>
      <c r="I207" s="18">
        <f>288740.46+648.73</f>
        <v>289389.19</v>
      </c>
      <c r="J207" s="18">
        <f>38315.04+6761.33</f>
        <v>45076.37</v>
      </c>
      <c r="K207" s="18"/>
      <c r="L207" s="19">
        <f t="shared" si="0"/>
        <v>1272444.44</v>
      </c>
      <c r="M207" s="8"/>
      <c r="N207" s="266"/>
    </row>
    <row r="208" spans="1:14" s="3" customFormat="1" ht="12.2" customHeight="1" x14ac:dyDescent="0.15">
      <c r="A208" s="1" t="s">
        <v>448</v>
      </c>
      <c r="B208" s="2" t="s">
        <v>341</v>
      </c>
      <c r="C208" s="2" t="s">
        <v>300</v>
      </c>
      <c r="D208" s="2" t="s">
        <v>431</v>
      </c>
      <c r="E208" s="6">
        <v>2700</v>
      </c>
      <c r="F208" s="18"/>
      <c r="G208" s="18"/>
      <c r="H208" s="18">
        <f>736514.46</f>
        <v>736514.46</v>
      </c>
      <c r="I208" s="18"/>
      <c r="J208" s="18"/>
      <c r="K208" s="18"/>
      <c r="L208" s="19">
        <f t="shared" si="0"/>
        <v>736514.46</v>
      </c>
      <c r="M208" s="8"/>
      <c r="N208" s="266"/>
    </row>
    <row r="209" spans="1:14" s="3" customFormat="1" ht="12.2" customHeight="1" x14ac:dyDescent="0.15">
      <c r="A209" s="1" t="s">
        <v>449</v>
      </c>
      <c r="B209" s="2" t="s">
        <v>341</v>
      </c>
      <c r="C209" s="2" t="s">
        <v>343</v>
      </c>
      <c r="D209" s="2" t="s">
        <v>431</v>
      </c>
      <c r="E209" s="6">
        <v>2800</v>
      </c>
      <c r="F209" s="18">
        <f>46436.64+48683.55</f>
        <v>95120.19</v>
      </c>
      <c r="G209" s="18">
        <f>19288.2+24576.05</f>
        <v>43864.25</v>
      </c>
      <c r="H209" s="18">
        <f>1428.27</f>
        <v>1428.27</v>
      </c>
      <c r="I209" s="18">
        <f>17490.33+18477.45</f>
        <v>35967.78</v>
      </c>
      <c r="J209" s="18">
        <f>79178.46</f>
        <v>79178.460000000006</v>
      </c>
      <c r="K209" s="18"/>
      <c r="L209" s="19">
        <f>SUM(F209:K209)</f>
        <v>255558.95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5527823.1700000009</v>
      </c>
      <c r="G211" s="41">
        <f t="shared" si="1"/>
        <v>3207246.81</v>
      </c>
      <c r="H211" s="41">
        <f t="shared" si="1"/>
        <v>2920689.3800000004</v>
      </c>
      <c r="I211" s="41">
        <f t="shared" si="1"/>
        <v>505177.22</v>
      </c>
      <c r="J211" s="41">
        <f t="shared" si="1"/>
        <v>141334.88</v>
      </c>
      <c r="K211" s="41">
        <f t="shared" si="1"/>
        <v>10115.99</v>
      </c>
      <c r="L211" s="41">
        <f t="shared" si="1"/>
        <v>12312387.450000003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2002619.11+32155.28</f>
        <v>2034774.3900000001</v>
      </c>
      <c r="G215" s="18">
        <f>1064027.03+8268.3+14489.2</f>
        <v>1086784.53</v>
      </c>
      <c r="H215" s="18">
        <f>22140.01</f>
        <v>22140.01</v>
      </c>
      <c r="I215" s="18">
        <f>91109.3+2558.92</f>
        <v>93668.22</v>
      </c>
      <c r="J215" s="18">
        <f>314.38</f>
        <v>314.38</v>
      </c>
      <c r="K215" s="18"/>
      <c r="L215" s="19">
        <f>SUM(F215:K215)</f>
        <v>3237681.53</v>
      </c>
      <c r="M215" s="8"/>
      <c r="N215" s="266"/>
    </row>
    <row r="216" spans="1:14" s="3" customFormat="1" ht="12.2" customHeight="1" x14ac:dyDescent="0.15">
      <c r="A216" s="1" t="s">
        <v>439</v>
      </c>
      <c r="B216" s="2" t="s">
        <v>346</v>
      </c>
      <c r="C216" s="2" t="s">
        <v>291</v>
      </c>
      <c r="D216" s="2" t="s">
        <v>431</v>
      </c>
      <c r="E216" s="6">
        <v>1200</v>
      </c>
      <c r="F216" s="18">
        <f>445179.81+13905.83+38868.18+80736.65+53616.48</f>
        <v>632306.94999999995</v>
      </c>
      <c r="G216" s="18">
        <f>295900.83+2550.72+26994.74+52304.06+21775.34</f>
        <v>399525.69</v>
      </c>
      <c r="H216" s="18">
        <f>319241.73+6640.71+233391.56+2366.01+2726.17+17490.15+183.26</f>
        <v>582039.59000000008</v>
      </c>
      <c r="I216" s="18">
        <f>341.14+2965.26+4482.24</f>
        <v>7788.6399999999994</v>
      </c>
      <c r="J216" s="18">
        <f>2444.63</f>
        <v>2444.63</v>
      </c>
      <c r="K216" s="18"/>
      <c r="L216" s="19">
        <f>SUM(F216:K216)</f>
        <v>1624105.4999999998</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29323.5+29200+6254.5</f>
        <v>64778</v>
      </c>
      <c r="G218" s="18">
        <f>7007.82+5370.34+1360.37</f>
        <v>13738.529999999999</v>
      </c>
      <c r="H218" s="18">
        <f>548+9978.9+110</f>
        <v>10636.9</v>
      </c>
      <c r="I218" s="18">
        <f>5944.44+3993.51+2279.36</f>
        <v>12217.310000000001</v>
      </c>
      <c r="J218" s="18">
        <f>397.72+8401</f>
        <v>8798.7199999999993</v>
      </c>
      <c r="K218" s="18">
        <f>2049.9+595</f>
        <v>2644.9</v>
      </c>
      <c r="L218" s="19">
        <f>SUM(F218:K218)</f>
        <v>112814.35999999999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130862.14+54154.5+79096+29502.72</f>
        <v>293615.35999999999</v>
      </c>
      <c r="G220" s="18">
        <f>70951.98+24625.02+44249.11+139.84+15529.73</f>
        <v>155495.67999999999</v>
      </c>
      <c r="H220" s="18">
        <f>6300+568+196+1285+6840+710.9+86444.68+73512.47+158848.49+10817.76+22352.9</f>
        <v>367876.2</v>
      </c>
      <c r="I220" s="18">
        <f>2122.16+1191.92+1401.91+2191.1</f>
        <v>6907.09</v>
      </c>
      <c r="J220" s="18">
        <f>631.92</f>
        <v>631.91999999999996</v>
      </c>
      <c r="K220" s="18"/>
      <c r="L220" s="19">
        <f t="shared" ref="L220:L226" si="2">SUM(F220:K220)</f>
        <v>824526.25</v>
      </c>
      <c r="M220" s="8"/>
      <c r="N220" s="266"/>
    </row>
    <row r="221" spans="1:14" s="3" customFormat="1" ht="12.2" customHeight="1" x14ac:dyDescent="0.15">
      <c r="A221" s="1" t="s">
        <v>443</v>
      </c>
      <c r="B221" s="2" t="s">
        <v>346</v>
      </c>
      <c r="C221" s="2" t="s">
        <v>295</v>
      </c>
      <c r="D221" s="2" t="s">
        <v>431</v>
      </c>
      <c r="E221" s="6">
        <v>2200</v>
      </c>
      <c r="F221" s="18">
        <f>23088.75+31195.13</f>
        <v>54283.880000000005</v>
      </c>
      <c r="G221" s="18">
        <f>2846.48+16432.94+16914.21</f>
        <v>36193.629999999997</v>
      </c>
      <c r="H221" s="18">
        <f>2446.61+4492.33</f>
        <v>6938.9400000000005</v>
      </c>
      <c r="I221" s="18">
        <f>880+15575.28+488.4</f>
        <v>16943.68</v>
      </c>
      <c r="J221" s="18">
        <f>4104.4</f>
        <v>4104.3999999999996</v>
      </c>
      <c r="K221" s="18">
        <f>265</f>
        <v>265</v>
      </c>
      <c r="L221" s="19">
        <f t="shared" si="2"/>
        <v>118729.53</v>
      </c>
      <c r="M221" s="8"/>
      <c r="N221" s="266"/>
    </row>
    <row r="222" spans="1:14" s="3" customFormat="1" ht="12.2" customHeight="1" x14ac:dyDescent="0.15">
      <c r="A222" s="1" t="s">
        <v>444</v>
      </c>
      <c r="B222" s="2" t="s">
        <v>346</v>
      </c>
      <c r="C222" s="2" t="s">
        <v>296</v>
      </c>
      <c r="D222" s="2" t="s">
        <v>431</v>
      </c>
      <c r="E222" s="6">
        <v>2300</v>
      </c>
      <c r="F222" s="18">
        <f>6049.5</f>
        <v>6049.5</v>
      </c>
      <c r="G222" s="18">
        <f>475.47</f>
        <v>475.47</v>
      </c>
      <c r="H222" s="18">
        <f>17768.33+258969.66</f>
        <v>276737.99</v>
      </c>
      <c r="I222" s="18">
        <f>875.01</f>
        <v>875.01</v>
      </c>
      <c r="J222" s="18"/>
      <c r="K222" s="18">
        <f>2350.37</f>
        <v>2350.37</v>
      </c>
      <c r="L222" s="19">
        <f t="shared" si="2"/>
        <v>286488.33999999997</v>
      </c>
      <c r="M222" s="8"/>
      <c r="N222" s="266"/>
    </row>
    <row r="223" spans="1:14" s="3" customFormat="1" ht="12.2" customHeight="1" x14ac:dyDescent="0.15">
      <c r="A223" s="1" t="s">
        <v>445</v>
      </c>
      <c r="B223" s="2" t="s">
        <v>346</v>
      </c>
      <c r="C223" s="2" t="s">
        <v>297</v>
      </c>
      <c r="D223" s="2" t="s">
        <v>431</v>
      </c>
      <c r="E223" s="6">
        <v>2400</v>
      </c>
      <c r="F223" s="18">
        <f>242526.31</f>
        <v>242526.31</v>
      </c>
      <c r="G223" s="18">
        <f>136439.85</f>
        <v>136439.85</v>
      </c>
      <c r="H223" s="18">
        <f>8963.88+13184.79+115.07</f>
        <v>22263.739999999998</v>
      </c>
      <c r="I223" s="18">
        <f>1667.56</f>
        <v>1667.56</v>
      </c>
      <c r="J223" s="18">
        <f>3296.02</f>
        <v>3296.02</v>
      </c>
      <c r="K223" s="18">
        <f>2184</f>
        <v>2184</v>
      </c>
      <c r="L223" s="19">
        <f t="shared" si="2"/>
        <v>408377.48000000004</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f>111841.01+29704.03</f>
        <v>141545.03999999998</v>
      </c>
      <c r="G225" s="18">
        <f>69762.94+17460.88</f>
        <v>87223.82</v>
      </c>
      <c r="H225" s="18">
        <f>33421.42+245862.92+49188.56+3008.96+24969.82</f>
        <v>356451.68000000005</v>
      </c>
      <c r="I225" s="18">
        <f>220751.32+381</f>
        <v>221132.32</v>
      </c>
      <c r="J225" s="18">
        <f>105124.95+3970.94</f>
        <v>109095.89</v>
      </c>
      <c r="K225" s="18"/>
      <c r="L225" s="19">
        <f t="shared" si="2"/>
        <v>915448.75000000012</v>
      </c>
      <c r="M225" s="8"/>
      <c r="N225" s="266"/>
    </row>
    <row r="226" spans="1:14" s="3" customFormat="1" ht="12.2" customHeight="1" x14ac:dyDescent="0.15">
      <c r="A226" s="1" t="s">
        <v>448</v>
      </c>
      <c r="B226" s="2" t="s">
        <v>346</v>
      </c>
      <c r="C226" s="2" t="s">
        <v>300</v>
      </c>
      <c r="D226" s="2" t="s">
        <v>431</v>
      </c>
      <c r="E226" s="6">
        <v>2700</v>
      </c>
      <c r="F226" s="18"/>
      <c r="G226" s="18"/>
      <c r="H226" s="18">
        <f>466585.05</f>
        <v>466585.05</v>
      </c>
      <c r="I226" s="18"/>
      <c r="J226" s="18"/>
      <c r="K226" s="18"/>
      <c r="L226" s="19">
        <f t="shared" si="2"/>
        <v>466585.05</v>
      </c>
      <c r="M226" s="8"/>
      <c r="N226" s="266"/>
    </row>
    <row r="227" spans="1:14" s="3" customFormat="1" ht="12.2" customHeight="1" x14ac:dyDescent="0.15">
      <c r="A227" s="1" t="s">
        <v>449</v>
      </c>
      <c r="B227" s="2" t="s">
        <v>346</v>
      </c>
      <c r="C227" s="2" t="s">
        <v>343</v>
      </c>
      <c r="D227" s="2" t="s">
        <v>431</v>
      </c>
      <c r="E227" s="6">
        <v>2800</v>
      </c>
      <c r="F227" s="18">
        <f>28591.93</f>
        <v>28591.93</v>
      </c>
      <c r="G227" s="18">
        <f>14433.55</f>
        <v>14433.55</v>
      </c>
      <c r="H227" s="18">
        <f>838.82</f>
        <v>838.82</v>
      </c>
      <c r="I227" s="18">
        <f>1320.77+10851.84</f>
        <v>12172.61</v>
      </c>
      <c r="J227" s="18">
        <f>37800+46501.63</f>
        <v>84301.63</v>
      </c>
      <c r="K227" s="18"/>
      <c r="L227" s="19">
        <f>SUM(F227:K227)</f>
        <v>140338.54</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3498471.36</v>
      </c>
      <c r="G229" s="41">
        <f>SUM(G215:G228)</f>
        <v>1930310.75</v>
      </c>
      <c r="H229" s="41">
        <f>SUM(H215:H228)</f>
        <v>2112508.92</v>
      </c>
      <c r="I229" s="41">
        <f>SUM(I215:I228)</f>
        <v>373372.44</v>
      </c>
      <c r="J229" s="41">
        <f>SUM(J215:J228)</f>
        <v>212987.59</v>
      </c>
      <c r="K229" s="41">
        <f t="shared" si="3"/>
        <v>7444.27</v>
      </c>
      <c r="L229" s="41">
        <f t="shared" si="3"/>
        <v>8135095.3300000001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f>6803815.57</f>
        <v>6803815.5700000003</v>
      </c>
      <c r="I233" s="18"/>
      <c r="J233" s="18"/>
      <c r="K233" s="18"/>
      <c r="L233" s="19">
        <f>SUM(F233:K233)</f>
        <v>6803815.5700000003</v>
      </c>
      <c r="M233" s="8"/>
      <c r="N233" s="266"/>
    </row>
    <row r="234" spans="1:14" s="3" customFormat="1" ht="12.2" customHeight="1" x14ac:dyDescent="0.15">
      <c r="A234" s="1" t="s">
        <v>439</v>
      </c>
      <c r="B234" s="2" t="s">
        <v>350</v>
      </c>
      <c r="C234" s="2" t="s">
        <v>291</v>
      </c>
      <c r="D234" s="2" t="s">
        <v>431</v>
      </c>
      <c r="E234" s="6">
        <v>1200</v>
      </c>
      <c r="F234" s="18">
        <f>106849.32+66816.54</f>
        <v>173665.86</v>
      </c>
      <c r="G234" s="18">
        <f>66025.01+43286.09</f>
        <v>109311.09999999999</v>
      </c>
      <c r="H234" s="18">
        <f>198144.32+2288646.68</f>
        <v>2486791</v>
      </c>
      <c r="I234" s="18"/>
      <c r="J234" s="18"/>
      <c r="K234" s="18"/>
      <c r="L234" s="19">
        <f>SUM(F234:K234)</f>
        <v>2769767.96</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398365.43</f>
        <v>398365.43</v>
      </c>
      <c r="I244" s="18"/>
      <c r="J244" s="18"/>
      <c r="K244" s="18"/>
      <c r="L244" s="19">
        <f t="shared" si="4"/>
        <v>398365.43</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173665.86</v>
      </c>
      <c r="G247" s="41">
        <f t="shared" si="5"/>
        <v>109311.09999999999</v>
      </c>
      <c r="H247" s="41">
        <f t="shared" si="5"/>
        <v>9688972</v>
      </c>
      <c r="I247" s="41">
        <f t="shared" si="5"/>
        <v>0</v>
      </c>
      <c r="J247" s="41">
        <f t="shared" si="5"/>
        <v>0</v>
      </c>
      <c r="K247" s="41">
        <f t="shared" si="5"/>
        <v>0</v>
      </c>
      <c r="L247" s="41">
        <f t="shared" si="5"/>
        <v>9971948.9600000009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315500+12097</f>
        <v>327597</v>
      </c>
      <c r="I255" s="18"/>
      <c r="J255" s="18"/>
      <c r="K255" s="18"/>
      <c r="L255" s="19">
        <f t="shared" si="6"/>
        <v>327597</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327597</v>
      </c>
      <c r="I256" s="41">
        <f t="shared" si="7"/>
        <v>0</v>
      </c>
      <c r="J256" s="41">
        <f t="shared" si="7"/>
        <v>0</v>
      </c>
      <c r="K256" s="41">
        <f t="shared" si="7"/>
        <v>0</v>
      </c>
      <c r="L256" s="41">
        <f>SUM(F256:K256)</f>
        <v>327597</v>
      </c>
      <c r="M256" s="8"/>
      <c r="N256" s="266"/>
    </row>
    <row r="257" spans="1:14" s="3" customFormat="1" ht="12.2" customHeight="1" thickTop="1" x14ac:dyDescent="0.15">
      <c r="A257" s="38" t="s">
        <v>462</v>
      </c>
      <c r="B257" s="40">
        <v>10</v>
      </c>
      <c r="C257" s="40">
        <v>8</v>
      </c>
      <c r="D257" s="39" t="s">
        <v>431</v>
      </c>
      <c r="E257" s="40"/>
      <c r="F257" s="41">
        <f t="shared" ref="F257:L257" si="8">F211+F229+F247+F256</f>
        <v>9199960.3900000006</v>
      </c>
      <c r="G257" s="41">
        <f t="shared" si="8"/>
        <v>5246868.66</v>
      </c>
      <c r="H257" s="41">
        <f t="shared" si="8"/>
        <v>15049767.300000001</v>
      </c>
      <c r="I257" s="41">
        <f t="shared" si="8"/>
        <v>878549.65999999992</v>
      </c>
      <c r="J257" s="41">
        <f t="shared" si="8"/>
        <v>354322.47</v>
      </c>
      <c r="K257" s="41">
        <f t="shared" si="8"/>
        <v>17560.260000000002</v>
      </c>
      <c r="L257" s="41">
        <f t="shared" si="8"/>
        <v>30747028.740000002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1035000</v>
      </c>
      <c r="L260" s="19">
        <f>SUM(F260:K260)</f>
        <v>1035000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231875</v>
      </c>
      <c r="L261" s="19">
        <f>SUM(F261:K261)</f>
        <v>231875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22922.1</v>
      </c>
      <c r="L268" s="19">
        <f t="shared" si="9"/>
        <v>22922.1</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1289797.1000000001</v>
      </c>
      <c r="L270" s="41">
        <f t="shared" si="9"/>
        <v>1289797.1000000001</v>
      </c>
      <c r="N270" s="264"/>
    </row>
    <row r="271" spans="1:14" s="3" customFormat="1" ht="12.2" customHeight="1" thickTop="1" x14ac:dyDescent="0.2">
      <c r="A271" s="43" t="s">
        <v>464</v>
      </c>
      <c r="B271" s="40">
        <v>10</v>
      </c>
      <c r="C271" s="40">
        <v>18</v>
      </c>
      <c r="D271" s="39" t="s">
        <v>431</v>
      </c>
      <c r="E271" s="40"/>
      <c r="F271" s="42">
        <f t="shared" ref="F271:L271" si="11">F257+F270</f>
        <v>9199960.3900000006</v>
      </c>
      <c r="G271" s="42">
        <f t="shared" si="11"/>
        <v>5246868.66</v>
      </c>
      <c r="H271" s="42">
        <f t="shared" si="11"/>
        <v>15049767.300000001</v>
      </c>
      <c r="I271" s="42">
        <f t="shared" si="11"/>
        <v>878549.65999999992</v>
      </c>
      <c r="J271" s="42">
        <f t="shared" si="11"/>
        <v>354322.47</v>
      </c>
      <c r="K271" s="42">
        <f t="shared" si="11"/>
        <v>1307357.3600000001</v>
      </c>
      <c r="L271" s="42">
        <f t="shared" si="11"/>
        <v>32036825.840000004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52401.83</v>
      </c>
      <c r="G276" s="18">
        <v>16074.08</v>
      </c>
      <c r="H276" s="18">
        <f>8210.48</f>
        <v>8210.48</v>
      </c>
      <c r="I276" s="18">
        <v>2190.16</v>
      </c>
      <c r="J276" s="18">
        <v>13038.44</v>
      </c>
      <c r="K276" s="18"/>
      <c r="L276" s="19">
        <f>SUM(F276:K276)</f>
        <v>91914.99</v>
      </c>
      <c r="M276" s="8"/>
      <c r="N276" s="266"/>
    </row>
    <row r="277" spans="1:14" s="3" customFormat="1" ht="12.2" customHeight="1" x14ac:dyDescent="0.15">
      <c r="A277" s="1" t="s">
        <v>439</v>
      </c>
      <c r="B277" s="2" t="s">
        <v>357</v>
      </c>
      <c r="C277" s="2" t="s">
        <v>291</v>
      </c>
      <c r="D277" s="2" t="s">
        <v>431</v>
      </c>
      <c r="E277" s="6">
        <v>1200</v>
      </c>
      <c r="F277" s="18">
        <v>65375.74</v>
      </c>
      <c r="G277" s="18">
        <v>9939.2000000000007</v>
      </c>
      <c r="H277" s="18">
        <v>83346.45</v>
      </c>
      <c r="I277" s="18">
        <f>21452.79+3888.5</f>
        <v>25341.29</v>
      </c>
      <c r="J277" s="18">
        <v>38016.57</v>
      </c>
      <c r="K277" s="18"/>
      <c r="L277" s="19">
        <f>SUM(F277:K277)</f>
        <v>222019.25000000003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v>263.05</v>
      </c>
      <c r="J279" s="18"/>
      <c r="K279" s="18"/>
      <c r="L279" s="19">
        <f>SUM(F279:K279)</f>
        <v>263.05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f>52505.57</f>
        <v>52505.57</v>
      </c>
      <c r="I281" s="18">
        <v>281.02</v>
      </c>
      <c r="J281" s="18"/>
      <c r="K281" s="18"/>
      <c r="L281" s="19">
        <f t="shared" ref="L281:L287" si="12">SUM(F281:K281)</f>
        <v>52786.59</v>
      </c>
      <c r="M281" s="8"/>
      <c r="N281" s="266"/>
    </row>
    <row r="282" spans="1:14" s="3" customFormat="1" ht="12.2" customHeight="1" x14ac:dyDescent="0.15">
      <c r="A282" s="1" t="s">
        <v>443</v>
      </c>
      <c r="B282" s="2" t="s">
        <v>357</v>
      </c>
      <c r="C282" s="2" t="s">
        <v>295</v>
      </c>
      <c r="D282" s="2" t="s">
        <v>431</v>
      </c>
      <c r="E282" s="6">
        <v>2200</v>
      </c>
      <c r="F282" s="18">
        <v>8465.6299999999992</v>
      </c>
      <c r="G282" s="18">
        <v>2067.96</v>
      </c>
      <c r="H282" s="18">
        <f>21695.16+99.02</f>
        <v>21794.18</v>
      </c>
      <c r="I282" s="18">
        <f>6593.55</f>
        <v>6593.55</v>
      </c>
      <c r="J282" s="18"/>
      <c r="K282" s="18"/>
      <c r="L282" s="19">
        <f t="shared" si="12"/>
        <v>38921.32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v>3643.92</v>
      </c>
      <c r="I284" s="18">
        <v>971.61</v>
      </c>
      <c r="J284" s="18">
        <v>3037.05</v>
      </c>
      <c r="K284" s="18"/>
      <c r="L284" s="19">
        <f t="shared" si="12"/>
        <v>7652.58</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1740.2</v>
      </c>
      <c r="L285" s="19">
        <f t="shared" si="12"/>
        <v>1740.2</v>
      </c>
      <c r="M285" s="8"/>
      <c r="N285" s="266"/>
    </row>
    <row r="286" spans="1:14" s="3" customFormat="1" ht="12.2" customHeight="1" x14ac:dyDescent="0.15">
      <c r="A286" s="1" t="s">
        <v>447</v>
      </c>
      <c r="B286" s="2" t="s">
        <v>357</v>
      </c>
      <c r="C286" s="2" t="s">
        <v>299</v>
      </c>
      <c r="D286" s="2" t="s">
        <v>431</v>
      </c>
      <c r="E286" s="6">
        <v>2600</v>
      </c>
      <c r="F286" s="18"/>
      <c r="G286" s="18"/>
      <c r="H286" s="18">
        <v>32000</v>
      </c>
      <c r="I286" s="18"/>
      <c r="J286" s="18"/>
      <c r="K286" s="18"/>
      <c r="L286" s="19">
        <f t="shared" si="12"/>
        <v>32000</v>
      </c>
      <c r="M286" s="8"/>
      <c r="N286" s="266"/>
    </row>
    <row r="287" spans="1:14" s="3" customFormat="1" ht="12.2" customHeight="1" x14ac:dyDescent="0.15">
      <c r="A287" s="1" t="s">
        <v>448</v>
      </c>
      <c r="B287" s="2" t="s">
        <v>357</v>
      </c>
      <c r="C287" s="2" t="s">
        <v>300</v>
      </c>
      <c r="D287" s="2" t="s">
        <v>431</v>
      </c>
      <c r="E287" s="6">
        <v>2700</v>
      </c>
      <c r="F287" s="18"/>
      <c r="G287" s="18"/>
      <c r="H287" s="18">
        <v>630.08000000000004</v>
      </c>
      <c r="I287" s="18"/>
      <c r="J287" s="18"/>
      <c r="K287" s="18"/>
      <c r="L287" s="19">
        <f t="shared" si="12"/>
        <v>630.08000000000004</v>
      </c>
      <c r="M287" s="8"/>
      <c r="N287" s="266"/>
    </row>
    <row r="288" spans="1:14" s="3" customFormat="1" ht="12.2" customHeight="1" x14ac:dyDescent="0.15">
      <c r="A288" s="1" t="s">
        <v>449</v>
      </c>
      <c r="B288" s="2" t="s">
        <v>357</v>
      </c>
      <c r="C288" s="2" t="s">
        <v>343</v>
      </c>
      <c r="D288" s="2" t="s">
        <v>431</v>
      </c>
      <c r="E288" s="6">
        <v>2800</v>
      </c>
      <c r="F288" s="18"/>
      <c r="G288" s="18"/>
      <c r="H288" s="18">
        <v>550.85</v>
      </c>
      <c r="I288" s="18"/>
      <c r="J288" s="18"/>
      <c r="K288" s="18"/>
      <c r="L288" s="19">
        <f>SUM(F288:K288)</f>
        <v>550.85</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126243.20000000001</v>
      </c>
      <c r="G290" s="42">
        <f t="shared" si="13"/>
        <v>28081.239999999998</v>
      </c>
      <c r="H290" s="42">
        <f t="shared" si="13"/>
        <v>202681.53</v>
      </c>
      <c r="I290" s="42">
        <f t="shared" si="13"/>
        <v>35640.68</v>
      </c>
      <c r="J290" s="42">
        <f t="shared" si="13"/>
        <v>54092.060000000005</v>
      </c>
      <c r="K290" s="42">
        <f t="shared" si="13"/>
        <v>1740.2</v>
      </c>
      <c r="L290" s="41">
        <f t="shared" si="13"/>
        <v>448478.91000000003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30775.68</v>
      </c>
      <c r="G295" s="18">
        <v>9440.34</v>
      </c>
      <c r="H295" s="18">
        <f>4822.03</f>
        <v>4822.03</v>
      </c>
      <c r="I295" s="18">
        <v>1286.28</v>
      </c>
      <c r="J295" s="18">
        <v>7364.06</v>
      </c>
      <c r="K295" s="18"/>
      <c r="L295" s="19">
        <f>SUM(F295:K295)</f>
        <v>53688.39</v>
      </c>
      <c r="M295" s="8"/>
      <c r="N295" s="266"/>
    </row>
    <row r="296" spans="1:14" s="3" customFormat="1" ht="12.2" customHeight="1" x14ac:dyDescent="0.15">
      <c r="A296" s="1" t="s">
        <v>439</v>
      </c>
      <c r="B296" s="2" t="s">
        <v>358</v>
      </c>
      <c r="C296" s="2" t="s">
        <v>291</v>
      </c>
      <c r="D296" s="2" t="s">
        <v>431</v>
      </c>
      <c r="E296" s="6">
        <v>1200</v>
      </c>
      <c r="F296" s="18">
        <v>40069</v>
      </c>
      <c r="G296" s="18">
        <v>6091.76</v>
      </c>
      <c r="H296" s="18">
        <v>51083.31</v>
      </c>
      <c r="I296" s="18">
        <f>13148.48+2383.28</f>
        <v>15531.76</v>
      </c>
      <c r="J296" s="18">
        <v>23300.48</v>
      </c>
      <c r="K296" s="18"/>
      <c r="L296" s="19">
        <f>SUM(F296:K296)</f>
        <v>136076.31</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2000</v>
      </c>
      <c r="G298" s="18"/>
      <c r="H298" s="18"/>
      <c r="I298" s="18"/>
      <c r="J298" s="18"/>
      <c r="K298" s="18"/>
      <c r="L298" s="19">
        <f>SUM(F298:K298)</f>
        <v>2000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f>32180.83</f>
        <v>32180.83</v>
      </c>
      <c r="I300" s="18">
        <f>172.24</f>
        <v>172.24</v>
      </c>
      <c r="J300" s="18"/>
      <c r="K300" s="18"/>
      <c r="L300" s="19">
        <f t="shared" ref="L300:L306" si="14">SUM(F300:K300)</f>
        <v>32353.070000000003</v>
      </c>
      <c r="M300" s="8"/>
      <c r="N300" s="266"/>
    </row>
    <row r="301" spans="1:14" s="3" customFormat="1" ht="12.2" customHeight="1" x14ac:dyDescent="0.15">
      <c r="A301" s="1" t="s">
        <v>443</v>
      </c>
      <c r="B301" s="2" t="s">
        <v>358</v>
      </c>
      <c r="C301" s="2" t="s">
        <v>295</v>
      </c>
      <c r="D301" s="2" t="s">
        <v>431</v>
      </c>
      <c r="E301" s="6">
        <v>2200</v>
      </c>
      <c r="F301" s="18">
        <v>4971.88</v>
      </c>
      <c r="G301" s="18">
        <v>1214.51</v>
      </c>
      <c r="H301" s="18">
        <f>12815.25+58.16</f>
        <v>12873.41</v>
      </c>
      <c r="I301" s="18">
        <v>3872.4</v>
      </c>
      <c r="J301" s="18"/>
      <c r="K301" s="18"/>
      <c r="L301" s="19">
        <f t="shared" si="14"/>
        <v>22932.2</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v>2140.08</v>
      </c>
      <c r="I303" s="18">
        <v>570.63</v>
      </c>
      <c r="J303" s="18">
        <v>1783.66</v>
      </c>
      <c r="K303" s="18"/>
      <c r="L303" s="19">
        <f t="shared" si="14"/>
        <v>4494.37</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v>1051.9000000000001</v>
      </c>
      <c r="L304" s="19">
        <f t="shared" si="14"/>
        <v>1051.9000000000001</v>
      </c>
      <c r="M304" s="8"/>
      <c r="N304" s="266"/>
    </row>
    <row r="305" spans="1:14" s="3" customFormat="1" ht="12.2" customHeight="1" x14ac:dyDescent="0.15">
      <c r="A305" s="1" t="s">
        <v>447</v>
      </c>
      <c r="B305" s="2" t="s">
        <v>358</v>
      </c>
      <c r="C305" s="2" t="s">
        <v>299</v>
      </c>
      <c r="D305" s="2" t="s">
        <v>431</v>
      </c>
      <c r="E305" s="6">
        <v>2600</v>
      </c>
      <c r="F305" s="18"/>
      <c r="G305" s="18"/>
      <c r="H305" s="18">
        <v>41448.800000000003</v>
      </c>
      <c r="I305" s="18"/>
      <c r="J305" s="18"/>
      <c r="K305" s="18"/>
      <c r="L305" s="19">
        <f t="shared" si="14"/>
        <v>41448.800000000003</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v>323.52</v>
      </c>
      <c r="I307" s="18"/>
      <c r="J307" s="18"/>
      <c r="K307" s="18"/>
      <c r="L307" s="19">
        <f>SUM(F307:K307)</f>
        <v>323.52</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77816.56</v>
      </c>
      <c r="G309" s="42">
        <f t="shared" si="15"/>
        <v>16746.61</v>
      </c>
      <c r="H309" s="42">
        <f t="shared" si="15"/>
        <v>144871.98000000001</v>
      </c>
      <c r="I309" s="42">
        <f t="shared" si="15"/>
        <v>21433.310000000005</v>
      </c>
      <c r="J309" s="42">
        <f t="shared" si="15"/>
        <v>32448.2</v>
      </c>
      <c r="K309" s="42">
        <f t="shared" si="15"/>
        <v>1051.9000000000001</v>
      </c>
      <c r="L309" s="41">
        <f t="shared" si="15"/>
        <v>294368.56000000006</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204059.76</v>
      </c>
      <c r="G338" s="41">
        <f t="shared" si="20"/>
        <v>44827.85</v>
      </c>
      <c r="H338" s="41">
        <f t="shared" si="20"/>
        <v>347553.51</v>
      </c>
      <c r="I338" s="41">
        <f t="shared" si="20"/>
        <v>57073.990000000005</v>
      </c>
      <c r="J338" s="41">
        <f t="shared" si="20"/>
        <v>86540.260000000009</v>
      </c>
      <c r="K338" s="41">
        <f t="shared" si="20"/>
        <v>2792.1000000000004</v>
      </c>
      <c r="L338" s="41">
        <f t="shared" si="20"/>
        <v>742847.47000000009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204059.76</v>
      </c>
      <c r="G352" s="41">
        <f>G338</f>
        <v>44827.85</v>
      </c>
      <c r="H352" s="41">
        <f>H338</f>
        <v>347553.51</v>
      </c>
      <c r="I352" s="41">
        <f>I338</f>
        <v>57073.990000000005</v>
      </c>
      <c r="J352" s="41">
        <f>J338</f>
        <v>86540.260000000009</v>
      </c>
      <c r="K352" s="47">
        <f>K338+K351</f>
        <v>2792.1000000000004</v>
      </c>
      <c r="L352" s="41">
        <f>L338+L351</f>
        <v>742847.47000000009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3912+60365.51+58068.59+2903.5+31613.35</f>
        <v>156862.95000000001</v>
      </c>
      <c r="G358" s="18">
        <f>20249.89+5898.84+8817+4604.89+1852.56+18086.84+58.43</f>
        <v>59568.44999999999</v>
      </c>
      <c r="H358" s="18">
        <f>3668.13+1333.2</f>
        <v>5001.33</v>
      </c>
      <c r="I358" s="18">
        <v>166827.74</v>
      </c>
      <c r="J358" s="18"/>
      <c r="K358" s="18">
        <v>378</v>
      </c>
      <c r="L358" s="13">
        <f>SUM(F358:K358)</f>
        <v>388638.47</v>
      </c>
      <c r="N358" s="264"/>
      <c r="R358" s="3"/>
      <c r="S358" s="3"/>
      <c r="T358" s="3"/>
      <c r="U358" s="3"/>
      <c r="V358" s="3"/>
    </row>
    <row r="359" spans="1:22" s="3" customFormat="1" ht="12.2" customHeight="1" x14ac:dyDescent="0.15">
      <c r="A359" s="1" t="s">
        <v>542</v>
      </c>
      <c r="B359" s="2" t="s">
        <v>366</v>
      </c>
      <c r="C359" s="6">
        <v>2</v>
      </c>
      <c r="D359" s="2" t="s">
        <v>431</v>
      </c>
      <c r="E359" s="6"/>
      <c r="F359" s="18">
        <f>64023.43+18566.57</f>
        <v>82590</v>
      </c>
      <c r="G359" s="18">
        <f>1141.74+34970.17+10622.43+34.32</f>
        <v>46768.659999999996</v>
      </c>
      <c r="H359" s="18">
        <v>1786</v>
      </c>
      <c r="I359" s="18">
        <v>97978.19</v>
      </c>
      <c r="J359" s="18"/>
      <c r="K359" s="18">
        <v>222</v>
      </c>
      <c r="L359" s="19">
        <f>SUM(F359:K359)</f>
        <v>229344.85</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239452.95</v>
      </c>
      <c r="G362" s="47">
        <f t="shared" si="22"/>
        <v>106337.10999999999</v>
      </c>
      <c r="H362" s="47">
        <f t="shared" si="22"/>
        <v>6787.33</v>
      </c>
      <c r="I362" s="47">
        <f t="shared" si="22"/>
        <v>264805.93</v>
      </c>
      <c r="J362" s="47">
        <f t="shared" si="22"/>
        <v>0</v>
      </c>
      <c r="K362" s="47">
        <f t="shared" si="22"/>
        <v>600</v>
      </c>
      <c r="L362" s="47">
        <f t="shared" si="22"/>
        <v>617983.31999999995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130194.77+24861.88</f>
        <v>155056.65</v>
      </c>
      <c r="G367" s="18">
        <f>76463.59+14601.42</f>
        <v>91065.01</v>
      </c>
      <c r="H367" s="18"/>
      <c r="I367" s="56">
        <f>SUM(F367:H367)</f>
        <v>246121.65999999997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10760.57+1010.52</f>
        <v>11771.09</v>
      </c>
      <c r="G368" s="63">
        <f>6319.7+593.48</f>
        <v>6913.18</v>
      </c>
      <c r="H368" s="63"/>
      <c r="I368" s="56">
        <f>SUM(F368:H368)</f>
        <v>18684.27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166827.74</v>
      </c>
      <c r="G369" s="47">
        <f>SUM(G367:G368)</f>
        <v>97978.19</v>
      </c>
      <c r="H369" s="47">
        <f>SUM(H367:H368)</f>
        <v>0</v>
      </c>
      <c r="I369" s="47">
        <f>SUM(I367:I368)</f>
        <v>264805.93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v>7775.55</v>
      </c>
      <c r="I388" s="18"/>
      <c r="J388" s="24" t="s">
        <v>288</v>
      </c>
      <c r="K388" s="24" t="s">
        <v>288</v>
      </c>
      <c r="L388" s="56">
        <f t="shared" si="25"/>
        <v>7775.55</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7775.55</v>
      </c>
      <c r="I393" s="65">
        <f>SUM(I387:I392)</f>
        <v>0</v>
      </c>
      <c r="J393" s="45" t="s">
        <v>288</v>
      </c>
      <c r="K393" s="45" t="s">
        <v>288</v>
      </c>
      <c r="L393" s="47">
        <f>SUM(L387:L392)</f>
        <v>7775.55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6290.89</v>
      </c>
      <c r="I397" s="18"/>
      <c r="J397" s="24" t="s">
        <v>288</v>
      </c>
      <c r="K397" s="24" t="s">
        <v>288</v>
      </c>
      <c r="L397" s="56">
        <f t="shared" si="26"/>
        <v>6290.89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v>30.38</v>
      </c>
      <c r="I399" s="18"/>
      <c r="J399" s="24" t="s">
        <v>288</v>
      </c>
      <c r="K399" s="24" t="s">
        <v>288</v>
      </c>
      <c r="L399" s="56">
        <f t="shared" si="26"/>
        <v>30.38</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6321.27</v>
      </c>
      <c r="I401" s="47">
        <f>SUM(I395:I400)</f>
        <v>0</v>
      </c>
      <c r="J401" s="45" t="s">
        <v>288</v>
      </c>
      <c r="K401" s="45" t="s">
        <v>288</v>
      </c>
      <c r="L401" s="47">
        <f>SUM(L395:L400)</f>
        <v>6321.27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14096.82</v>
      </c>
      <c r="I408" s="47">
        <f>I393+I401+I407</f>
        <v>0</v>
      </c>
      <c r="J408" s="24" t="s">
        <v>288</v>
      </c>
      <c r="K408" s="24" t="s">
        <v>288</v>
      </c>
      <c r="L408" s="47">
        <f>L393+L401+L407</f>
        <v>14096.82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344638.96</v>
      </c>
      <c r="G442" s="18">
        <v>280178.87</v>
      </c>
      <c r="H442" s="18"/>
      <c r="I442" s="56">
        <f t="shared" si="33"/>
        <v>624817.83000000007</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344638.96</v>
      </c>
      <c r="G446" s="13">
        <f>SUM(G439:G445)</f>
        <v>280178.87</v>
      </c>
      <c r="H446" s="13">
        <f>SUM(H439:H445)</f>
        <v>0</v>
      </c>
      <c r="I446" s="13">
        <f>SUM(I439:I445)</f>
        <v>624817.83000000007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344638.96</v>
      </c>
      <c r="G459" s="18">
        <v>280178.87</v>
      </c>
      <c r="H459" s="18"/>
      <c r="I459" s="56">
        <f t="shared" si="34"/>
        <v>624817.83000000007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344638.96</v>
      </c>
      <c r="G460" s="83">
        <f>SUM(G454:G459)</f>
        <v>280178.87</v>
      </c>
      <c r="H460" s="83">
        <f>SUM(H454:H459)</f>
        <v>0</v>
      </c>
      <c r="I460" s="83">
        <f>SUM(I454:I459)</f>
        <v>624817.83000000007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344638.96</v>
      </c>
      <c r="G461" s="42">
        <f>G452+G460</f>
        <v>280178.87</v>
      </c>
      <c r="H461" s="42">
        <f>H452+H460</f>
        <v>0</v>
      </c>
      <c r="I461" s="42">
        <f>I452+I460</f>
        <v>624817.83000000007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2016924.57</v>
      </c>
      <c r="G465" s="18">
        <v>22356.38</v>
      </c>
      <c r="H465" s="18"/>
      <c r="I465" s="18"/>
      <c r="J465" s="18">
        <v>610721.01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31714233.280000001</v>
      </c>
      <c r="G468" s="18">
        <v>631871.89</v>
      </c>
      <c r="H468" s="18">
        <v>742847.47</v>
      </c>
      <c r="I468" s="18"/>
      <c r="J468" s="18">
        <v>14096.82</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31714233.280000001</v>
      </c>
      <c r="G470" s="53">
        <f>SUM(G468:G469)</f>
        <v>631871.89</v>
      </c>
      <c r="H470" s="53">
        <f>SUM(H468:H469)</f>
        <v>742847.47</v>
      </c>
      <c r="I470" s="53">
        <f>SUM(I468:I469)</f>
        <v>0</v>
      </c>
      <c r="J470" s="53">
        <f>SUM(J468:J469)</f>
        <v>14096.82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32036825.84</v>
      </c>
      <c r="G472" s="18">
        <v>617983.31999999995</v>
      </c>
      <c r="H472" s="18">
        <v>742847.47</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32036825.84</v>
      </c>
      <c r="G474" s="53">
        <f>SUM(G472:G473)</f>
        <v>617983.31999999995</v>
      </c>
      <c r="H474" s="53">
        <f>SUM(H472:H473)</f>
        <v>742847.47</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1694332.0100000016</v>
      </c>
      <c r="G476" s="53">
        <f>(G465+G470)- G474</f>
        <v>36244.95000000007</v>
      </c>
      <c r="H476" s="53">
        <f>(H465+H470)- H474</f>
        <v>0</v>
      </c>
      <c r="I476" s="53">
        <f>(I465+I470)- I474</f>
        <v>0</v>
      </c>
      <c r="J476" s="53">
        <f>(J465+J470)- J474</f>
        <v>624817.82999999996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30732213.059999999</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4.51</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5155000</v>
      </c>
      <c r="G495" s="18"/>
      <c r="H495" s="18"/>
      <c r="I495" s="18"/>
      <c r="J495" s="18"/>
      <c r="K495" s="53">
        <f>SUM(F495:J495)</f>
        <v>5155000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1266875</v>
      </c>
      <c r="G497" s="18"/>
      <c r="H497" s="18"/>
      <c r="I497" s="18"/>
      <c r="J497" s="18"/>
      <c r="K497" s="53">
        <f t="shared" si="35"/>
        <v>1266875</v>
      </c>
      <c r="L497" s="24" t="s">
        <v>288</v>
      </c>
      <c r="N497" s="265"/>
    </row>
    <row r="498" spans="1:14" s="52" customFormat="1" ht="12.2" customHeight="1" x14ac:dyDescent="0.2">
      <c r="A498" s="200" t="s">
        <v>622</v>
      </c>
      <c r="B498" s="201">
        <v>20</v>
      </c>
      <c r="C498" s="202">
        <v>9</v>
      </c>
      <c r="D498" s="203" t="s">
        <v>432</v>
      </c>
      <c r="E498" s="202"/>
      <c r="F498" s="204">
        <v>4120000</v>
      </c>
      <c r="G498" s="204"/>
      <c r="H498" s="204"/>
      <c r="I498" s="204"/>
      <c r="J498" s="204"/>
      <c r="K498" s="205">
        <f t="shared" si="35"/>
        <v>4120000</v>
      </c>
      <c r="L498" s="206" t="s">
        <v>288</v>
      </c>
      <c r="N498" s="265"/>
    </row>
    <row r="499" spans="1:14" s="52" customFormat="1" ht="12.2" customHeight="1" thickBot="1" x14ac:dyDescent="0.25">
      <c r="A499" s="22" t="s">
        <v>623</v>
      </c>
      <c r="B499" s="75">
        <v>20</v>
      </c>
      <c r="C499" s="115">
        <v>10</v>
      </c>
      <c r="D499" s="2" t="s">
        <v>432</v>
      </c>
      <c r="E499" s="115"/>
      <c r="F499" s="18">
        <v>412000</v>
      </c>
      <c r="G499" s="18"/>
      <c r="H499" s="18"/>
      <c r="I499" s="18"/>
      <c r="J499" s="18"/>
      <c r="K499" s="53">
        <f t="shared" si="35"/>
        <v>412000</v>
      </c>
      <c r="L499" s="24" t="s">
        <v>288</v>
      </c>
      <c r="N499" s="265"/>
    </row>
    <row r="500" spans="1:14" s="52" customFormat="1" ht="12.2" customHeight="1" thickTop="1" x14ac:dyDescent="0.2">
      <c r="A500" s="139" t="s">
        <v>624</v>
      </c>
      <c r="B500" s="44">
        <v>20</v>
      </c>
      <c r="C500" s="195">
        <v>11</v>
      </c>
      <c r="D500" s="39" t="s">
        <v>432</v>
      </c>
      <c r="E500" s="195"/>
      <c r="F500" s="42">
        <f>SUM(F498:F499)</f>
        <v>4532000</v>
      </c>
      <c r="G500" s="42">
        <f>SUM(G498:G499)</f>
        <v>0</v>
      </c>
      <c r="H500" s="42">
        <f>SUM(H498:H499)</f>
        <v>0</v>
      </c>
      <c r="I500" s="42">
        <f>SUM(I498:I499)</f>
        <v>0</v>
      </c>
      <c r="J500" s="42">
        <f>SUM(J498:J499)</f>
        <v>0</v>
      </c>
      <c r="K500" s="42">
        <f t="shared" si="35"/>
        <v>4532000</v>
      </c>
      <c r="L500" s="45" t="s">
        <v>288</v>
      </c>
      <c r="N500" s="265"/>
    </row>
    <row r="501" spans="1:14" s="52" customFormat="1" ht="12.2" customHeight="1" x14ac:dyDescent="0.2">
      <c r="A501" s="200" t="s">
        <v>651</v>
      </c>
      <c r="B501" s="201">
        <v>20</v>
      </c>
      <c r="C501" s="202">
        <v>12</v>
      </c>
      <c r="D501" s="203" t="s">
        <v>432</v>
      </c>
      <c r="E501" s="202"/>
      <c r="F501" s="204">
        <v>1030000</v>
      </c>
      <c r="G501" s="204"/>
      <c r="H501" s="204"/>
      <c r="I501" s="204"/>
      <c r="J501" s="204"/>
      <c r="K501" s="205">
        <f t="shared" si="35"/>
        <v>1030000</v>
      </c>
      <c r="L501" s="206" t="s">
        <v>288</v>
      </c>
      <c r="N501" s="265"/>
    </row>
    <row r="502" spans="1:14" s="52" customFormat="1" ht="12.2" customHeight="1" thickBot="1" x14ac:dyDescent="0.25">
      <c r="A502" s="22" t="s">
        <v>625</v>
      </c>
      <c r="B502" s="75">
        <v>20</v>
      </c>
      <c r="C502" s="115">
        <v>13</v>
      </c>
      <c r="D502" s="2" t="s">
        <v>432</v>
      </c>
      <c r="E502" s="115"/>
      <c r="F502" s="18">
        <v>180250</v>
      </c>
      <c r="G502" s="18"/>
      <c r="H502" s="18"/>
      <c r="I502" s="18"/>
      <c r="J502" s="18"/>
      <c r="K502" s="53">
        <f t="shared" si="35"/>
        <v>180250</v>
      </c>
      <c r="L502" s="24" t="s">
        <v>288</v>
      </c>
      <c r="N502" s="265"/>
    </row>
    <row r="503" spans="1:14" s="52" customFormat="1" ht="12.2" customHeight="1" thickTop="1" x14ac:dyDescent="0.2">
      <c r="A503" s="139" t="s">
        <v>626</v>
      </c>
      <c r="B503" s="44">
        <v>20</v>
      </c>
      <c r="C503" s="195">
        <v>14</v>
      </c>
      <c r="D503" s="39" t="s">
        <v>432</v>
      </c>
      <c r="E503" s="195"/>
      <c r="F503" s="42">
        <f>SUM(F501:F502)</f>
        <v>1210250</v>
      </c>
      <c r="G503" s="42">
        <f>SUM(G501:G502)</f>
        <v>0</v>
      </c>
      <c r="H503" s="42">
        <f>SUM(H501:H502)</f>
        <v>0</v>
      </c>
      <c r="I503" s="42">
        <f>SUM(I501:I502)</f>
        <v>0</v>
      </c>
      <c r="J503" s="42">
        <f>SUM(J501:J502)</f>
        <v>0</v>
      </c>
      <c r="K503" s="42">
        <f t="shared" si="35"/>
        <v>1210250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65375.74+308879.6+197026.13</f>
        <v>571281.47</v>
      </c>
      <c r="G521" s="18">
        <f>9939.2+226180.23+175401.71</f>
        <v>411521.14</v>
      </c>
      <c r="H521" s="18">
        <f>177048.11</f>
        <v>177048.11</v>
      </c>
      <c r="I521" s="18">
        <f>743.48+522.5+21452.79</f>
        <v>22718.77</v>
      </c>
      <c r="J521" s="18">
        <v>38016.57</v>
      </c>
      <c r="K521" s="18">
        <f>1149</f>
        <v>1149</v>
      </c>
      <c r="L521" s="88">
        <f>SUM(F521:K521)</f>
        <v>1221735.06</v>
      </c>
      <c r="N521" s="265"/>
    </row>
    <row r="522" spans="1:14" s="52" customFormat="1" ht="12.2" customHeight="1" x14ac:dyDescent="0.2">
      <c r="A522" s="22" t="s">
        <v>634</v>
      </c>
      <c r="B522" s="105">
        <v>21</v>
      </c>
      <c r="C522" s="115">
        <v>2</v>
      </c>
      <c r="D522" s="2" t="s">
        <v>432</v>
      </c>
      <c r="E522" s="115"/>
      <c r="F522" s="18">
        <f>40069+445179.81</f>
        <v>485248.81</v>
      </c>
      <c r="G522" s="18">
        <f>6091.76+295900.83</f>
        <v>301992.59000000003</v>
      </c>
      <c r="H522" s="18">
        <f>319241.73</f>
        <v>319241.73</v>
      </c>
      <c r="I522" s="18">
        <f>341.14+13148.48</f>
        <v>13489.619999999999</v>
      </c>
      <c r="J522" s="18">
        <v>23300.48</v>
      </c>
      <c r="K522" s="18"/>
      <c r="L522" s="88">
        <f>SUM(F522:K522)</f>
        <v>1143273.23</v>
      </c>
      <c r="N522" s="265"/>
    </row>
    <row r="523" spans="1:14" s="52" customFormat="1" ht="12.2" customHeight="1" thickBot="1" x14ac:dyDescent="0.25">
      <c r="A523" s="22" t="s">
        <v>635</v>
      </c>
      <c r="B523" s="105">
        <v>21</v>
      </c>
      <c r="C523" s="115">
        <v>3</v>
      </c>
      <c r="D523" s="2" t="s">
        <v>432</v>
      </c>
      <c r="E523" s="115"/>
      <c r="F523" s="18"/>
      <c r="G523" s="18"/>
      <c r="H523" s="18">
        <f>198144.32+2288646.68</f>
        <v>2486791</v>
      </c>
      <c r="I523" s="18"/>
      <c r="J523" s="18"/>
      <c r="K523" s="18"/>
      <c r="L523" s="88">
        <f>SUM(F523:K523)</f>
        <v>2486791</v>
      </c>
      <c r="N523" s="265"/>
    </row>
    <row r="524" spans="1:14" s="52" customFormat="1" ht="12.2" customHeight="1" thickTop="1" x14ac:dyDescent="0.2">
      <c r="A524" s="139" t="s">
        <v>63</v>
      </c>
      <c r="B524" s="107">
        <v>21</v>
      </c>
      <c r="C524" s="195">
        <v>4</v>
      </c>
      <c r="D524" s="196" t="s">
        <v>432</v>
      </c>
      <c r="E524" s="195"/>
      <c r="F524" s="108">
        <f>SUM(F521:F523)</f>
        <v>1056530.28</v>
      </c>
      <c r="G524" s="108">
        <f t="shared" ref="G524:L524" si="36">SUM(G521:G523)</f>
        <v>713513.73</v>
      </c>
      <c r="H524" s="108">
        <f t="shared" si="36"/>
        <v>2983080.84</v>
      </c>
      <c r="I524" s="108">
        <f t="shared" si="36"/>
        <v>36208.39</v>
      </c>
      <c r="J524" s="108">
        <f t="shared" si="36"/>
        <v>61317.05</v>
      </c>
      <c r="K524" s="108">
        <f t="shared" si="36"/>
        <v>1149</v>
      </c>
      <c r="L524" s="89">
        <f t="shared" si="36"/>
        <v>4851799.29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138976+73888+36490.21</f>
        <v>249354.21</v>
      </c>
      <c r="G526" s="18">
        <f>172.96+93380.54+30853.02+19207.82</f>
        <v>143614.34</v>
      </c>
      <c r="H526" s="18">
        <f>83346.45+288556.65+90923.31+1950.2+196470.5+13379.86+27647.01+52505.57</f>
        <v>754779.55</v>
      </c>
      <c r="I526" s="18">
        <f>2710.05+653.42+497.47+937.53+281.02</f>
        <v>5079.49</v>
      </c>
      <c r="J526" s="18"/>
      <c r="K526" s="18"/>
      <c r="L526" s="88">
        <f>SUM(F526:K526)</f>
        <v>1152827.5900000001</v>
      </c>
      <c r="M526" s="8"/>
      <c r="N526" s="266"/>
    </row>
    <row r="527" spans="1:14" s="3" customFormat="1" ht="12.2" customHeight="1" x14ac:dyDescent="0.15">
      <c r="A527" s="22" t="s">
        <v>634</v>
      </c>
      <c r="B527" s="105">
        <v>21</v>
      </c>
      <c r="C527" s="115">
        <v>6</v>
      </c>
      <c r="D527" s="2" t="s">
        <v>432</v>
      </c>
      <c r="E527" s="115"/>
      <c r="F527" s="18">
        <f>79096+22515.23</f>
        <v>101611.23</v>
      </c>
      <c r="G527" s="18">
        <f>44249.11+106.72+11851.63</f>
        <v>56207.46</v>
      </c>
      <c r="H527" s="18">
        <f>51083.31+178045.59+56101.62+1285+121226.48+8255.66+17058.79+32180.83</f>
        <v>465237.27999999997</v>
      </c>
      <c r="I527" s="18">
        <f>1672.16+1191.92+172.24</f>
        <v>3036.3199999999997</v>
      </c>
      <c r="J527" s="18"/>
      <c r="K527" s="18"/>
      <c r="L527" s="88">
        <f>SUM(F527:K527)</f>
        <v>626092.28999999992</v>
      </c>
      <c r="M527" s="8"/>
      <c r="N527" s="266"/>
    </row>
    <row r="528" spans="1:14" s="3" customFormat="1" ht="12.2" customHeight="1" thickBot="1" x14ac:dyDescent="0.2">
      <c r="A528" s="22" t="s">
        <v>635</v>
      </c>
      <c r="B528" s="118">
        <v>21</v>
      </c>
      <c r="C528" s="118">
        <v>7</v>
      </c>
      <c r="D528" s="2" t="s">
        <v>432</v>
      </c>
      <c r="E528" s="118"/>
      <c r="F528" s="18">
        <f>18633.3</f>
        <v>18633.3</v>
      </c>
      <c r="G528" s="18">
        <f>88.32+9808.25</f>
        <v>9896.57</v>
      </c>
      <c r="H528" s="18">
        <f>147348.08+46428.93+100325.36+6832.27+14117.62</f>
        <v>315052.26</v>
      </c>
      <c r="I528" s="18">
        <f>1383.85</f>
        <v>1383.85</v>
      </c>
      <c r="J528" s="18"/>
      <c r="K528" s="18"/>
      <c r="L528" s="88">
        <f>SUM(F528:K528)</f>
        <v>344965.98</v>
      </c>
      <c r="M528" s="8"/>
      <c r="N528" s="266"/>
    </row>
    <row r="529" spans="1:14" s="3" customFormat="1" ht="12.2" customHeight="1" thickTop="1" x14ac:dyDescent="0.15">
      <c r="A529" s="139" t="s">
        <v>65</v>
      </c>
      <c r="B529" s="107">
        <v>21</v>
      </c>
      <c r="C529" s="107">
        <v>8</v>
      </c>
      <c r="D529" s="158" t="s">
        <v>432</v>
      </c>
      <c r="E529" s="107"/>
      <c r="F529" s="89">
        <f>SUM(F526:F528)</f>
        <v>369598.74</v>
      </c>
      <c r="G529" s="89">
        <f t="shared" ref="G529:L529" si="37">SUM(G526:G528)</f>
        <v>209718.37</v>
      </c>
      <c r="H529" s="89">
        <f t="shared" si="37"/>
        <v>1535069.09</v>
      </c>
      <c r="I529" s="89">
        <f t="shared" si="37"/>
        <v>9499.66</v>
      </c>
      <c r="J529" s="89">
        <f t="shared" si="37"/>
        <v>0</v>
      </c>
      <c r="K529" s="89">
        <f t="shared" si="37"/>
        <v>0</v>
      </c>
      <c r="L529" s="89">
        <f t="shared" si="37"/>
        <v>2123885.86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130849.05</f>
        <v>130849.05</v>
      </c>
      <c r="G531" s="18">
        <f>84768.65</f>
        <v>84768.65</v>
      </c>
      <c r="H531" s="18">
        <f>2926.38+3371.84+17.55+129.6</f>
        <v>6445.3700000000008</v>
      </c>
      <c r="I531" s="18">
        <f>5543.82</f>
        <v>5543.82</v>
      </c>
      <c r="J531" s="18">
        <f>3023.62</f>
        <v>3023.62</v>
      </c>
      <c r="K531" s="18"/>
      <c r="L531" s="88">
        <f>SUM(F531:K531)</f>
        <v>230630.51</v>
      </c>
      <c r="M531" s="8"/>
      <c r="N531" s="266"/>
    </row>
    <row r="532" spans="1:14" s="3" customFormat="1" ht="12.2" customHeight="1" x14ac:dyDescent="0.15">
      <c r="A532" s="22" t="s">
        <v>634</v>
      </c>
      <c r="B532" s="105">
        <v>21</v>
      </c>
      <c r="C532" s="105">
        <v>10</v>
      </c>
      <c r="D532" s="2" t="s">
        <v>432</v>
      </c>
      <c r="E532" s="105"/>
      <c r="F532" s="18">
        <f>80736.65</f>
        <v>80736.649999999994</v>
      </c>
      <c r="G532" s="18">
        <f>52304.06</f>
        <v>52304.06</v>
      </c>
      <c r="H532" s="18">
        <f>1805.64+2080.49</f>
        <v>3886.13</v>
      </c>
      <c r="I532" s="18">
        <f>3420.65</f>
        <v>3420.65</v>
      </c>
      <c r="J532" s="18">
        <f>1865.64</f>
        <v>1865.64</v>
      </c>
      <c r="K532" s="18"/>
      <c r="L532" s="88">
        <f>SUM(F532:K532)</f>
        <v>142213.13</v>
      </c>
      <c r="M532" s="8"/>
      <c r="N532" s="266"/>
    </row>
    <row r="533" spans="1:14" s="3" customFormat="1" ht="12.2" customHeight="1" thickBot="1" x14ac:dyDescent="0.2">
      <c r="A533" s="22" t="s">
        <v>635</v>
      </c>
      <c r="B533" s="105">
        <v>21</v>
      </c>
      <c r="C533" s="105">
        <v>11</v>
      </c>
      <c r="D533" s="2" t="s">
        <v>432</v>
      </c>
      <c r="E533" s="105"/>
      <c r="F533" s="18">
        <f>66816.54+102388.52+4460.8</f>
        <v>173665.86</v>
      </c>
      <c r="G533" s="18">
        <f>43286.12+66025.01</f>
        <v>109311.13</v>
      </c>
      <c r="H533" s="18">
        <f>1494.32+1721.79</f>
        <v>3216.1099999999997</v>
      </c>
      <c r="I533" s="18">
        <f>2830.89</f>
        <v>2830.89</v>
      </c>
      <c r="J533" s="18">
        <f>1543.98</f>
        <v>1543.98</v>
      </c>
      <c r="K533" s="18"/>
      <c r="L533" s="88">
        <f>SUM(F533:K533)</f>
        <v>290567.96999999997</v>
      </c>
      <c r="M533" s="8"/>
      <c r="N533" s="266"/>
    </row>
    <row r="534" spans="1:14" s="3" customFormat="1" ht="12.2" customHeight="1" thickTop="1" x14ac:dyDescent="0.15">
      <c r="A534" s="139" t="s">
        <v>67</v>
      </c>
      <c r="B534" s="107">
        <v>21</v>
      </c>
      <c r="C534" s="107">
        <v>12</v>
      </c>
      <c r="D534" s="158" t="s">
        <v>432</v>
      </c>
      <c r="E534" s="107"/>
      <c r="F534" s="89">
        <f>SUM(F531:F533)</f>
        <v>385251.56</v>
      </c>
      <c r="G534" s="89">
        <f t="shared" ref="G534:L534" si="38">SUM(G531:G533)</f>
        <v>246383.84</v>
      </c>
      <c r="H534" s="89">
        <f t="shared" si="38"/>
        <v>13547.61</v>
      </c>
      <c r="I534" s="89">
        <f t="shared" si="38"/>
        <v>11795.359999999999</v>
      </c>
      <c r="J534" s="89">
        <f t="shared" si="38"/>
        <v>6433.24</v>
      </c>
      <c r="K534" s="89">
        <f t="shared" si="38"/>
        <v>0</v>
      </c>
      <c r="L534" s="89">
        <f t="shared" si="38"/>
        <v>663411.61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11254.95</v>
      </c>
      <c r="I536" s="18"/>
      <c r="J536" s="18"/>
      <c r="K536" s="18"/>
      <c r="L536" s="88">
        <f>SUM(F536:K536)</f>
        <v>11254.95</v>
      </c>
      <c r="M536" s="8"/>
      <c r="N536" s="266"/>
    </row>
    <row r="537" spans="1:14" s="3" customFormat="1" ht="12.2" customHeight="1" x14ac:dyDescent="0.15">
      <c r="A537" s="22" t="s">
        <v>634</v>
      </c>
      <c r="B537" s="105">
        <v>21</v>
      </c>
      <c r="C537" s="105">
        <v>14</v>
      </c>
      <c r="D537" s="2" t="s">
        <v>432</v>
      </c>
      <c r="E537" s="105"/>
      <c r="F537" s="18"/>
      <c r="G537" s="18"/>
      <c r="H537" s="18">
        <v>6610.05</v>
      </c>
      <c r="I537" s="18"/>
      <c r="J537" s="18"/>
      <c r="K537" s="18"/>
      <c r="L537" s="88">
        <f>SUM(F537:K537)</f>
        <v>6610.05</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17865</v>
      </c>
      <c r="I539" s="89">
        <f t="shared" si="39"/>
        <v>0</v>
      </c>
      <c r="J539" s="89">
        <f t="shared" si="39"/>
        <v>0</v>
      </c>
      <c r="K539" s="89">
        <f t="shared" si="39"/>
        <v>0</v>
      </c>
      <c r="L539" s="89">
        <f t="shared" si="39"/>
        <v>17865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289706.32</v>
      </c>
      <c r="I541" s="18"/>
      <c r="J541" s="18"/>
      <c r="K541" s="18"/>
      <c r="L541" s="88">
        <f>SUM(F541:K541)</f>
        <v>289706.32</v>
      </c>
      <c r="M541" s="8"/>
      <c r="N541" s="266"/>
    </row>
    <row r="542" spans="1:14" s="3" customFormat="1" ht="12.2" customHeight="1" x14ac:dyDescent="0.15">
      <c r="A542" s="22" t="s">
        <v>634</v>
      </c>
      <c r="B542" s="105">
        <v>21</v>
      </c>
      <c r="C542" s="105">
        <v>18</v>
      </c>
      <c r="D542" s="2" t="s">
        <v>432</v>
      </c>
      <c r="E542" s="105"/>
      <c r="F542" s="18"/>
      <c r="G542" s="18"/>
      <c r="H542" s="18">
        <v>177371.21</v>
      </c>
      <c r="I542" s="18"/>
      <c r="J542" s="18"/>
      <c r="K542" s="18"/>
      <c r="L542" s="88">
        <f>SUM(F542:K542)</f>
        <v>177371.21</v>
      </c>
      <c r="M542" s="8"/>
      <c r="N542" s="266"/>
    </row>
    <row r="543" spans="1:14" s="3" customFormat="1" ht="12.2" customHeight="1" thickBot="1" x14ac:dyDescent="0.2">
      <c r="A543" s="22" t="s">
        <v>635</v>
      </c>
      <c r="B543" s="105">
        <v>21</v>
      </c>
      <c r="C543" s="105">
        <v>19</v>
      </c>
      <c r="D543" s="2" t="s">
        <v>432</v>
      </c>
      <c r="E543" s="105"/>
      <c r="F543" s="18"/>
      <c r="G543" s="18"/>
      <c r="H543" s="18">
        <v>124159.85</v>
      </c>
      <c r="I543" s="18"/>
      <c r="J543" s="18"/>
      <c r="K543" s="18"/>
      <c r="L543" s="88">
        <f>SUM(F543:K543)</f>
        <v>124159.85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591237.38</v>
      </c>
      <c r="I544" s="193">
        <f t="shared" si="40"/>
        <v>0</v>
      </c>
      <c r="J544" s="193">
        <f t="shared" si="40"/>
        <v>0</v>
      </c>
      <c r="K544" s="193">
        <f t="shared" si="40"/>
        <v>0</v>
      </c>
      <c r="L544" s="193">
        <f t="shared" si="40"/>
        <v>591237.38</v>
      </c>
      <c r="M544" s="8"/>
      <c r="N544" s="266"/>
    </row>
    <row r="545" spans="1:14" s="3" customFormat="1" ht="12.2" customHeight="1" thickTop="1" x14ac:dyDescent="0.15">
      <c r="A545" s="98" t="s">
        <v>72</v>
      </c>
      <c r="B545" s="107">
        <v>21</v>
      </c>
      <c r="C545" s="107">
        <v>21</v>
      </c>
      <c r="D545" s="158" t="s">
        <v>432</v>
      </c>
      <c r="E545" s="107"/>
      <c r="F545" s="89">
        <f>F524+F529+F534+F539+F544</f>
        <v>1811380.58</v>
      </c>
      <c r="G545" s="89">
        <f t="shared" ref="G545:L545" si="41">G524+G529+G534+G539+G544</f>
        <v>1169615.94</v>
      </c>
      <c r="H545" s="89">
        <f t="shared" si="41"/>
        <v>5140799.92</v>
      </c>
      <c r="I545" s="89">
        <f t="shared" si="41"/>
        <v>57503.41</v>
      </c>
      <c r="J545" s="89">
        <f t="shared" si="41"/>
        <v>67750.290000000008</v>
      </c>
      <c r="K545" s="89">
        <f t="shared" si="41"/>
        <v>1149</v>
      </c>
      <c r="L545" s="89">
        <f t="shared" si="41"/>
        <v>8248199.1400000006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1221735.06</v>
      </c>
      <c r="G549" s="87">
        <f>L526</f>
        <v>1152827.5900000001</v>
      </c>
      <c r="H549" s="87">
        <f>L531</f>
        <v>230630.51</v>
      </c>
      <c r="I549" s="87">
        <f>L536</f>
        <v>11254.95</v>
      </c>
      <c r="J549" s="87">
        <f>L541</f>
        <v>289706.32</v>
      </c>
      <c r="K549" s="87">
        <f>SUM(F549:J549)</f>
        <v>2906154.43</v>
      </c>
      <c r="L549" s="24" t="s">
        <v>288</v>
      </c>
      <c r="M549" s="8"/>
      <c r="N549" s="266"/>
    </row>
    <row r="550" spans="1:14" s="3" customFormat="1" ht="12.2" customHeight="1" x14ac:dyDescent="0.15">
      <c r="A550" s="22" t="s">
        <v>634</v>
      </c>
      <c r="B550" s="75">
        <v>21</v>
      </c>
      <c r="C550" s="75">
        <v>23</v>
      </c>
      <c r="D550" s="2" t="s">
        <v>432</v>
      </c>
      <c r="E550" s="75"/>
      <c r="F550" s="87">
        <f>L522</f>
        <v>1143273.23</v>
      </c>
      <c r="G550" s="87">
        <f>L527</f>
        <v>626092.28999999992</v>
      </c>
      <c r="H550" s="87">
        <f>L532</f>
        <v>142213.13</v>
      </c>
      <c r="I550" s="87">
        <f>L537</f>
        <v>6610.05</v>
      </c>
      <c r="J550" s="87">
        <f>L542</f>
        <v>177371.21</v>
      </c>
      <c r="K550" s="87">
        <f>SUM(F550:J550)</f>
        <v>2095559.91</v>
      </c>
      <c r="L550" s="24" t="s">
        <v>288</v>
      </c>
      <c r="M550" s="8"/>
      <c r="N550" s="266"/>
    </row>
    <row r="551" spans="1:14" s="3" customFormat="1" ht="12.2" customHeight="1" thickBot="1" x14ac:dyDescent="0.2">
      <c r="A551" s="22" t="s">
        <v>635</v>
      </c>
      <c r="B551" s="75">
        <v>21</v>
      </c>
      <c r="C551" s="75">
        <v>24</v>
      </c>
      <c r="D551" s="2" t="s">
        <v>432</v>
      </c>
      <c r="E551" s="75"/>
      <c r="F551" s="87">
        <f>L523</f>
        <v>2486791</v>
      </c>
      <c r="G551" s="87">
        <f>L528</f>
        <v>344965.98</v>
      </c>
      <c r="H551" s="87">
        <f>L533</f>
        <v>290567.96999999997</v>
      </c>
      <c r="I551" s="87">
        <f>L538</f>
        <v>0</v>
      </c>
      <c r="J551" s="87">
        <f>L543</f>
        <v>124159.85</v>
      </c>
      <c r="K551" s="87">
        <f>SUM(F551:J551)</f>
        <v>3246484.8000000003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4851799.29</v>
      </c>
      <c r="G552" s="89">
        <f t="shared" si="42"/>
        <v>2123885.86</v>
      </c>
      <c r="H552" s="89">
        <f t="shared" si="42"/>
        <v>663411.61</v>
      </c>
      <c r="I552" s="89">
        <f t="shared" si="42"/>
        <v>17865</v>
      </c>
      <c r="J552" s="89">
        <f t="shared" si="42"/>
        <v>591237.38</v>
      </c>
      <c r="K552" s="89">
        <f t="shared" si="42"/>
        <v>8248199.1400000006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f>58757.92+43187</f>
        <v>101944.92</v>
      </c>
      <c r="G562" s="18">
        <f>34678.8+12320.51</f>
        <v>46999.310000000005</v>
      </c>
      <c r="H562" s="18">
        <f>482.25</f>
        <v>482.25</v>
      </c>
      <c r="I562" s="18">
        <f>299.08+201.82</f>
        <v>500.9</v>
      </c>
      <c r="J562" s="18"/>
      <c r="K562" s="18"/>
      <c r="L562" s="88">
        <f>SUM(F562:K562)</f>
        <v>149927.38</v>
      </c>
      <c r="M562" s="8"/>
      <c r="N562" s="266"/>
    </row>
    <row r="563" spans="1:14" s="3" customFormat="1" ht="12.2" customHeight="1" x14ac:dyDescent="0.15">
      <c r="A563" s="22" t="s">
        <v>634</v>
      </c>
      <c r="B563" s="105">
        <v>22</v>
      </c>
      <c r="C563" s="115">
        <v>6</v>
      </c>
      <c r="D563" s="2" t="s">
        <v>432</v>
      </c>
      <c r="E563" s="115"/>
      <c r="F563" s="18">
        <v>38868.18</v>
      </c>
      <c r="G563" s="18">
        <v>26994.74</v>
      </c>
      <c r="H563" s="18"/>
      <c r="I563" s="18"/>
      <c r="J563" s="18"/>
      <c r="K563" s="18"/>
      <c r="L563" s="88">
        <f>SUM(F563:K563)</f>
        <v>65862.92</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140813.1</v>
      </c>
      <c r="G565" s="89">
        <f t="shared" si="44"/>
        <v>73994.05</v>
      </c>
      <c r="H565" s="89">
        <f t="shared" si="44"/>
        <v>482.25</v>
      </c>
      <c r="I565" s="89">
        <f t="shared" si="44"/>
        <v>500.9</v>
      </c>
      <c r="J565" s="89">
        <f t="shared" si="44"/>
        <v>0</v>
      </c>
      <c r="K565" s="89">
        <f t="shared" si="44"/>
        <v>0</v>
      </c>
      <c r="L565" s="89">
        <f t="shared" si="44"/>
        <v>215790.3</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87479.52</v>
      </c>
      <c r="G567" s="18">
        <v>35528.19</v>
      </c>
      <c r="H567" s="18"/>
      <c r="I567" s="18">
        <v>2563.8000000000002</v>
      </c>
      <c r="J567" s="18"/>
      <c r="K567" s="18">
        <f>250+1535</f>
        <v>1785</v>
      </c>
      <c r="L567" s="88">
        <f>SUM(F567:K567)</f>
        <v>127356.51000000001</v>
      </c>
      <c r="M567" s="8"/>
      <c r="N567" s="266"/>
    </row>
    <row r="568" spans="1:14" s="3" customFormat="1" ht="12.2" customHeight="1" x14ac:dyDescent="0.15">
      <c r="A568" s="22" t="s">
        <v>634</v>
      </c>
      <c r="B568" s="105">
        <v>22</v>
      </c>
      <c r="C568" s="105">
        <v>10</v>
      </c>
      <c r="D568" s="2" t="s">
        <v>432</v>
      </c>
      <c r="E568" s="105"/>
      <c r="F568" s="18">
        <v>53616.480000000003</v>
      </c>
      <c r="G568" s="18">
        <v>21775.34</v>
      </c>
      <c r="H568" s="18">
        <v>6640.71</v>
      </c>
      <c r="I568" s="18">
        <v>2965.26</v>
      </c>
      <c r="J568" s="18"/>
      <c r="K568" s="18"/>
      <c r="L568" s="88">
        <f>SUM(F568:K568)</f>
        <v>84997.790000000008</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141096</v>
      </c>
      <c r="G570" s="193">
        <f t="shared" ref="G570:L570" si="45">SUM(G567:G569)</f>
        <v>57303.53</v>
      </c>
      <c r="H570" s="193">
        <f t="shared" si="45"/>
        <v>6640.71</v>
      </c>
      <c r="I570" s="193">
        <f t="shared" si="45"/>
        <v>5529.06</v>
      </c>
      <c r="J570" s="193">
        <f t="shared" si="45"/>
        <v>0</v>
      </c>
      <c r="K570" s="193">
        <f t="shared" si="45"/>
        <v>1785</v>
      </c>
      <c r="L570" s="193">
        <f t="shared" si="45"/>
        <v>212354.30000000002</v>
      </c>
      <c r="M570" s="8"/>
      <c r="N570" s="266"/>
    </row>
    <row r="571" spans="1:14" s="3" customFormat="1" ht="12.2" customHeight="1" thickTop="1" x14ac:dyDescent="0.15">
      <c r="A571" s="98" t="s">
        <v>88</v>
      </c>
      <c r="B571" s="107">
        <v>22</v>
      </c>
      <c r="C571" s="107">
        <v>13</v>
      </c>
      <c r="D571" s="158" t="s">
        <v>432</v>
      </c>
      <c r="E571" s="107"/>
      <c r="F571" s="89">
        <f>F560+F565+F570</f>
        <v>281909.09999999998</v>
      </c>
      <c r="G571" s="89">
        <f t="shared" ref="G571:L571" si="46">G560+G565+G570</f>
        <v>131297.58000000002</v>
      </c>
      <c r="H571" s="89">
        <f t="shared" si="46"/>
        <v>7122.96</v>
      </c>
      <c r="I571" s="89">
        <f t="shared" si="46"/>
        <v>6029.96</v>
      </c>
      <c r="J571" s="89">
        <f t="shared" si="46"/>
        <v>0</v>
      </c>
      <c r="K571" s="89">
        <f t="shared" si="46"/>
        <v>1785</v>
      </c>
      <c r="L571" s="89">
        <f t="shared" si="46"/>
        <v>428144.6</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2690185.97</v>
      </c>
      <c r="I575" s="87">
        <f>SUM(F575:H575)</f>
        <v>2690185.97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4113629.6</v>
      </c>
      <c r="I577" s="87">
        <f t="shared" si="47"/>
        <v>4113629.6</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v>6640.71</v>
      </c>
      <c r="H579" s="18">
        <v>504641.01</v>
      </c>
      <c r="I579" s="87">
        <f t="shared" si="47"/>
        <v>511281.72000000003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905773.36</v>
      </c>
      <c r="I581" s="87">
        <f t="shared" si="47"/>
        <v>905773.36</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177048.11</v>
      </c>
      <c r="G582" s="18">
        <v>319241.73</v>
      </c>
      <c r="H582" s="18">
        <v>878232.31</v>
      </c>
      <c r="I582" s="87">
        <f t="shared" si="47"/>
        <v>1374522.15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440687.54</f>
        <v>440687.54</v>
      </c>
      <c r="I591" s="18">
        <v>264412.53000000003</v>
      </c>
      <c r="J591" s="18">
        <v>274205.58</v>
      </c>
      <c r="K591" s="104">
        <f t="shared" ref="K591:K597" si="48">SUM(H591:J591)</f>
        <v>979305.65000000014</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289706.32</v>
      </c>
      <c r="I592" s="18">
        <v>177371.21</v>
      </c>
      <c r="J592" s="18">
        <v>124159.85</v>
      </c>
      <c r="K592" s="104">
        <f t="shared" si="48"/>
        <v>591237.38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276.2+5844.4</f>
        <v>6120.5999999999995</v>
      </c>
      <c r="I595" s="18">
        <f>6967.03+17834.28</f>
        <v>24801.309999999998</v>
      </c>
      <c r="J595" s="18"/>
      <c r="K595" s="104">
        <f t="shared" si="48"/>
        <v>30921.909999999996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736514.46</v>
      </c>
      <c r="I598" s="108">
        <f>SUM(I591:I597)</f>
        <v>466585.05</v>
      </c>
      <c r="J598" s="108">
        <f>SUM(J591:J597)</f>
        <v>398365.43000000005</v>
      </c>
      <c r="K598" s="108">
        <f>SUM(K591:K597)</f>
        <v>1601464.9400000002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13038.44+38016.57+3037.05+3988.61+6761.33+79178.46+6023.62+3100.01+3967.81+38315.04</f>
        <v>195426.94000000003</v>
      </c>
      <c r="I604" s="18">
        <f>7364.06+23300.48+1783.66+2444.63+3970.94+46501.63+314.38+397.72+8401+631.92+4104.4+3296.02+105124.95+37800</f>
        <v>245435.78999999998</v>
      </c>
      <c r="J604" s="18"/>
      <c r="K604" s="104">
        <f>SUM(H604:J604)</f>
        <v>440862.73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195426.94000000003</v>
      </c>
      <c r="I605" s="108">
        <f>SUM(I602:I604)</f>
        <v>245435.78999999998</v>
      </c>
      <c r="J605" s="108">
        <f>SUM(J602:J604)</f>
        <v>0</v>
      </c>
      <c r="K605" s="108">
        <f>SUM(K602:K604)</f>
        <v>440862.73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f>6254.5</f>
        <v>6254.5</v>
      </c>
      <c r="G612" s="18">
        <f>1360.37</f>
        <v>1360.37</v>
      </c>
      <c r="H612" s="18"/>
      <c r="I612" s="18">
        <f>2279.36</f>
        <v>2279.36</v>
      </c>
      <c r="J612" s="18"/>
      <c r="K612" s="18"/>
      <c r="L612" s="88">
        <f>SUM(F612:K612)</f>
        <v>9894.23</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6254.5</v>
      </c>
      <c r="G614" s="108">
        <f t="shared" si="49"/>
        <v>1360.37</v>
      </c>
      <c r="H614" s="108">
        <f t="shared" si="49"/>
        <v>0</v>
      </c>
      <c r="I614" s="108">
        <f t="shared" si="49"/>
        <v>2279.36</v>
      </c>
      <c r="J614" s="108">
        <f t="shared" si="49"/>
        <v>0</v>
      </c>
      <c r="K614" s="108">
        <f t="shared" si="49"/>
        <v>0</v>
      </c>
      <c r="L614" s="89">
        <f t="shared" si="49"/>
        <v>9894.23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2088901.3299999998</v>
      </c>
      <c r="H617" s="109">
        <f>SUM(F52)</f>
        <v>2088901.33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46684.729999999996</v>
      </c>
      <c r="H618" s="109">
        <f>SUM(G52)</f>
        <v>46684.729999999996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199881.9</v>
      </c>
      <c r="H619" s="109">
        <f>SUM(H52)</f>
        <v>199881.9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624817.83000000007</v>
      </c>
      <c r="H621" s="109">
        <f>SUM(J52)</f>
        <v>624817.83000000007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1694332.01</v>
      </c>
      <c r="H622" s="109">
        <f>F476</f>
        <v>1694332.0100000016</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36244.949999999997</v>
      </c>
      <c r="H623" s="109">
        <f>G476</f>
        <v>36244.95000000007</v>
      </c>
      <c r="I623" s="121" t="s">
        <v>102</v>
      </c>
      <c r="J623" s="109">
        <f t="shared" si="50"/>
        <v>-7.2759576141834259E-11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624817.83000000007</v>
      </c>
      <c r="H626" s="109">
        <f>J476</f>
        <v>624817.82999999996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31714233.279999994</v>
      </c>
      <c r="H627" s="104">
        <f>SUM(F468)</f>
        <v>31714233.280000001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631871.89</v>
      </c>
      <c r="H628" s="104">
        <f>SUM(G468)</f>
        <v>631871.89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742847.47000000009</v>
      </c>
      <c r="H629" s="104">
        <f>SUM(H468)</f>
        <v>742847.47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14096.82</v>
      </c>
      <c r="H631" s="104">
        <f>SUM(J468)</f>
        <v>14096.82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32036825.840000004</v>
      </c>
      <c r="H632" s="104">
        <f>SUM(F472)</f>
        <v>32036825.84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742847.47000000009</v>
      </c>
      <c r="H633" s="104">
        <f>SUM(H472)</f>
        <v>742847.47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264805.93</v>
      </c>
      <c r="H634" s="104">
        <f>I369</f>
        <v>264805.93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617983.31999999995</v>
      </c>
      <c r="H635" s="104">
        <f>SUM(G472)</f>
        <v>617983.31999999995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14096.82</v>
      </c>
      <c r="H637" s="164">
        <f>SUM(J468)</f>
        <v>14096.82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344638.96</v>
      </c>
      <c r="H639" s="104">
        <f>SUM(F461)</f>
        <v>344638.96</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280178.87</v>
      </c>
      <c r="H640" s="104">
        <f>SUM(G461)</f>
        <v>280178.87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624817.83000000007</v>
      </c>
      <c r="H642" s="104">
        <f>SUM(I461)</f>
        <v>624817.83000000007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14096.82</v>
      </c>
      <c r="H644" s="104">
        <f>H408</f>
        <v>14096.82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14096.82</v>
      </c>
      <c r="H646" s="104">
        <f>L408</f>
        <v>14096.82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1601464.9400000002</v>
      </c>
      <c r="H647" s="104">
        <f>L208+L226+L244</f>
        <v>1601464.94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440862.73</v>
      </c>
      <c r="H648" s="104">
        <f>(J257+J338)-(J255+J336)</f>
        <v>440862.73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736514.46</v>
      </c>
      <c r="H649" s="104">
        <f>H598</f>
        <v>736514.46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466585.05</v>
      </c>
      <c r="H650" s="104">
        <f>I598</f>
        <v>466585.05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398365.43</v>
      </c>
      <c r="H651" s="104">
        <f>J598</f>
        <v>398365.43000000005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13149504.830000004</v>
      </c>
      <c r="G660" s="19">
        <f>(L229+L309+L359)</f>
        <v>8658808.7400000002</v>
      </c>
      <c r="H660" s="19">
        <f>(L247+L328+L360)</f>
        <v>9971948.9600000009</v>
      </c>
      <c r="I660" s="19">
        <f>SUM(F660:H660)</f>
        <v>31780262.530000005</v>
      </c>
      <c r="J660" s="13"/>
      <c r="K660" s="13"/>
      <c r="L660" s="13"/>
      <c r="M660" s="9"/>
    </row>
    <row r="661" spans="1:13" s="3" customFormat="1" ht="12.2" customHeight="1" x14ac:dyDescent="0.2">
      <c r="A661" s="1" t="s">
        <v>127</v>
      </c>
      <c r="F661" s="19">
        <f>(L358/IF(SUM(L358:L360)=0,1,SUM(L358:L360))*(SUM(G97:G110)))</f>
        <v>267170.35680643597</v>
      </c>
      <c r="G661" s="19">
        <f>(L359/IF(SUM(L358:L360)=0,1,SUM(L358:L360))*(SUM(G97:G110)))</f>
        <v>157663.61319356403</v>
      </c>
      <c r="H661" s="19">
        <f>(L360/IF(SUM(L358:L360)=0,1,SUM(L358:L360))*(SUM(G97:G110)))</f>
        <v>0</v>
      </c>
      <c r="I661" s="19">
        <f>SUM(F661:H661)</f>
        <v>424833.97</v>
      </c>
      <c r="J661"/>
      <c r="K661" s="13"/>
      <c r="L661" s="13"/>
      <c r="M661" s="9"/>
    </row>
    <row r="662" spans="1:13" s="3" customFormat="1" ht="12.2" customHeight="1" x14ac:dyDescent="0.2">
      <c r="A662" s="1" t="s">
        <v>128</v>
      </c>
      <c r="F662" s="19">
        <f>(L208+L287)-(J208+J287)</f>
        <v>737144.53999999992</v>
      </c>
      <c r="G662" s="19">
        <f>(L226+L306)-(J226+J306)</f>
        <v>466585.05</v>
      </c>
      <c r="H662" s="19">
        <f>(L244+L325)-(J244+J325)</f>
        <v>398365.43</v>
      </c>
      <c r="I662" s="19">
        <f>SUM(F662:H662)</f>
        <v>1602095.0199999998</v>
      </c>
      <c r="J662"/>
      <c r="K662" s="13"/>
      <c r="L662" s="13"/>
      <c r="M662" s="8"/>
    </row>
    <row r="663" spans="1:13" s="3" customFormat="1" ht="12.2" customHeight="1" x14ac:dyDescent="0.15">
      <c r="A663" s="198" t="s">
        <v>129</v>
      </c>
      <c r="B663" s="169"/>
      <c r="C663" s="169"/>
      <c r="D663" s="169"/>
      <c r="E663" s="169"/>
      <c r="F663" s="199">
        <f>SUM(F575:F587)+SUM(H602:H604)+SUM(L611)</f>
        <v>372475.05000000005</v>
      </c>
      <c r="G663" s="199">
        <f>SUM(G575:G587)+SUM(I602:I604)+L612</f>
        <v>581212.46</v>
      </c>
      <c r="H663" s="199">
        <f>SUM(H575:H587)+SUM(J602:J604)+L613</f>
        <v>9092462.25</v>
      </c>
      <c r="I663" s="19">
        <f>SUM(F663:H663)</f>
        <v>10046149.76</v>
      </c>
      <c r="J663" s="13"/>
      <c r="K663" s="13"/>
      <c r="L663" s="13"/>
      <c r="M663" s="9"/>
    </row>
    <row r="664" spans="1:13" s="3" customFormat="1" ht="12.2" customHeight="1" x14ac:dyDescent="0.15">
      <c r="A664" s="1" t="s">
        <v>130</v>
      </c>
      <c r="F664" s="19">
        <f>F660-SUM(F661:F663)</f>
        <v>11772714.883193567</v>
      </c>
      <c r="G664" s="19">
        <f>G660-SUM(G661:G663)</f>
        <v>7453347.6168064363</v>
      </c>
      <c r="H664" s="19">
        <f>H660-SUM(H661:H663)</f>
        <v>481121.28000000119</v>
      </c>
      <c r="I664" s="19">
        <f>I660-SUM(I661:I663)</f>
        <v>19707183.780000005</v>
      </c>
      <c r="J664" s="13"/>
      <c r="K664" s="13"/>
      <c r="L664" s="13"/>
      <c r="M664" s="9"/>
    </row>
    <row r="665" spans="1:13" s="3" customFormat="1" ht="12.2" customHeight="1" x14ac:dyDescent="0.2">
      <c r="A665" s="1" t="s">
        <v>131</v>
      </c>
      <c r="F665" s="246">
        <v>747.51</v>
      </c>
      <c r="G665" s="247">
        <v>493.47</v>
      </c>
      <c r="H665" s="247"/>
      <c r="I665" s="19">
        <f>SUM(F665:H665)</f>
        <v>1240.98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15749.24</v>
      </c>
      <c r="G667" s="19">
        <f>ROUND(G664/G665,2)</f>
        <v>15103.95</v>
      </c>
      <c r="H667" s="19" t="e">
        <f>ROUND(H664/H665,2)</f>
        <v>#DIV/0!</v>
      </c>
      <c r="I667" s="19">
        <f>ROUND(I664/I665,2)</f>
        <v>15880.34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-481121.28000000003</v>
      </c>
      <c r="I669" s="19">
        <f>SUM(F669:H669)</f>
        <v>-481121.28000000003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15749.24</v>
      </c>
      <c r="G672" s="19">
        <f>ROUND((G664+G669)/(G665+G670),2)</f>
        <v>15103.95</v>
      </c>
      <c r="H672" s="19" t="e">
        <f>ROUND((H664+H669)/(H665+H670),2)</f>
        <v>#DIV/0!</v>
      </c>
      <c r="I672" s="19">
        <f>ROUND((I664+I669)/(I665+I670),2)</f>
        <v>15492.64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Hooksett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5159425.03</v>
      </c>
      <c r="C9" s="229">
        <f>'DOE25'!G197+'DOE25'!G215+'DOE25'!G233+'DOE25'!G276+'DOE25'!G295+'DOE25'!G314</f>
        <v>2812958.55</v>
      </c>
    </row>
    <row r="10" spans="1:3" x14ac:dyDescent="0.2">
      <c r="A10" t="s">
        <v>775</v>
      </c>
      <c r="B10" s="240">
        <v>4976125.78</v>
      </c>
      <c r="C10" s="240">
        <v>2751938.51</v>
      </c>
    </row>
    <row r="11" spans="1:3" x14ac:dyDescent="0.2">
      <c r="A11" t="s">
        <v>776</v>
      </c>
      <c r="B11" s="240">
        <v>144105.26999999999</v>
      </c>
      <c r="C11" s="240">
        <v>45950.720000000001</v>
      </c>
    </row>
    <row r="12" spans="1:3" x14ac:dyDescent="0.2">
      <c r="A12" t="s">
        <v>777</v>
      </c>
      <c r="B12" s="240">
        <v>39193.980000000003</v>
      </c>
      <c r="C12" s="240">
        <v>15069.32</v>
      </c>
    </row>
    <row r="13" spans="1:3" x14ac:dyDescent="0.2">
      <c r="A13" t="str">
        <f>IF(B9=B13,IF(C9=C13,"Check Total OK","Check Total Error"),"Check Total Error")</f>
        <v>Check Total OK</v>
      </c>
      <c r="B13" s="231">
        <f>SUM(B10:B12)</f>
        <v>5159425.03</v>
      </c>
      <c r="C13" s="231">
        <f>SUM(C10:C12)</f>
        <v>2812958.55</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1770396.4400000002</v>
      </c>
      <c r="C18" s="229">
        <f>'DOE25'!G198+'DOE25'!G216+'DOE25'!G234+'DOE25'!G277+'DOE25'!G296+'DOE25'!G315</f>
        <v>1099577.57</v>
      </c>
    </row>
    <row r="19" spans="1:3" x14ac:dyDescent="0.2">
      <c r="A19" t="s">
        <v>775</v>
      </c>
      <c r="B19" s="240">
        <v>989991.11</v>
      </c>
      <c r="C19" s="240">
        <v>696653.7</v>
      </c>
    </row>
    <row r="20" spans="1:3" x14ac:dyDescent="0.2">
      <c r="A20" t="s">
        <v>776</v>
      </c>
      <c r="B20" s="240">
        <v>494496.63</v>
      </c>
      <c r="C20" s="240">
        <v>259810.77</v>
      </c>
    </row>
    <row r="21" spans="1:3" x14ac:dyDescent="0.2">
      <c r="A21" t="s">
        <v>777</v>
      </c>
      <c r="B21" s="240">
        <v>285908.7</v>
      </c>
      <c r="C21" s="240">
        <v>143113.1</v>
      </c>
    </row>
    <row r="22" spans="1:3" x14ac:dyDescent="0.2">
      <c r="A22" t="str">
        <f>IF(B18=B22,IF(C18=C22,"Check Total OK","Check Total Error"),"Check Total Error")</f>
        <v>Check Total OK</v>
      </c>
      <c r="B22" s="231">
        <f>SUM(B19:B21)</f>
        <v>1770396.44</v>
      </c>
      <c r="C22" s="231">
        <f>SUM(C19:C21)</f>
        <v>1099577.57</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72866.66</v>
      </c>
      <c r="C36" s="235">
        <f>'DOE25'!G200+'DOE25'!G218+'DOE25'!G236+'DOE25'!G279+'DOE25'!G298+'DOE25'!G317</f>
        <v>15066.91</v>
      </c>
    </row>
    <row r="37" spans="1:3" x14ac:dyDescent="0.2">
      <c r="A37" t="s">
        <v>775</v>
      </c>
      <c r="B37" s="240">
        <v>7312.5</v>
      </c>
      <c r="C37" s="240">
        <v>942</v>
      </c>
    </row>
    <row r="38" spans="1:3" x14ac:dyDescent="0.2">
      <c r="A38" t="s">
        <v>776</v>
      </c>
      <c r="B38" s="240"/>
      <c r="C38" s="240"/>
    </row>
    <row r="39" spans="1:3" x14ac:dyDescent="0.2">
      <c r="A39" t="s">
        <v>777</v>
      </c>
      <c r="B39" s="240">
        <v>65554.16</v>
      </c>
      <c r="C39" s="240">
        <v>14124.91</v>
      </c>
    </row>
    <row r="40" spans="1:3" x14ac:dyDescent="0.2">
      <c r="A40" t="str">
        <f>IF(B36=B40,IF(C36=C40,"Check Total OK","Check Total Error"),"Check Total Error")</f>
        <v>Check Total OK</v>
      </c>
      <c r="B40" s="231">
        <f>SUM(B37:B39)</f>
        <v>72866.66</v>
      </c>
      <c r="C40" s="231">
        <f>SUM(C37:C39)</f>
        <v>15066.91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Hooksett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21523380.810000002</v>
      </c>
      <c r="D5" s="20">
        <f>SUM('DOE25'!L197:L200)+SUM('DOE25'!L215:L218)+SUM('DOE25'!L233:L236)-F5-G5-H5</f>
        <v>20800024.910000004</v>
      </c>
      <c r="E5" s="243"/>
      <c r="F5" s="244">
        <v>696207.04</v>
      </c>
      <c r="G5" s="53">
        <f>SUM('DOE25'!J197:J200)+SUM('DOE25'!J215:J218)+SUM('DOE25'!J233:J236)</f>
        <v>21569.96</v>
      </c>
      <c r="H5" s="53">
        <f>SUM('DOE25'!K197:K200)+SUM('DOE25'!K215:K218)+SUM('DOE25'!K233:K236)</f>
        <v>5578.9</v>
      </c>
      <c r="I5" s="256"/>
    </row>
    <row r="6" spans="1:9" x14ac:dyDescent="0.2">
      <c r="A6" s="32">
        <v>2100</v>
      </c>
      <c r="B6" t="s">
        <v>796</v>
      </c>
      <c r="C6" s="276">
        <f t="shared" si="0"/>
        <v>2184213.62</v>
      </c>
      <c r="D6" s="20">
        <f>'DOE25'!L202+'DOE25'!L220+'DOE25'!L238-F6-G6-H6</f>
        <v>1392944.2000000002</v>
      </c>
      <c r="E6" s="243"/>
      <c r="F6" s="244">
        <v>790637.5</v>
      </c>
      <c r="G6" s="53">
        <f>'DOE25'!J202+'DOE25'!J220+'DOE25'!J238</f>
        <v>631.91999999999996</v>
      </c>
      <c r="H6" s="53">
        <f>'DOE25'!K202+'DOE25'!K220+'DOE25'!K238</f>
        <v>0</v>
      </c>
      <c r="I6" s="256"/>
    </row>
    <row r="7" spans="1:9" x14ac:dyDescent="0.2">
      <c r="A7" s="32">
        <v>2200</v>
      </c>
      <c r="B7" t="s">
        <v>821</v>
      </c>
      <c r="C7" s="276">
        <f t="shared" si="0"/>
        <v>532983.67000000004</v>
      </c>
      <c r="D7" s="20">
        <f>'DOE25'!L203+'DOE25'!L221+'DOE25'!L239-F7-G7-H7</f>
        <v>525258.26</v>
      </c>
      <c r="E7" s="243"/>
      <c r="F7" s="244"/>
      <c r="G7" s="53">
        <f>'DOE25'!J203+'DOE25'!J221+'DOE25'!J239</f>
        <v>7204.41</v>
      </c>
      <c r="H7" s="53">
        <f>'DOE25'!K203+'DOE25'!K221+'DOE25'!K239</f>
        <v>521</v>
      </c>
      <c r="I7" s="256"/>
    </row>
    <row r="8" spans="1:9" x14ac:dyDescent="0.2">
      <c r="A8" s="32">
        <v>2300</v>
      </c>
      <c r="B8" t="s">
        <v>797</v>
      </c>
      <c r="C8" s="276">
        <f t="shared" si="0"/>
        <v>408376.33</v>
      </c>
      <c r="D8" s="243"/>
      <c r="E8" s="20">
        <f>'DOE25'!L204+'DOE25'!L222+'DOE25'!L240-F8-G8-H8-D9-D11</f>
        <v>402023.97000000003</v>
      </c>
      <c r="F8" s="244"/>
      <c r="G8" s="53">
        <f>'DOE25'!J204+'DOE25'!J222+'DOE25'!J240</f>
        <v>0</v>
      </c>
      <c r="H8" s="53">
        <f>'DOE25'!K204+'DOE25'!K222+'DOE25'!K240</f>
        <v>6352.36</v>
      </c>
      <c r="I8" s="256"/>
    </row>
    <row r="9" spans="1:9" ht="14.25" x14ac:dyDescent="0.2">
      <c r="A9" s="32">
        <v>2310</v>
      </c>
      <c r="B9" s="185" t="s">
        <v>890</v>
      </c>
      <c r="C9" s="276">
        <f t="shared" si="0"/>
        <v>74374.8</v>
      </c>
      <c r="D9" s="244">
        <v>74374.8</v>
      </c>
      <c r="E9" s="243"/>
      <c r="F9" s="253"/>
      <c r="G9" s="253"/>
      <c r="H9" s="253"/>
      <c r="I9" s="256"/>
    </row>
    <row r="10" spans="1:9" ht="14.25" x14ac:dyDescent="0.2">
      <c r="A10" s="32">
        <v>2317</v>
      </c>
      <c r="B10" s="185" t="s">
        <v>891</v>
      </c>
      <c r="C10" s="276">
        <f t="shared" si="0"/>
        <v>15017.5</v>
      </c>
      <c r="D10" s="243"/>
      <c r="E10" s="244">
        <v>15017.5</v>
      </c>
      <c r="F10" s="253"/>
      <c r="G10" s="253"/>
      <c r="H10" s="253"/>
      <c r="I10" s="256"/>
    </row>
    <row r="11" spans="1:9" ht="14.25" x14ac:dyDescent="0.2">
      <c r="A11" s="32">
        <v>2321</v>
      </c>
      <c r="B11" s="185" t="s">
        <v>892</v>
      </c>
      <c r="C11" s="276">
        <f t="shared" si="0"/>
        <v>291541.68</v>
      </c>
      <c r="D11" s="244">
        <v>291541.68</v>
      </c>
      <c r="E11" s="243"/>
      <c r="F11" s="253"/>
      <c r="G11" s="253"/>
      <c r="H11" s="253"/>
      <c r="I11" s="256"/>
    </row>
    <row r="12" spans="1:9" x14ac:dyDescent="0.2">
      <c r="A12" s="32">
        <v>2400</v>
      </c>
      <c r="B12" t="s">
        <v>711</v>
      </c>
      <c r="C12" s="276">
        <f t="shared" si="0"/>
        <v>1219305.21</v>
      </c>
      <c r="D12" s="20">
        <f>'DOE25'!L205+'DOE25'!L223+'DOE25'!L241-F12-G12-H12</f>
        <v>1206933.3799999999</v>
      </c>
      <c r="E12" s="243"/>
      <c r="F12" s="244"/>
      <c r="G12" s="53">
        <f>'DOE25'!J205+'DOE25'!J223+'DOE25'!J241</f>
        <v>7263.83</v>
      </c>
      <c r="H12" s="53">
        <f>'DOE25'!K205+'DOE25'!K223+'DOE25'!K241</f>
        <v>5108</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2187893.19</v>
      </c>
      <c r="D14" s="20">
        <f>'DOE25'!L207+'DOE25'!L225+'DOE25'!L243-F14-G14-H14</f>
        <v>1966234.93</v>
      </c>
      <c r="E14" s="243"/>
      <c r="F14" s="244">
        <v>67486</v>
      </c>
      <c r="G14" s="53">
        <f>'DOE25'!J207+'DOE25'!J225+'DOE25'!J243</f>
        <v>154172.26</v>
      </c>
      <c r="H14" s="53">
        <f>'DOE25'!K207+'DOE25'!K225+'DOE25'!K243</f>
        <v>0</v>
      </c>
      <c r="I14" s="256"/>
    </row>
    <row r="15" spans="1:9" x14ac:dyDescent="0.2">
      <c r="A15" s="32">
        <v>2700</v>
      </c>
      <c r="B15" t="s">
        <v>799</v>
      </c>
      <c r="C15" s="276">
        <f t="shared" si="0"/>
        <v>1601464.94</v>
      </c>
      <c r="D15" s="20">
        <f>'DOE25'!L208+'DOE25'!L226+'DOE25'!L244-F15-G15-H15</f>
        <v>1054699.3700000001</v>
      </c>
      <c r="E15" s="243"/>
      <c r="F15" s="244">
        <v>546765.56999999995</v>
      </c>
      <c r="G15" s="53">
        <f>'DOE25'!J208+'DOE25'!J226+'DOE25'!J244</f>
        <v>0</v>
      </c>
      <c r="H15" s="53">
        <f>'DOE25'!K208+'DOE25'!K226+'DOE25'!K244</f>
        <v>0</v>
      </c>
      <c r="I15" s="256"/>
    </row>
    <row r="16" spans="1:9" x14ac:dyDescent="0.2">
      <c r="A16" s="32">
        <v>2800</v>
      </c>
      <c r="B16" t="s">
        <v>800</v>
      </c>
      <c r="C16" s="276">
        <f t="shared" si="0"/>
        <v>395897.49</v>
      </c>
      <c r="D16" s="243"/>
      <c r="E16" s="20">
        <f>'DOE25'!L209+'DOE25'!L227+'DOE25'!L245-F16-G16-H16</f>
        <v>232417.39999999997</v>
      </c>
      <c r="F16" s="244"/>
      <c r="G16" s="53">
        <f>'DOE25'!J209+'DOE25'!J227+'DOE25'!J245</f>
        <v>163480.09000000003</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327597</v>
      </c>
      <c r="D22" s="243"/>
      <c r="E22" s="243"/>
      <c r="F22" s="243"/>
      <c r="G22" s="53">
        <f>'DOE25'!L255+'DOE25'!L336</f>
        <v>327597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1266875</v>
      </c>
      <c r="D25" s="243"/>
      <c r="E25" s="243"/>
      <c r="F25" s="255"/>
      <c r="G25" s="253"/>
      <c r="H25" s="253"/>
      <c r="I25" s="254">
        <f>'DOE25'!L260+'DOE25'!L261+'DOE25'!L341+'DOE25'!L342</f>
        <v>1266875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371861.66</v>
      </c>
      <c r="D29" s="284">
        <f>'DOE25'!L358+'DOE25'!L359+'DOE25'!L360-'DOE25'!I367-F29-G29-H29</f>
        <v>371261.66</v>
      </c>
      <c r="E29" s="243"/>
      <c r="F29" s="244"/>
      <c r="G29" s="53">
        <f>'DOE25'!J358+'DOE25'!J359+'DOE25'!J360</f>
        <v>0</v>
      </c>
      <c r="H29" s="53">
        <f>'DOE25'!K358+'DOE25'!K359+'DOE25'!K360</f>
        <v>600</v>
      </c>
      <c r="I29" s="256"/>
    </row>
    <row r="30" spans="1:9" x14ac:dyDescent="0.2">
      <c r="A30" s="32"/>
      <c r="C30" s="277"/>
      <c r="D30" s="20"/>
      <c r="E30" s="281"/>
      <c r="F30" s="271"/>
      <c r="G30" s="53"/>
      <c r="H30" s="53"/>
      <c r="I30" s="256"/>
    </row>
    <row r="31" spans="1:9" x14ac:dyDescent="0.2">
      <c r="A31" s="32" t="s">
        <v>818</v>
      </c>
      <c r="B31" t="s">
        <v>817</v>
      </c>
      <c r="C31" s="276">
        <f>SUM(D31:I31)</f>
        <v>742847.47000000009</v>
      </c>
      <c r="D31" s="20">
        <f>'DOE25'!L290+'DOE25'!L309+'DOE25'!L328+'DOE25'!L333+'DOE25'!L334+'DOE25'!L335-F31-G31-H31</f>
        <v>461805.71000000008</v>
      </c>
      <c r="E31" s="243"/>
      <c r="F31" s="244">
        <v>191709.4</v>
      </c>
      <c r="G31" s="53">
        <f>'DOE25'!J290+'DOE25'!J309+'DOE25'!J328+'DOE25'!J333+'DOE25'!J334+'DOE25'!J335</f>
        <v>86540.260000000009</v>
      </c>
      <c r="H31" s="53">
        <f>'DOE25'!K290+'DOE25'!K309+'DOE25'!K328+'DOE25'!K333+'DOE25'!K334+'DOE25'!K335</f>
        <v>2792.1000000000004</v>
      </c>
      <c r="I31" s="256"/>
    </row>
    <row r="32" spans="1:9" ht="12" thickBot="1" x14ac:dyDescent="0.25">
      <c r="C32" s="277"/>
      <c r="G32" s="251"/>
      <c r="H32" s="251"/>
      <c r="I32" s="258"/>
    </row>
    <row r="33" spans="1:9" ht="12" thickTop="1" x14ac:dyDescent="0.2">
      <c r="B33" t="s">
        <v>809</v>
      </c>
      <c r="D33" s="245">
        <f t="shared" ref="D33:I33" si="1">SUM(D5:D31)</f>
        <v>28145078.900000006</v>
      </c>
      <c r="E33" s="245">
        <f t="shared" si="1"/>
        <v>649458.87</v>
      </c>
      <c r="F33" s="245">
        <f t="shared" si="1"/>
        <v>2292805.5099999998</v>
      </c>
      <c r="G33" s="245">
        <f t="shared" si="1"/>
        <v>768459.73</v>
      </c>
      <c r="H33" s="245">
        <f t="shared" si="1"/>
        <v>20952.36</v>
      </c>
      <c r="I33" s="245">
        <f t="shared" si="1"/>
        <v>1266875</v>
      </c>
    </row>
    <row r="35" spans="1:9" ht="12" thickBot="1" x14ac:dyDescent="0.25">
      <c r="B35" s="251" t="s">
        <v>831</v>
      </c>
      <c r="D35" s="252">
        <f>E33</f>
        <v>649458.87</v>
      </c>
      <c r="E35" s="248"/>
    </row>
    <row r="36" spans="1:9" ht="12" thickTop="1" x14ac:dyDescent="0.2">
      <c r="B36" t="s">
        <v>810</v>
      </c>
      <c r="D36" s="20">
        <f>D33</f>
        <v>28145078.900000006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8" sqref="D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Hooksett School District</v>
      </c>
      <c r="B2" s="126">
        <f>'DOE25'!B2</f>
        <v>261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12760866.359999999</v>
      </c>
      <c r="G4" s="303">
        <f>'DOE25'!L211+'DOE25'!L290</f>
        <v>12760866.360000003</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t="s">
        <v>1140</v>
      </c>
      <c r="B6" s="305">
        <f>IFERROR(VLOOKUP(A6,'School Tables'!$C$3:$D$368,2,FALSE),"")</f>
        <v>20550</v>
      </c>
      <c r="C6" s="297" t="str">
        <f>IFERROR(INDEX('School Tables'!$B$3:$B$368,MATCH('School Level Expenditures'!B6,'School Tables'!$D$3:$D$368,0)),"")</f>
        <v>Hooksett</v>
      </c>
      <c r="D6" s="294">
        <v>6061411.5199999996</v>
      </c>
      <c r="E6" s="294"/>
      <c r="F6" s="308">
        <f t="shared" ref="F6:F20" si="0">D6+E6</f>
        <v>6061411.5199999996</v>
      </c>
      <c r="G6" s="297"/>
      <c r="H6" s="297"/>
      <c r="I6" s="126"/>
      <c r="N6"/>
    </row>
    <row r="7" spans="1:18" x14ac:dyDescent="0.2">
      <c r="A7" s="21" t="s">
        <v>1139</v>
      </c>
      <c r="B7" s="305">
        <f>IFERROR(VLOOKUP(A7,'School Tables'!$C$3:$D$368,2,FALSE),"")</f>
        <v>20540</v>
      </c>
      <c r="C7" s="297" t="str">
        <f>IFERROR(INDEX('School Tables'!$B$3:$B$368,MATCH('School Level Expenditures'!B7,'School Tables'!$D$3:$D$368,0)),"")</f>
        <v>Hooksett</v>
      </c>
      <c r="D7" s="294">
        <v>6699454.8399999999</v>
      </c>
      <c r="E7" s="294"/>
      <c r="F7" s="308">
        <f t="shared" si="0"/>
        <v>6699454.8399999999</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8429463.8900000006</v>
      </c>
      <c r="G24" s="303">
        <f>'DOE25'!L229+'DOE25'!L309</f>
        <v>8429463.8900000006</v>
      </c>
      <c r="H24" s="304">
        <f>F24-G24</f>
        <v>0</v>
      </c>
      <c r="I24" s="310" t="str">
        <f>IF(H24=0,"","Does not match DOE25 page 8 and 12 Totals!!")</f>
        <v/>
      </c>
      <c r="N24"/>
    </row>
    <row r="25" spans="1:14" x14ac:dyDescent="0.2">
      <c r="A25" s="21" t="s">
        <v>1141</v>
      </c>
      <c r="B25" s="305">
        <f>IFERROR(VLOOKUP(A25,'School Tables'!$I$3:$J$80,2,FALSE),"")</f>
        <v>28050</v>
      </c>
      <c r="C25" s="297" t="str">
        <f t="array" ref="C25">IFERROR(INDEX('School Tables'!$H$3:$H$80,MATCH('School Level Expenditures'!B25,'School Tables'!$J$3:$J$80,0)),"")</f>
        <v>Hooksett</v>
      </c>
      <c r="D25" s="294">
        <v>8429463.8900000006</v>
      </c>
      <c r="E25" s="294"/>
      <c r="F25" s="308">
        <f>D25+E25</f>
        <v>8429463.8900000006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9971948.9600000009</v>
      </c>
      <c r="G36" s="303">
        <f>'DOE25'!L247+'DOE25'!L328</f>
        <v>9971948.9600000009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9971948.9600000009</v>
      </c>
      <c r="E37" s="294"/>
      <c r="F37" s="308">
        <f>D37+E37</f>
        <v>9971948.9600000009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81" activePane="bottomLeft" state="frozen"/>
      <selection activeCell="F46" sqref="F46"/>
      <selection pane="bottomLeft" activeCell="C141" sqref="C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Hooksett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1612123.81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191048.66</v>
      </c>
      <c r="D11" s="95">
        <f>'DOE25'!G12</f>
        <v>37853.089999999997</v>
      </c>
      <c r="E11" s="95">
        <f>'DOE25'!H12</f>
        <v>0</v>
      </c>
      <c r="F11" s="95">
        <f>'DOE25'!I12</f>
        <v>0</v>
      </c>
      <c r="G11" s="95">
        <f>'DOE25'!J12</f>
        <v>0</v>
      </c>
      <c r="H11" s="124"/>
      <c r="I11" s="124"/>
    </row>
    <row r="12" spans="1:9" x14ac:dyDescent="0.2">
      <c r="A12" s="1" t="s">
        <v>143</v>
      </c>
      <c r="B12" s="6">
        <v>140</v>
      </c>
      <c r="C12" s="95">
        <f>'DOE25'!F13</f>
        <v>199839.97</v>
      </c>
      <c r="D12" s="95">
        <f>'DOE25'!G13</f>
        <v>8831.64</v>
      </c>
      <c r="E12" s="95">
        <f>'DOE25'!H13</f>
        <v>199881.9</v>
      </c>
      <c r="F12" s="95">
        <f>'DOE25'!I13</f>
        <v>0</v>
      </c>
      <c r="G12" s="95">
        <f>'DOE25'!J13</f>
        <v>624817.83000000007</v>
      </c>
      <c r="H12" s="124"/>
      <c r="I12" s="124"/>
    </row>
    <row r="13" spans="1:9" x14ac:dyDescent="0.2">
      <c r="A13" s="1" t="s">
        <v>144</v>
      </c>
      <c r="B13" s="6">
        <v>150</v>
      </c>
      <c r="C13" s="95">
        <f>'DOE25'!F14</f>
        <v>85888.89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2088901.3299999998</v>
      </c>
      <c r="D18" s="41">
        <f>SUM(D8:D17)</f>
        <v>46684.729999999996</v>
      </c>
      <c r="E18" s="41">
        <f>SUM(E8:E17)</f>
        <v>199881.9</v>
      </c>
      <c r="F18" s="41">
        <f>SUM(F8:F17)</f>
        <v>0</v>
      </c>
      <c r="G18" s="41">
        <f>SUM(G8:G17)</f>
        <v>624817.83000000007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37853.089999999997</v>
      </c>
      <c r="D21" s="95">
        <f>'DOE25'!G22</f>
        <v>0</v>
      </c>
      <c r="E21" s="95">
        <f>'DOE25'!H22</f>
        <v>191048.66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347311.91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9404.32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10439.780000000001</v>
      </c>
      <c r="E29" s="95">
        <f>'DOE25'!H30</f>
        <v>8833.24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394569.32</v>
      </c>
      <c r="D31" s="41">
        <f>SUM(D21:D30)</f>
        <v>10439.780000000001</v>
      </c>
      <c r="E31" s="41">
        <f>SUM(E21:E30)</f>
        <v>199881.9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95500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36244.949999999997</v>
      </c>
      <c r="E47" s="95">
        <f>'DOE25'!H48</f>
        <v>0</v>
      </c>
      <c r="F47" s="95">
        <f>'DOE25'!I48</f>
        <v>0</v>
      </c>
      <c r="G47" s="95">
        <f>'DOE25'!J48</f>
        <v>624817.83000000007</v>
      </c>
      <c r="H47" s="124"/>
      <c r="I47" s="124"/>
    </row>
    <row r="48" spans="1:9" x14ac:dyDescent="0.2">
      <c r="A48" s="1" t="s">
        <v>882</v>
      </c>
      <c r="B48" s="6">
        <v>753</v>
      </c>
      <c r="C48" s="95">
        <f>'DOE25'!F49</f>
        <v>312644.65999999997</v>
      </c>
      <c r="D48" s="95">
        <f>'DOE25'!G49</f>
        <v>0</v>
      </c>
      <c r="E48" s="95">
        <f>'DOE25'!H49</f>
        <v>0</v>
      </c>
      <c r="F48" s="95">
        <f>'DOE25'!I49</f>
        <v>0</v>
      </c>
      <c r="G48" s="95">
        <f>'DOE25'!J49</f>
        <v>0</v>
      </c>
      <c r="H48" s="124"/>
      <c r="I48" s="124"/>
    </row>
    <row r="49" spans="1:9" ht="12" thickBot="1" x14ac:dyDescent="0.25">
      <c r="A49" s="29" t="s">
        <v>883</v>
      </c>
      <c r="B49" s="71">
        <v>770</v>
      </c>
      <c r="C49" s="95">
        <f>'DOE25'!F50</f>
        <v>1286187.3500000001</v>
      </c>
      <c r="D49" s="24" t="s">
        <v>288</v>
      </c>
      <c r="E49" s="24" t="s">
        <v>288</v>
      </c>
      <c r="F49" s="24" t="s">
        <v>288</v>
      </c>
      <c r="G49" s="24" t="s">
        <v>288</v>
      </c>
      <c r="H49" s="124"/>
      <c r="I49" s="124"/>
    </row>
    <row r="50" spans="1:9" ht="12.75" thickTop="1" thickBot="1" x14ac:dyDescent="0.25">
      <c r="A50" s="38" t="s">
        <v>884</v>
      </c>
      <c r="B50" s="48"/>
      <c r="C50" s="41">
        <f>SUM(C34:C49)</f>
        <v>1694332.01</v>
      </c>
      <c r="D50" s="41">
        <f>SUM(D34:D49)</f>
        <v>36244.949999999997</v>
      </c>
      <c r="E50" s="41">
        <f>SUM(E34:E49)</f>
        <v>0</v>
      </c>
      <c r="F50" s="41">
        <f>SUM(F34:F49)</f>
        <v>0</v>
      </c>
      <c r="G50" s="41">
        <f>SUM(G34:G49)</f>
        <v>624817.83000000007</v>
      </c>
      <c r="H50" s="124"/>
      <c r="I50" s="124"/>
    </row>
    <row r="51" spans="1:9" ht="12" thickTop="1" x14ac:dyDescent="0.2">
      <c r="A51" s="38" t="s">
        <v>885</v>
      </c>
      <c r="B51" s="2"/>
      <c r="C51" s="41">
        <f>C50+C31</f>
        <v>2088901.33</v>
      </c>
      <c r="D51" s="41">
        <f>D50+D31</f>
        <v>46684.729999999996</v>
      </c>
      <c r="E51" s="41">
        <f>E50+E31</f>
        <v>199881.9</v>
      </c>
      <c r="F51" s="41">
        <f>F50+F31</f>
        <v>0</v>
      </c>
      <c r="G51" s="41">
        <f>G50+G31</f>
        <v>624817.83000000007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22589932</v>
      </c>
      <c r="D56" s="95">
        <f>'DOE25'!G60</f>
        <v>0</v>
      </c>
      <c r="E56" s="95">
        <f>'DOE25'!H60</f>
        <v>0</v>
      </c>
      <c r="F56" s="95">
        <f>'DOE25'!I60</f>
        <v>0</v>
      </c>
      <c r="G56" s="95">
        <f>'DOE25'!J60</f>
        <v>0</v>
      </c>
      <c r="H56"/>
      <c r="I56"/>
    </row>
    <row r="57" spans="1:9" x14ac:dyDescent="0.2">
      <c r="A57" s="1" t="s">
        <v>164</v>
      </c>
      <c r="B57" s="6" t="s">
        <v>165</v>
      </c>
      <c r="C57" s="95">
        <f>'DOE25'!F79</f>
        <v>11128.5</v>
      </c>
      <c r="D57" s="24" t="s">
        <v>288</v>
      </c>
      <c r="E57" s="95">
        <f>'DOE25'!H79</f>
        <v>0</v>
      </c>
      <c r="F57" s="24" t="s">
        <v>288</v>
      </c>
      <c r="G57" s="24" t="s">
        <v>288</v>
      </c>
      <c r="H57"/>
      <c r="I57"/>
    </row>
    <row r="58" spans="1:9" x14ac:dyDescent="0.2">
      <c r="A58" s="1" t="s">
        <v>166</v>
      </c>
      <c r="B58" s="6" t="s">
        <v>167</v>
      </c>
      <c r="C58" s="95">
        <f>'DOE25'!F94</f>
        <v>25413.06</v>
      </c>
      <c r="D58" s="24" t="s">
        <v>288</v>
      </c>
      <c r="E58" s="95">
        <f>'DOE25'!H94</f>
        <v>0</v>
      </c>
      <c r="F58" s="24" t="s">
        <v>288</v>
      </c>
      <c r="G58" s="24" t="s">
        <v>288</v>
      </c>
      <c r="H58"/>
      <c r="I58"/>
    </row>
    <row r="59" spans="1:9" x14ac:dyDescent="0.2">
      <c r="A59" s="69" t="s">
        <v>168</v>
      </c>
      <c r="B59" s="37" t="s">
        <v>169</v>
      </c>
      <c r="C59" s="95">
        <f>'DOE25'!F96</f>
        <v>403.88</v>
      </c>
      <c r="D59" s="95">
        <f>'DOE25'!G96</f>
        <v>0</v>
      </c>
      <c r="E59" s="95">
        <f>'DOE25'!H96</f>
        <v>0</v>
      </c>
      <c r="F59" s="95">
        <f>'DOE25'!I96</f>
        <v>0</v>
      </c>
      <c r="G59" s="95">
        <f>'DOE25'!J96</f>
        <v>14096.82</v>
      </c>
      <c r="H59"/>
      <c r="I59"/>
    </row>
    <row r="60" spans="1:9" x14ac:dyDescent="0.2">
      <c r="A60" s="1" t="s">
        <v>170</v>
      </c>
      <c r="B60" s="118" t="s">
        <v>171</v>
      </c>
      <c r="C60" s="24" t="s">
        <v>288</v>
      </c>
      <c r="D60" s="95">
        <f>'DOE25'!G97</f>
        <v>424722.44</v>
      </c>
      <c r="E60" s="24" t="s">
        <v>288</v>
      </c>
      <c r="F60" s="24" t="s">
        <v>288</v>
      </c>
      <c r="G60" s="24" t="s">
        <v>288</v>
      </c>
      <c r="H60"/>
      <c r="I60"/>
    </row>
    <row r="61" spans="1:9" ht="12" thickBot="1" x14ac:dyDescent="0.25">
      <c r="A61" s="1" t="s">
        <v>172</v>
      </c>
      <c r="B61" s="118" t="s">
        <v>173</v>
      </c>
      <c r="C61" s="95">
        <f>SUM('DOE25'!F98:F110)</f>
        <v>233114.84</v>
      </c>
      <c r="D61" s="95">
        <f>SUM('DOE25'!G98:G110)</f>
        <v>111.53</v>
      </c>
      <c r="E61" s="95">
        <f>SUM('DOE25'!H98:H110)</f>
        <v>5767.17</v>
      </c>
      <c r="F61" s="95">
        <f>SUM('DOE25'!I98:I110)</f>
        <v>0</v>
      </c>
      <c r="G61" s="95">
        <f>SUM('DOE25'!J98:J110)</f>
        <v>0</v>
      </c>
      <c r="H61"/>
      <c r="I61"/>
    </row>
    <row r="62" spans="1:9" ht="12.75" thickTop="1" thickBot="1" x14ac:dyDescent="0.25">
      <c r="A62" s="29" t="s">
        <v>174</v>
      </c>
      <c r="B62" s="6"/>
      <c r="C62" s="130">
        <f>SUM(C57:C61)</f>
        <v>270060.27999999997</v>
      </c>
      <c r="D62" s="130">
        <f>SUM(D57:D61)</f>
        <v>424833.97000000003</v>
      </c>
      <c r="E62" s="130">
        <f>SUM(E57:E61)</f>
        <v>5767.17</v>
      </c>
      <c r="F62" s="130">
        <f>SUM(F57:F61)</f>
        <v>0</v>
      </c>
      <c r="G62" s="130">
        <f>SUM(G57:G61)</f>
        <v>14096.82</v>
      </c>
      <c r="H62"/>
      <c r="I62"/>
    </row>
    <row r="63" spans="1:9" ht="12" thickTop="1" x14ac:dyDescent="0.2">
      <c r="A63" s="29" t="s">
        <v>175</v>
      </c>
      <c r="B63" s="6"/>
      <c r="C63" s="22">
        <f>C56+C62</f>
        <v>22859992.280000001</v>
      </c>
      <c r="D63" s="22">
        <f>D56+D62</f>
        <v>424833.97000000003</v>
      </c>
      <c r="E63" s="22">
        <f>E56+E62</f>
        <v>5767.17</v>
      </c>
      <c r="F63" s="22">
        <f>F56+F62</f>
        <v>0</v>
      </c>
      <c r="G63" s="22">
        <f>G56+G62</f>
        <v>14096.82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3847268.56</v>
      </c>
      <c r="D66" s="24" t="s">
        <v>288</v>
      </c>
      <c r="E66" s="24" t="s">
        <v>288</v>
      </c>
      <c r="F66" s="24" t="s">
        <v>288</v>
      </c>
      <c r="G66" s="24" t="s">
        <v>288</v>
      </c>
      <c r="H66"/>
      <c r="I66"/>
    </row>
    <row r="67" spans="1:9" x14ac:dyDescent="0.2">
      <c r="A67" s="1" t="s">
        <v>770</v>
      </c>
      <c r="B67" s="6">
        <v>3112</v>
      </c>
      <c r="C67" s="95">
        <f>'DOE25'!F118</f>
        <v>4092119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3031.35</v>
      </c>
      <c r="D69" s="95">
        <f>'DOE25'!G120</f>
        <v>0</v>
      </c>
      <c r="E69" s="95">
        <f>'DOE25'!H120</f>
        <v>0</v>
      </c>
      <c r="F69" s="95">
        <f>'DOE25'!I120</f>
        <v>0</v>
      </c>
      <c r="G69" s="95">
        <f>'DOE25'!J120</f>
        <v>0</v>
      </c>
      <c r="H69"/>
      <c r="I69"/>
    </row>
    <row r="70" spans="1:9" ht="12" thickTop="1" x14ac:dyDescent="0.2">
      <c r="A70" s="29" t="s">
        <v>252</v>
      </c>
      <c r="B70" s="2"/>
      <c r="C70" s="139">
        <f>SUM(C66:C69)</f>
        <v>7942418.9100000001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330172.46000000002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224323.66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131664</v>
      </c>
      <c r="D77" s="95">
        <f>SUM('DOE25'!G131:G135)</f>
        <v>7940.09</v>
      </c>
      <c r="E77" s="95">
        <f>SUM('DOE25'!H131:H135)</f>
        <v>84095.75</v>
      </c>
      <c r="F77" s="95">
        <f>SUM('DOE25'!I131:I135)</f>
        <v>0</v>
      </c>
      <c r="G77" s="95">
        <f>SUM('DOE25'!J131:J135)</f>
        <v>0</v>
      </c>
      <c r="H77"/>
      <c r="I77"/>
    </row>
    <row r="78" spans="1:9" ht="12.75" thickTop="1" thickBot="1" x14ac:dyDescent="0.25">
      <c r="A78" s="29" t="s">
        <v>259</v>
      </c>
      <c r="B78" s="6"/>
      <c r="C78" s="130">
        <f>SUM(C72:C77)</f>
        <v>686160.12</v>
      </c>
      <c r="D78" s="130">
        <f>SUM(D72:D77)</f>
        <v>7940.09</v>
      </c>
      <c r="E78" s="130">
        <f>SUM(E72:E77)</f>
        <v>84095.75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8628579.0299999993</v>
      </c>
      <c r="D81" s="130">
        <f>SUM(D79:D80)+D78+D70</f>
        <v>7940.09</v>
      </c>
      <c r="E81" s="130">
        <f>SUM(E79:E80)+E78+E70</f>
        <v>84095.75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225661.97</v>
      </c>
      <c r="D88" s="95">
        <f>SUM('DOE25'!G153:G161)</f>
        <v>199097.83</v>
      </c>
      <c r="E88" s="95">
        <f>SUM('DOE25'!H153:H161)</f>
        <v>652984.55000000005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225661.97</v>
      </c>
      <c r="D91" s="131">
        <f>SUM(D85:D90)</f>
        <v>199097.83</v>
      </c>
      <c r="E91" s="131">
        <f>SUM(E85:E90)</f>
        <v>652984.55000000005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31714233.280000001</v>
      </c>
      <c r="D104" s="86">
        <f>D63+D81+D91+D103</f>
        <v>631871.89</v>
      </c>
      <c r="E104" s="86">
        <f>E63+E81+E91+E103</f>
        <v>742847.47000000009</v>
      </c>
      <c r="F104" s="86">
        <f>F63+F81+F91+F103</f>
        <v>0</v>
      </c>
      <c r="G104" s="86">
        <f>G63+G81+G103</f>
        <v>14096.82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14958613.670000002</v>
      </c>
      <c r="D109" s="24" t="s">
        <v>288</v>
      </c>
      <c r="E109" s="95">
        <f>('DOE25'!L276)+('DOE25'!L295)+('DOE25'!L314)</f>
        <v>145603.38</v>
      </c>
      <c r="F109" s="24" t="s">
        <v>288</v>
      </c>
      <c r="G109" s="24" t="s">
        <v>288</v>
      </c>
    </row>
    <row r="110" spans="1:7" x14ac:dyDescent="0.2">
      <c r="A110" t="s">
        <v>198</v>
      </c>
      <c r="B110" s="32" t="s">
        <v>199</v>
      </c>
      <c r="C110" s="95">
        <f>('DOE25'!L198)+('DOE25'!L216)+('DOE25'!L234)</f>
        <v>6441264.4500000002</v>
      </c>
      <c r="D110" s="24" t="s">
        <v>288</v>
      </c>
      <c r="E110" s="95">
        <f>('DOE25'!L277)+('DOE25'!L296)+('DOE25'!L315)</f>
        <v>358095.56000000006</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123502.68999999999</v>
      </c>
      <c r="D112" s="24" t="s">
        <v>288</v>
      </c>
      <c r="E112" s="95">
        <f>+('DOE25'!L279)+('DOE25'!L298)+('DOE25'!L317)</f>
        <v>2263.0500000000002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21523380.810000002</v>
      </c>
      <c r="D115" s="86">
        <f>SUM(D109:D114)</f>
        <v>0</v>
      </c>
      <c r="E115" s="86">
        <f>SUM(E109:E114)</f>
        <v>505961.99000000005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2184213.62</v>
      </c>
      <c r="D118" s="24" t="s">
        <v>288</v>
      </c>
      <c r="E118" s="95">
        <f>+('DOE25'!L281)+('DOE25'!L300)+('DOE25'!L319)</f>
        <v>85139.66</v>
      </c>
      <c r="F118" s="24" t="s">
        <v>288</v>
      </c>
      <c r="G118" s="24" t="s">
        <v>288</v>
      </c>
    </row>
    <row r="119" spans="1:7" x14ac:dyDescent="0.2">
      <c r="A119" t="s">
        <v>208</v>
      </c>
      <c r="B119" s="32" t="s">
        <v>209</v>
      </c>
      <c r="C119" s="95">
        <f>('DOE25'!L203)+('DOE25'!L221)+('DOE25'!L239)</f>
        <v>532983.67000000004</v>
      </c>
      <c r="D119" s="24" t="s">
        <v>288</v>
      </c>
      <c r="E119" s="95">
        <f>+('DOE25'!L282)+('DOE25'!L301)+('DOE25'!L320)</f>
        <v>61853.520000000004</v>
      </c>
      <c r="F119" s="24" t="s">
        <v>288</v>
      </c>
      <c r="G119" s="24" t="s">
        <v>288</v>
      </c>
    </row>
    <row r="120" spans="1:7" x14ac:dyDescent="0.2">
      <c r="A120" t="s">
        <v>210</v>
      </c>
      <c r="B120" s="32" t="s">
        <v>211</v>
      </c>
      <c r="C120" s="95">
        <f>('DOE25'!L204)+('DOE25'!L222)+('DOE25'!L240)</f>
        <v>774292.81</v>
      </c>
      <c r="D120" s="24" t="s">
        <v>288</v>
      </c>
      <c r="E120" s="95">
        <f>+('DOE25'!L283)+('DOE25'!L302)+('DOE25'!L321)</f>
        <v>0</v>
      </c>
      <c r="F120" s="24" t="s">
        <v>288</v>
      </c>
      <c r="G120" s="24" t="s">
        <v>288</v>
      </c>
    </row>
    <row r="121" spans="1:7" x14ac:dyDescent="0.2">
      <c r="A121" t="s">
        <v>212</v>
      </c>
      <c r="B121" s="32" t="s">
        <v>213</v>
      </c>
      <c r="C121" s="95">
        <f>('DOE25'!L205)+('DOE25'!L223)+('DOE25'!L241)</f>
        <v>1219305.21</v>
      </c>
      <c r="D121" s="24" t="s">
        <v>288</v>
      </c>
      <c r="E121" s="95">
        <f>+('DOE25'!L284)+('DOE25'!L303)+('DOE25'!L322)</f>
        <v>12146.95</v>
      </c>
      <c r="F121" s="24" t="s">
        <v>288</v>
      </c>
      <c r="G121" s="24" t="s">
        <v>288</v>
      </c>
    </row>
    <row r="122" spans="1:7" x14ac:dyDescent="0.2">
      <c r="A122" t="s">
        <v>214</v>
      </c>
      <c r="B122" s="32" t="s">
        <v>215</v>
      </c>
      <c r="C122" s="95">
        <f>('DOE25'!L206)+('DOE25'!L224)+('DOE25'!L242)</f>
        <v>0</v>
      </c>
      <c r="D122" s="24" t="s">
        <v>288</v>
      </c>
      <c r="E122" s="95">
        <f>+('DOE25'!L285)+('DOE25'!L304)+('DOE25'!L323)</f>
        <v>2792.1000000000004</v>
      </c>
      <c r="F122" s="24" t="s">
        <v>288</v>
      </c>
      <c r="G122" s="24" t="s">
        <v>288</v>
      </c>
    </row>
    <row r="123" spans="1:7" x14ac:dyDescent="0.2">
      <c r="A123" t="s">
        <v>216</v>
      </c>
      <c r="B123" s="32" t="s">
        <v>217</v>
      </c>
      <c r="C123" s="95">
        <f>('DOE25'!L207)+('DOE25'!L225)+('DOE25'!L243)</f>
        <v>2187893.19</v>
      </c>
      <c r="D123" s="24" t="s">
        <v>288</v>
      </c>
      <c r="E123" s="95">
        <f>+('DOE25'!L286)+('DOE25'!L305)+('DOE25'!L324)</f>
        <v>73448.800000000003</v>
      </c>
      <c r="F123" s="24" t="s">
        <v>288</v>
      </c>
      <c r="G123" s="24" t="s">
        <v>288</v>
      </c>
    </row>
    <row r="124" spans="1:7" x14ac:dyDescent="0.2">
      <c r="A124" t="s">
        <v>218</v>
      </c>
      <c r="B124" s="32" t="s">
        <v>219</v>
      </c>
      <c r="C124" s="95">
        <f>('DOE25'!L208)+('DOE25'!L226)+('DOE25'!L244+'DOE25'!L254)</f>
        <v>1601464.94</v>
      </c>
      <c r="D124" s="24" t="s">
        <v>288</v>
      </c>
      <c r="E124" s="95">
        <f>+('DOE25'!L287)+('DOE25'!L306)+('DOE25'!L325)</f>
        <v>630.08000000000004</v>
      </c>
      <c r="F124" s="24" t="s">
        <v>288</v>
      </c>
      <c r="G124" s="24" t="s">
        <v>288</v>
      </c>
    </row>
    <row r="125" spans="1:7" x14ac:dyDescent="0.2">
      <c r="A125" t="s">
        <v>220</v>
      </c>
      <c r="B125" s="32" t="s">
        <v>221</v>
      </c>
      <c r="C125" s="95">
        <f>('DOE25'!L209)+('DOE25'!L227)+('DOE25'!L245)</f>
        <v>395897.49</v>
      </c>
      <c r="D125" s="24" t="s">
        <v>288</v>
      </c>
      <c r="E125" s="95">
        <f>+('DOE25'!L288)+('DOE25'!L307)+('DOE25'!L326)</f>
        <v>874.37</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617983.31999999995</v>
      </c>
      <c r="E127" s="24" t="s">
        <v>288</v>
      </c>
      <c r="F127" s="24" t="s">
        <v>288</v>
      </c>
      <c r="G127" s="24" t="s">
        <v>288</v>
      </c>
    </row>
    <row r="128" spans="1:7" ht="12.75" thickTop="1" thickBot="1" x14ac:dyDescent="0.25">
      <c r="A128" s="33" t="s">
        <v>226</v>
      </c>
      <c r="C128" s="86">
        <f>SUM(C118:C127)</f>
        <v>8896050.9299999997</v>
      </c>
      <c r="D128" s="86">
        <f>SUM(D118:D127)</f>
        <v>617983.31999999995</v>
      </c>
      <c r="E128" s="86">
        <f>SUM(E118:E127)</f>
        <v>236885.48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327597</v>
      </c>
      <c r="D130" s="24" t="s">
        <v>288</v>
      </c>
      <c r="E130" s="129">
        <f>'DOE25'!L336</f>
        <v>0</v>
      </c>
      <c r="F130" s="129">
        <f>SUM('DOE25'!L374:'DOE25'!L380)</f>
        <v>0</v>
      </c>
      <c r="G130" s="24" t="s">
        <v>288</v>
      </c>
    </row>
    <row r="131" spans="1:7" x14ac:dyDescent="0.2">
      <c r="A131" t="s">
        <v>229</v>
      </c>
      <c r="B131" s="32">
        <v>5110</v>
      </c>
      <c r="C131" s="95">
        <f>'DOE25'!L260</f>
        <v>1035000</v>
      </c>
      <c r="D131" s="24" t="s">
        <v>288</v>
      </c>
      <c r="E131" s="129">
        <f>'DOE25'!L341</f>
        <v>0</v>
      </c>
      <c r="F131" s="24" t="s">
        <v>288</v>
      </c>
      <c r="G131" s="24" t="s">
        <v>288</v>
      </c>
    </row>
    <row r="132" spans="1:7" x14ac:dyDescent="0.2">
      <c r="A132" t="s">
        <v>230</v>
      </c>
      <c r="B132" s="32">
        <v>5120</v>
      </c>
      <c r="C132" s="95">
        <f>'DOE25'!L261</f>
        <v>231875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7775.55</v>
      </c>
      <c r="D138" s="24" t="s">
        <v>288</v>
      </c>
      <c r="E138" s="24" t="s">
        <v>288</v>
      </c>
      <c r="F138" s="24" t="s">
        <v>288</v>
      </c>
      <c r="G138" s="24" t="s">
        <v>288</v>
      </c>
    </row>
    <row r="139" spans="1:7" x14ac:dyDescent="0.2">
      <c r="A139" t="s">
        <v>239</v>
      </c>
      <c r="B139" s="32">
        <v>5252</v>
      </c>
      <c r="C139" s="95">
        <f>'DOE25'!L401</f>
        <v>6321.27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-14096.82</v>
      </c>
      <c r="D141" s="24" t="s">
        <v>288</v>
      </c>
      <c r="E141" s="24" t="s">
        <v>288</v>
      </c>
      <c r="F141" s="24" t="s">
        <v>288</v>
      </c>
      <c r="G141" s="24" t="s">
        <v>288</v>
      </c>
    </row>
    <row r="142" spans="1:7" x14ac:dyDescent="0.2">
      <c r="A142" t="s">
        <v>241</v>
      </c>
      <c r="B142" s="32">
        <v>5310</v>
      </c>
      <c r="C142" s="129">
        <f>'DOE25'!L268</f>
        <v>22922.1</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1617394.1</v>
      </c>
      <c r="D144" s="141">
        <f>SUM(D130:D143)</f>
        <v>0</v>
      </c>
      <c r="E144" s="141">
        <f>SUM(E130:E143)</f>
        <v>0</v>
      </c>
      <c r="F144" s="141">
        <f>SUM(F130:F143)</f>
        <v>0</v>
      </c>
      <c r="G144" s="141">
        <f>SUM(G130:G143)</f>
        <v>0</v>
      </c>
    </row>
    <row r="145" spans="1:9" ht="12.75" thickTop="1" thickBot="1" x14ac:dyDescent="0.25">
      <c r="A145" s="33" t="s">
        <v>244</v>
      </c>
      <c r="C145" s="86">
        <f>(C115+C128+C144)</f>
        <v>32036825.840000004</v>
      </c>
      <c r="D145" s="86">
        <f>(D115+D128+D144)</f>
        <v>617983.31999999995</v>
      </c>
      <c r="E145" s="86">
        <f>(E115+E128+E144)</f>
        <v>742847.47000000009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05/02</v>
      </c>
      <c r="C152" s="152">
        <f>'DOE25'!G491</f>
        <v>0</v>
      </c>
      <c r="D152" s="152">
        <f>'DOE25'!H491</f>
        <v>0</v>
      </c>
      <c r="E152" s="152">
        <f>'DOE25'!I491</f>
        <v>0</v>
      </c>
      <c r="F152" s="152">
        <f>'DOE25'!J491</f>
        <v>0</v>
      </c>
      <c r="G152" s="24" t="s">
        <v>288</v>
      </c>
    </row>
    <row r="153" spans="1:9" x14ac:dyDescent="0.2">
      <c r="A153" s="136" t="s">
        <v>29</v>
      </c>
      <c r="B153" s="152" t="str">
        <f>'DOE25'!F492</f>
        <v>07/22</v>
      </c>
      <c r="C153" s="152">
        <f>'DOE25'!G492</f>
        <v>0</v>
      </c>
      <c r="D153" s="152">
        <f>'DOE25'!H492</f>
        <v>0</v>
      </c>
      <c r="E153" s="152">
        <f>'DOE25'!I492</f>
        <v>0</v>
      </c>
      <c r="F153" s="152">
        <f>'DOE25'!J492</f>
        <v>0</v>
      </c>
      <c r="G153" s="24" t="s">
        <v>288</v>
      </c>
    </row>
    <row r="154" spans="1:9" x14ac:dyDescent="0.2">
      <c r="A154" s="136" t="s">
        <v>30</v>
      </c>
      <c r="B154" s="137">
        <f>'DOE25'!F493</f>
        <v>30732213.059999999</v>
      </c>
      <c r="C154" s="137">
        <f>'DOE25'!G493</f>
        <v>0</v>
      </c>
      <c r="D154" s="137">
        <f>'DOE25'!H493</f>
        <v>0</v>
      </c>
      <c r="E154" s="137">
        <f>'DOE25'!I493</f>
        <v>0</v>
      </c>
      <c r="F154" s="137">
        <f>'DOE25'!J493</f>
        <v>0</v>
      </c>
      <c r="G154" s="24" t="s">
        <v>288</v>
      </c>
    </row>
    <row r="155" spans="1:9" x14ac:dyDescent="0.2">
      <c r="A155" s="136" t="s">
        <v>31</v>
      </c>
      <c r="B155" s="137">
        <f>'DOE25'!F494</f>
        <v>4.51</v>
      </c>
      <c r="C155" s="137">
        <f>'DOE25'!G494</f>
        <v>0</v>
      </c>
      <c r="D155" s="137">
        <f>'DOE25'!H494</f>
        <v>0</v>
      </c>
      <c r="E155" s="137">
        <f>'DOE25'!I494</f>
        <v>0</v>
      </c>
      <c r="F155" s="137">
        <f>'DOE25'!J494</f>
        <v>0</v>
      </c>
      <c r="G155" s="24" t="s">
        <v>288</v>
      </c>
    </row>
    <row r="156" spans="1:9" x14ac:dyDescent="0.2">
      <c r="A156" s="22" t="s">
        <v>32</v>
      </c>
      <c r="B156" s="137">
        <f>'DOE25'!F495</f>
        <v>5155000</v>
      </c>
      <c r="C156" s="137">
        <f>'DOE25'!G495</f>
        <v>0</v>
      </c>
      <c r="D156" s="137">
        <f>'DOE25'!H495</f>
        <v>0</v>
      </c>
      <c r="E156" s="137">
        <f>'DOE25'!I495</f>
        <v>0</v>
      </c>
      <c r="F156" s="137">
        <f>'DOE25'!J495</f>
        <v>0</v>
      </c>
      <c r="G156" s="138">
        <f>SUM(B156:F156)</f>
        <v>5155000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1266875</v>
      </c>
      <c r="C158" s="137">
        <f>'DOE25'!G497</f>
        <v>0</v>
      </c>
      <c r="D158" s="137">
        <f>'DOE25'!H497</f>
        <v>0</v>
      </c>
      <c r="E158" s="137">
        <f>'DOE25'!I497</f>
        <v>0</v>
      </c>
      <c r="F158" s="137">
        <f>'DOE25'!J497</f>
        <v>0</v>
      </c>
      <c r="G158" s="138">
        <f t="shared" si="0"/>
        <v>1266875</v>
      </c>
    </row>
    <row r="159" spans="1:9" x14ac:dyDescent="0.2">
      <c r="A159" s="22" t="s">
        <v>35</v>
      </c>
      <c r="B159" s="137">
        <f>'DOE25'!F498</f>
        <v>4120000</v>
      </c>
      <c r="C159" s="137">
        <f>'DOE25'!G498</f>
        <v>0</v>
      </c>
      <c r="D159" s="137">
        <f>'DOE25'!H498</f>
        <v>0</v>
      </c>
      <c r="E159" s="137">
        <f>'DOE25'!I498</f>
        <v>0</v>
      </c>
      <c r="F159" s="137">
        <f>'DOE25'!J498</f>
        <v>0</v>
      </c>
      <c r="G159" s="138">
        <f t="shared" si="0"/>
        <v>4120000</v>
      </c>
    </row>
    <row r="160" spans="1:9" x14ac:dyDescent="0.2">
      <c r="A160" s="22" t="s">
        <v>36</v>
      </c>
      <c r="B160" s="137">
        <f>'DOE25'!F499</f>
        <v>412000</v>
      </c>
      <c r="C160" s="137">
        <f>'DOE25'!G499</f>
        <v>0</v>
      </c>
      <c r="D160" s="137">
        <f>'DOE25'!H499</f>
        <v>0</v>
      </c>
      <c r="E160" s="137">
        <f>'DOE25'!I499</f>
        <v>0</v>
      </c>
      <c r="F160" s="137">
        <f>'DOE25'!J499</f>
        <v>0</v>
      </c>
      <c r="G160" s="138">
        <f t="shared" si="0"/>
        <v>412000</v>
      </c>
    </row>
    <row r="161" spans="1:7" x14ac:dyDescent="0.2">
      <c r="A161" s="22" t="s">
        <v>37</v>
      </c>
      <c r="B161" s="137">
        <f>'DOE25'!F500</f>
        <v>4532000</v>
      </c>
      <c r="C161" s="137">
        <f>'DOE25'!G500</f>
        <v>0</v>
      </c>
      <c r="D161" s="137">
        <f>'DOE25'!H500</f>
        <v>0</v>
      </c>
      <c r="E161" s="137">
        <f>'DOE25'!I500</f>
        <v>0</v>
      </c>
      <c r="F161" s="137">
        <f>'DOE25'!J500</f>
        <v>0</v>
      </c>
      <c r="G161" s="138">
        <f t="shared" si="0"/>
        <v>4532000</v>
      </c>
    </row>
    <row r="162" spans="1:7" x14ac:dyDescent="0.2">
      <c r="A162" s="22" t="s">
        <v>38</v>
      </c>
      <c r="B162" s="137">
        <f>'DOE25'!F501</f>
        <v>1030000</v>
      </c>
      <c r="C162" s="137">
        <f>'DOE25'!G501</f>
        <v>0</v>
      </c>
      <c r="D162" s="137">
        <f>'DOE25'!H501</f>
        <v>0</v>
      </c>
      <c r="E162" s="137">
        <f>'DOE25'!I501</f>
        <v>0</v>
      </c>
      <c r="F162" s="137">
        <f>'DOE25'!J501</f>
        <v>0</v>
      </c>
      <c r="G162" s="138">
        <f t="shared" si="0"/>
        <v>1030000</v>
      </c>
    </row>
    <row r="163" spans="1:7" x14ac:dyDescent="0.2">
      <c r="A163" s="22" t="s">
        <v>39</v>
      </c>
      <c r="B163" s="137">
        <f>'DOE25'!F502</f>
        <v>180250</v>
      </c>
      <c r="C163" s="137">
        <f>'DOE25'!G502</f>
        <v>0</v>
      </c>
      <c r="D163" s="137">
        <f>'DOE25'!H502</f>
        <v>0</v>
      </c>
      <c r="E163" s="137">
        <f>'DOE25'!I502</f>
        <v>0</v>
      </c>
      <c r="F163" s="137">
        <f>'DOE25'!J502</f>
        <v>0</v>
      </c>
      <c r="G163" s="138">
        <f t="shared" si="0"/>
        <v>180250</v>
      </c>
    </row>
    <row r="164" spans="1:7" x14ac:dyDescent="0.2">
      <c r="A164" s="22" t="s">
        <v>246</v>
      </c>
      <c r="B164" s="137">
        <f>'DOE25'!F503</f>
        <v>1210250</v>
      </c>
      <c r="C164" s="137">
        <f>'DOE25'!G503</f>
        <v>0</v>
      </c>
      <c r="D164" s="137">
        <f>'DOE25'!H503</f>
        <v>0</v>
      </c>
      <c r="E164" s="137">
        <f>'DOE25'!I503</f>
        <v>0</v>
      </c>
      <c r="F164" s="137">
        <f>'DOE25'!J503</f>
        <v>0</v>
      </c>
      <c r="G164" s="138">
        <f t="shared" si="0"/>
        <v>1210250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P40" sqref="P40"/>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Hooksett School District</v>
      </c>
    </row>
    <row r="3" spans="1:4" x14ac:dyDescent="0.2">
      <c r="B3" s="188" t="s">
        <v>1602</v>
      </c>
    </row>
    <row r="4" spans="1:4" x14ac:dyDescent="0.2">
      <c r="B4" t="s">
        <v>61</v>
      </c>
      <c r="C4" s="179">
        <f>IF('DOE25'!F665+'DOE25'!F670=0,0,ROUND('DOE25'!F672,0))</f>
        <v>15749</v>
      </c>
    </row>
    <row r="5" spans="1:4" x14ac:dyDescent="0.2">
      <c r="B5" t="s">
        <v>700</v>
      </c>
      <c r="C5" s="179">
        <f>IF('DOE25'!G665+'DOE25'!G670=0,0,ROUND('DOE25'!G672,0))</f>
        <v>15104</v>
      </c>
    </row>
    <row r="6" spans="1:4" x14ac:dyDescent="0.2">
      <c r="B6" t="s">
        <v>62</v>
      </c>
      <c r="C6" s="179">
        <f>IF('DOE25'!H665+'DOE25'!H670=0,0,ROUND('DOE25'!H672,0))</f>
        <v>0</v>
      </c>
    </row>
    <row r="7" spans="1:4" x14ac:dyDescent="0.2">
      <c r="B7" t="s">
        <v>701</v>
      </c>
      <c r="C7" s="179">
        <f>IF('DOE25'!I665+'DOE25'!I670=0,0,ROUND('DOE25'!I672,0))</f>
        <v>15493</v>
      </c>
    </row>
    <row r="9" spans="1:4" x14ac:dyDescent="0.2">
      <c r="A9" s="187" t="s">
        <v>94</v>
      </c>
      <c r="B9" s="188" t="s">
        <v>1603</v>
      </c>
      <c r="C9" s="181" t="s">
        <v>720</v>
      </c>
      <c r="D9" s="181" t="s">
        <v>721</v>
      </c>
    </row>
    <row r="10" spans="1:4" x14ac:dyDescent="0.2">
      <c r="A10">
        <v>1100</v>
      </c>
      <c r="B10" t="s">
        <v>702</v>
      </c>
      <c r="C10" s="179">
        <f>ROUND('DOE25'!L197+'DOE25'!L215+'DOE25'!L233+'DOE25'!L276+'DOE25'!L295+'DOE25'!L314,0)</f>
        <v>15104217</v>
      </c>
      <c r="D10" s="182">
        <f>ROUND((C10/$C$28)*100,1)</f>
        <v>47.8</v>
      </c>
    </row>
    <row r="11" spans="1:4" x14ac:dyDescent="0.2">
      <c r="A11">
        <v>1200</v>
      </c>
      <c r="B11" t="s">
        <v>703</v>
      </c>
      <c r="C11" s="179">
        <f>ROUND('DOE25'!L198+'DOE25'!L216+'DOE25'!L234+'DOE25'!L277+'DOE25'!L296+'DOE25'!L315,0)</f>
        <v>6799360</v>
      </c>
      <c r="D11" s="182">
        <f>ROUND((C11/$C$28)*100,1)</f>
        <v>21.5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125766</v>
      </c>
      <c r="D13" s="182">
        <f>ROUND((C13/$C$28)*100,1)</f>
        <v>0.4</v>
      </c>
    </row>
    <row r="14" spans="1:4" x14ac:dyDescent="0.2">
      <c r="D14" s="182"/>
    </row>
    <row r="15" spans="1:4" x14ac:dyDescent="0.2">
      <c r="A15">
        <v>2100</v>
      </c>
      <c r="B15" t="s">
        <v>706</v>
      </c>
      <c r="C15" s="179">
        <f>ROUND('DOE25'!L202+'DOE25'!L220+'DOE25'!L238+'DOE25'!L281+'DOE25'!L300+'DOE25'!L319,0)</f>
        <v>2269353</v>
      </c>
      <c r="D15" s="182">
        <f t="shared" ref="D15:D27" si="0">ROUND((C15/$C$28)*100,1)</f>
        <v>7.2</v>
      </c>
    </row>
    <row r="16" spans="1:4" x14ac:dyDescent="0.2">
      <c r="A16">
        <v>2200</v>
      </c>
      <c r="B16" t="s">
        <v>707</v>
      </c>
      <c r="C16" s="179">
        <f>ROUND('DOE25'!L203+'DOE25'!L221+'DOE25'!L239+'DOE25'!L282+'DOE25'!L301+'DOE25'!L320,0)</f>
        <v>594837</v>
      </c>
      <c r="D16" s="182">
        <f t="shared" si="0"/>
        <v>1.9</v>
      </c>
    </row>
    <row r="17" spans="1:4" x14ac:dyDescent="0.2">
      <c r="A17" s="183" t="s">
        <v>723</v>
      </c>
      <c r="B17" t="s">
        <v>738</v>
      </c>
      <c r="C17" s="179">
        <f>ROUND('DOE25'!L204+'DOE25'!L209+'DOE25'!L222+'DOE25'!L227+'DOE25'!L240+'DOE25'!L245+'DOE25'!L283+'DOE25'!L288+'DOE25'!L302+'DOE25'!L307+'DOE25'!L321+'DOE25'!L326,0)</f>
        <v>1171065</v>
      </c>
      <c r="D17" s="182">
        <f t="shared" si="0"/>
        <v>3.7</v>
      </c>
    </row>
    <row r="18" spans="1:4" x14ac:dyDescent="0.2">
      <c r="A18">
        <v>2400</v>
      </c>
      <c r="B18" t="s">
        <v>711</v>
      </c>
      <c r="C18" s="179">
        <f>ROUND('DOE25'!L205+'DOE25'!L223+'DOE25'!L241+'DOE25'!L284+'DOE25'!L303+'DOE25'!L322,0)</f>
        <v>1231452</v>
      </c>
      <c r="D18" s="182">
        <f t="shared" si="0"/>
        <v>3.9</v>
      </c>
    </row>
    <row r="19" spans="1:4" x14ac:dyDescent="0.2">
      <c r="A19">
        <v>2500</v>
      </c>
      <c r="B19" t="s">
        <v>708</v>
      </c>
      <c r="C19" s="179">
        <f>ROUND('DOE25'!L206+'DOE25'!L224+'DOE25'!L242+'DOE25'!L285+'DOE25'!L304+'DOE25'!L323,0)</f>
        <v>2792</v>
      </c>
      <c r="D19" s="182">
        <f t="shared" si="0"/>
        <v>0</v>
      </c>
    </row>
    <row r="20" spans="1:4" x14ac:dyDescent="0.2">
      <c r="A20">
        <v>2600</v>
      </c>
      <c r="B20" t="s">
        <v>709</v>
      </c>
      <c r="C20" s="179">
        <f>ROUND('DOE25'!L207+'DOE25'!L225+'DOE25'!L243+'DOE25'!L286+'DOE25'!L305+'DOE25'!L324,0)</f>
        <v>2261342</v>
      </c>
      <c r="D20" s="182">
        <f t="shared" si="0"/>
        <v>7.2</v>
      </c>
    </row>
    <row r="21" spans="1:4" x14ac:dyDescent="0.2">
      <c r="A21">
        <v>2700</v>
      </c>
      <c r="B21" t="s">
        <v>710</v>
      </c>
      <c r="C21" s="179">
        <f>ROUND('DOE25'!L208+'DOE25'!L226+'DOE25'!L244+'DOE25'!L287+'DOE25'!L306+'DOE25'!L325,0)</f>
        <v>1602095</v>
      </c>
      <c r="D21" s="182">
        <f t="shared" si="0"/>
        <v>5.0999999999999996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231875</v>
      </c>
      <c r="D25" s="182">
        <f t="shared" si="0"/>
        <v>0.7</v>
      </c>
    </row>
    <row r="26" spans="1:4" x14ac:dyDescent="0.2">
      <c r="A26" s="183" t="s">
        <v>717</v>
      </c>
      <c r="B26" t="s">
        <v>718</v>
      </c>
      <c r="C26" s="179">
        <f>'DOE25'!L268+'DOE25'!L269+'DOE25'!L349+'DOE25'!L350</f>
        <v>22922.1</v>
      </c>
      <c r="D26" s="182">
        <f t="shared" si="0"/>
        <v>0.1</v>
      </c>
    </row>
    <row r="27" spans="1:4" x14ac:dyDescent="0.2">
      <c r="A27">
        <v>3100</v>
      </c>
      <c r="B27" t="s">
        <v>11</v>
      </c>
      <c r="C27" s="179">
        <f>ROUND('DOE25'!L362-'DOE25'!L361,0)-SUM('DOE25'!G97:G110)</f>
        <v>193149.03000000003</v>
      </c>
      <c r="D27" s="182">
        <f t="shared" si="0"/>
        <v>0.6</v>
      </c>
    </row>
    <row r="28" spans="1:4" x14ac:dyDescent="0.2">
      <c r="B28" s="187" t="s">
        <v>719</v>
      </c>
      <c r="C28" s="180">
        <f>SUM(C10:C27)</f>
        <v>31610225.130000003</v>
      </c>
      <c r="D28" s="184">
        <f>ROUND(SUM(D10:D27),0)</f>
        <v>100</v>
      </c>
    </row>
    <row r="29" spans="1:4" x14ac:dyDescent="0.2">
      <c r="A29">
        <v>4000</v>
      </c>
      <c r="B29" t="s">
        <v>724</v>
      </c>
      <c r="C29" s="179">
        <f>ROUND('DOE25'!L255+'DOE25'!L336+'DOE25'!L374+'DOE25'!L375+'DOE25'!L376+'DOE25'!L377+'DOE25'!L378+'DOE25'!L379+'DOE25'!L380,0)</f>
        <v>327597</v>
      </c>
    </row>
    <row r="30" spans="1:4" x14ac:dyDescent="0.2">
      <c r="B30" s="187" t="s">
        <v>725</v>
      </c>
      <c r="C30" s="180">
        <f>SUM(C28:C29)</f>
        <v>31937822.130000003</v>
      </c>
    </row>
    <row r="31" spans="1:4" x14ac:dyDescent="0.2">
      <c r="B31" s="33"/>
      <c r="C31" s="180"/>
    </row>
    <row r="32" spans="1:4" x14ac:dyDescent="0.2">
      <c r="A32">
        <v>5100</v>
      </c>
      <c r="B32" s="33" t="s">
        <v>726</v>
      </c>
      <c r="C32" s="180">
        <f>ROUND('DOE25'!L260+'DOE25'!L341,0)</f>
        <v>1035000</v>
      </c>
    </row>
    <row r="34" spans="1:4" x14ac:dyDescent="0.2">
      <c r="A34" s="187" t="s">
        <v>94</v>
      </c>
      <c r="B34" s="188" t="s">
        <v>1604</v>
      </c>
      <c r="C34" s="181" t="s">
        <v>720</v>
      </c>
      <c r="D34" s="181" t="s">
        <v>721</v>
      </c>
    </row>
    <row r="35" spans="1:4" x14ac:dyDescent="0.2">
      <c r="A35">
        <v>1100</v>
      </c>
      <c r="B35" s="185" t="s">
        <v>727</v>
      </c>
      <c r="C35" s="179">
        <f>ROUND('DOE25'!F60+'DOE25'!G60+'DOE25'!H60+'DOE25'!I60+'DOE25'!J60,0)</f>
        <v>22589932</v>
      </c>
      <c r="D35" s="182">
        <f t="shared" ref="D35:D40" si="1">ROUND((C35/$C$41)*100,1)</f>
        <v>69.099999999999994</v>
      </c>
    </row>
    <row r="36" spans="1:4" x14ac:dyDescent="0.2">
      <c r="B36" s="185" t="s">
        <v>739</v>
      </c>
      <c r="C36" s="179">
        <f>SUM('DOE25'!F112:J112)-SUM('DOE25'!G97:G110)+('DOE25'!F174+'DOE25'!F175+'DOE25'!I174+'DOE25'!I175)-C35</f>
        <v>289924.26999999955</v>
      </c>
      <c r="D36" s="182">
        <f t="shared" si="1"/>
        <v>0.9</v>
      </c>
    </row>
    <row r="37" spans="1:4" x14ac:dyDescent="0.2">
      <c r="A37" s="183" t="s">
        <v>835</v>
      </c>
      <c r="B37" s="185" t="s">
        <v>728</v>
      </c>
      <c r="C37" s="179">
        <f>ROUND('DOE25'!F117+'DOE25'!F118,0)</f>
        <v>7939388</v>
      </c>
      <c r="D37" s="182">
        <f t="shared" si="1"/>
        <v>24.3</v>
      </c>
    </row>
    <row r="38" spans="1:4" x14ac:dyDescent="0.2">
      <c r="A38" s="183" t="s">
        <v>734</v>
      </c>
      <c r="B38" s="185" t="s">
        <v>729</v>
      </c>
      <c r="C38" s="179">
        <f>ROUND(SUM('DOE25'!F140:J140)-SUM('DOE25'!F117:F119),0)</f>
        <v>781227</v>
      </c>
      <c r="D38" s="182">
        <f t="shared" si="1"/>
        <v>2.4</v>
      </c>
    </row>
    <row r="39" spans="1:4" x14ac:dyDescent="0.2">
      <c r="A39">
        <v>4000</v>
      </c>
      <c r="B39" s="185" t="s">
        <v>730</v>
      </c>
      <c r="C39" s="179">
        <f>ROUND('DOE25'!F169+'DOE25'!G169+'DOE25'!H169+'DOE25'!I169,0)</f>
        <v>1077744</v>
      </c>
      <c r="D39" s="182">
        <f t="shared" si="1"/>
        <v>3.3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32678215.27</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Hooksett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2019-11-15T13:52:51Z</cp:lastPrinted>
  <dcterms:created xsi:type="dcterms:W3CDTF">1997-12-04T19:04:30Z</dcterms:created>
  <dcterms:modified xsi:type="dcterms:W3CDTF">2019-11-22T15:02:41Z</dcterms:modified>
</cp:coreProperties>
</file>