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19935" windowHeight="1182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I604" i="1" l="1"/>
  <c r="J604" i="1"/>
  <c r="H604" i="1"/>
  <c r="J603" i="1"/>
  <c r="I603" i="1"/>
  <c r="G611" i="1"/>
  <c r="H611" i="1"/>
  <c r="H613" i="1"/>
  <c r="G613" i="1"/>
  <c r="G612" i="1"/>
  <c r="F613" i="1"/>
  <c r="F612" i="1"/>
  <c r="F611" i="1"/>
  <c r="H612" i="1"/>
  <c r="G580" i="1"/>
  <c r="H580" i="1"/>
  <c r="F580" i="1"/>
  <c r="H522" i="1"/>
  <c r="H521" i="1"/>
  <c r="F15" i="13" l="1"/>
  <c r="F14" i="13"/>
  <c r="E37" i="14"/>
  <c r="D37" i="14" s="1"/>
  <c r="E25" i="14"/>
  <c r="D6" i="14"/>
  <c r="E6" i="14"/>
  <c r="D5" i="14"/>
  <c r="E5" i="14"/>
  <c r="D25" i="14"/>
  <c r="C19" i="12"/>
  <c r="B19" i="12"/>
  <c r="C11" i="12"/>
  <c r="B11" i="12"/>
  <c r="C10" i="12" l="1"/>
  <c r="B10" i="12"/>
  <c r="C20" i="12"/>
  <c r="B20" i="12"/>
  <c r="C37" i="12"/>
  <c r="B37" i="12"/>
  <c r="H282" i="1" l="1"/>
  <c r="H320" i="1"/>
  <c r="I320" i="1"/>
  <c r="I301" i="1"/>
  <c r="I282" i="1"/>
  <c r="I319" i="1"/>
  <c r="I300" i="1"/>
  <c r="I281" i="1"/>
  <c r="J277" i="1"/>
  <c r="I277" i="1"/>
  <c r="J276" i="1"/>
  <c r="G276" i="1"/>
  <c r="F276" i="1"/>
  <c r="H301" i="1"/>
  <c r="F110" i="1" l="1"/>
  <c r="I472" i="1"/>
  <c r="F209" i="1" l="1"/>
  <c r="F197" i="1"/>
  <c r="H209" i="1"/>
  <c r="H239" i="1"/>
  <c r="H203" i="1"/>
  <c r="H202" i="1"/>
  <c r="K236" i="1"/>
  <c r="K203" i="1"/>
  <c r="G198" i="1"/>
  <c r="G233" i="1"/>
  <c r="F233" i="1"/>
  <c r="I243" i="1"/>
  <c r="J243" i="1"/>
  <c r="J225" i="1"/>
  <c r="H240" i="1"/>
  <c r="K222" i="1"/>
  <c r="H245" i="1" l="1"/>
  <c r="H227" i="1"/>
  <c r="H244" i="1"/>
  <c r="H226" i="1"/>
  <c r="H208" i="1"/>
  <c r="G208" i="1"/>
  <c r="F208" i="1"/>
  <c r="H243" i="1"/>
  <c r="G243" i="1"/>
  <c r="F243" i="1"/>
  <c r="I225" i="1"/>
  <c r="H225" i="1"/>
  <c r="G225" i="1"/>
  <c r="F225" i="1"/>
  <c r="J207" i="1"/>
  <c r="I207" i="1"/>
  <c r="H207" i="1"/>
  <c r="G207" i="1"/>
  <c r="F207" i="1"/>
  <c r="H222" i="1"/>
  <c r="H204" i="1"/>
  <c r="G239" i="1"/>
  <c r="F239" i="1"/>
  <c r="I239" i="1"/>
  <c r="K239" i="1"/>
  <c r="J239" i="1"/>
  <c r="K221" i="1"/>
  <c r="J221" i="1"/>
  <c r="I221" i="1"/>
  <c r="H221" i="1"/>
  <c r="G221" i="1"/>
  <c r="F221" i="1"/>
  <c r="J203" i="1"/>
  <c r="I203" i="1"/>
  <c r="G203" i="1"/>
  <c r="F203" i="1"/>
  <c r="I238" i="1"/>
  <c r="H238" i="1"/>
  <c r="G238" i="1"/>
  <c r="F238" i="1"/>
  <c r="I220" i="1"/>
  <c r="H220" i="1"/>
  <c r="G220" i="1"/>
  <c r="F220" i="1"/>
  <c r="J202" i="1"/>
  <c r="I202" i="1"/>
  <c r="G202" i="1"/>
  <c r="F202" i="1"/>
  <c r="I234" i="1"/>
  <c r="H234" i="1"/>
  <c r="G234" i="1"/>
  <c r="F234" i="1"/>
  <c r="I216" i="1"/>
  <c r="H216" i="1"/>
  <c r="G216" i="1"/>
  <c r="F216" i="1"/>
  <c r="I198" i="1"/>
  <c r="H198" i="1"/>
  <c r="F198" i="1"/>
  <c r="K233" i="1"/>
  <c r="J233" i="1"/>
  <c r="I233" i="1"/>
  <c r="H233" i="1"/>
  <c r="K215" i="1"/>
  <c r="J215" i="1"/>
  <c r="I215" i="1"/>
  <c r="H215" i="1"/>
  <c r="G215" i="1"/>
  <c r="F215" i="1"/>
  <c r="K197" i="1"/>
  <c r="J197" i="1"/>
  <c r="I197" i="1"/>
  <c r="H197" i="1"/>
  <c r="G197" i="1"/>
  <c r="K205" i="1" l="1"/>
  <c r="H205" i="1"/>
  <c r="G205" i="1"/>
  <c r="F205" i="1"/>
  <c r="G200" i="1"/>
  <c r="F200" i="1"/>
  <c r="H368" i="1"/>
  <c r="G368" i="1"/>
  <c r="F368" i="1"/>
  <c r="H360" i="1" l="1"/>
  <c r="H359" i="1"/>
  <c r="H358" i="1"/>
  <c r="H389" i="1" l="1"/>
  <c r="I415" i="1"/>
  <c r="J415" i="1"/>
  <c r="G97" i="1"/>
  <c r="G158" i="1"/>
  <c r="G132" i="1"/>
  <c r="F63" i="1"/>
  <c r="F98" i="1"/>
  <c r="F135" i="1"/>
  <c r="H472" i="1"/>
  <c r="H468" i="1"/>
  <c r="G459" i="1"/>
  <c r="F459" i="1"/>
  <c r="F448" i="1"/>
  <c r="G440" i="1"/>
  <c r="H24" i="1" l="1"/>
  <c r="F36" i="1" l="1"/>
  <c r="F29" i="1"/>
  <c r="F28" i="1"/>
  <c r="F24" i="1"/>
  <c r="F12" i="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C12" i="10" s="1"/>
  <c r="L218" i="1"/>
  <c r="L233" i="1"/>
  <c r="L234" i="1"/>
  <c r="L235" i="1"/>
  <c r="L236" i="1"/>
  <c r="G6" i="13"/>
  <c r="H6" i="13"/>
  <c r="L202" i="1"/>
  <c r="D6" i="13" s="1"/>
  <c r="C6" i="13" s="1"/>
  <c r="L220" i="1"/>
  <c r="L238" i="1"/>
  <c r="G7" i="13"/>
  <c r="H7" i="13"/>
  <c r="L203" i="1"/>
  <c r="L221" i="1"/>
  <c r="L239" i="1"/>
  <c r="G12" i="13"/>
  <c r="H12" i="13"/>
  <c r="L205" i="1"/>
  <c r="L223" i="1"/>
  <c r="L241" i="1"/>
  <c r="G14" i="13"/>
  <c r="H14" i="13"/>
  <c r="L207" i="1"/>
  <c r="L225" i="1"/>
  <c r="L243" i="1"/>
  <c r="G15" i="13"/>
  <c r="H15" i="13"/>
  <c r="L208" i="1"/>
  <c r="L226" i="1"/>
  <c r="G662" i="1" s="1"/>
  <c r="L244" i="1"/>
  <c r="G651" i="1" s="1"/>
  <c r="G17" i="13"/>
  <c r="H17" i="13"/>
  <c r="L251" i="1"/>
  <c r="G18" i="13"/>
  <c r="H18" i="13"/>
  <c r="L252" i="1"/>
  <c r="D18" i="13" s="1"/>
  <c r="G19" i="13"/>
  <c r="H19" i="13"/>
  <c r="L253" i="1"/>
  <c r="G29" i="13"/>
  <c r="H29" i="13"/>
  <c r="L358" i="1"/>
  <c r="L359" i="1"/>
  <c r="L360" i="1"/>
  <c r="I367" i="1"/>
  <c r="J290" i="1"/>
  <c r="J309" i="1"/>
  <c r="J328" i="1"/>
  <c r="K290" i="1"/>
  <c r="K309" i="1"/>
  <c r="K328" i="1"/>
  <c r="L276" i="1"/>
  <c r="L277" i="1"/>
  <c r="L278" i="1"/>
  <c r="L279" i="1"/>
  <c r="L281" i="1"/>
  <c r="L282" i="1"/>
  <c r="L283" i="1"/>
  <c r="L284" i="1"/>
  <c r="L285" i="1"/>
  <c r="E122" i="2" s="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C132" i="2" s="1"/>
  <c r="L341" i="1"/>
  <c r="E131" i="2" s="1"/>
  <c r="L342" i="1"/>
  <c r="L255" i="1"/>
  <c r="C130" i="2"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3" i="1" s="1"/>
  <c r="C138" i="2" s="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H94" i="1"/>
  <c r="E58" i="2" s="1"/>
  <c r="H111" i="1"/>
  <c r="H112" i="1" s="1"/>
  <c r="I111" i="1"/>
  <c r="I112" i="1" s="1"/>
  <c r="J111" i="1"/>
  <c r="J112" i="1" s="1"/>
  <c r="F121" i="1"/>
  <c r="F136" i="1"/>
  <c r="G121" i="1"/>
  <c r="G136" i="1"/>
  <c r="H121" i="1"/>
  <c r="H136" i="1"/>
  <c r="I121" i="1"/>
  <c r="I136" i="1"/>
  <c r="J121" i="1"/>
  <c r="J136" i="1"/>
  <c r="F147" i="1"/>
  <c r="F162" i="1"/>
  <c r="F169" i="1" s="1"/>
  <c r="G147" i="1"/>
  <c r="D85" i="2" s="1"/>
  <c r="G162" i="1"/>
  <c r="H147" i="1"/>
  <c r="H162" i="1"/>
  <c r="H169" i="1" s="1"/>
  <c r="I147" i="1"/>
  <c r="I162" i="1"/>
  <c r="L250" i="1"/>
  <c r="C113" i="2" s="1"/>
  <c r="L332" i="1"/>
  <c r="E113" i="2" s="1"/>
  <c r="L254" i="1"/>
  <c r="L268" i="1"/>
  <c r="C26" i="10" s="1"/>
  <c r="L269" i="1"/>
  <c r="L349" i="1"/>
  <c r="L350" i="1"/>
  <c r="I665" i="1"/>
  <c r="I670" i="1"/>
  <c r="I669" i="1"/>
  <c r="C42" i="10"/>
  <c r="C32" i="10"/>
  <c r="L374" i="1"/>
  <c r="L375" i="1"/>
  <c r="L376" i="1"/>
  <c r="L377" i="1"/>
  <c r="C29" i="10" s="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D31" i="2" s="1"/>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D81" i="2" s="1"/>
  <c r="E77" i="2"/>
  <c r="F77" i="2"/>
  <c r="G77" i="2"/>
  <c r="G78" i="2" s="1"/>
  <c r="G81" i="2" s="1"/>
  <c r="C79" i="2"/>
  <c r="D79" i="2"/>
  <c r="E79" i="2"/>
  <c r="C80" i="2"/>
  <c r="E80" i="2"/>
  <c r="C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C114" i="2"/>
  <c r="D115" i="2"/>
  <c r="F115" i="2"/>
  <c r="G115" i="2"/>
  <c r="E120" i="2"/>
  <c r="E121" i="2"/>
  <c r="E123" i="2"/>
  <c r="E124" i="2"/>
  <c r="E125" i="2"/>
  <c r="F128" i="2"/>
  <c r="G128"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I52" i="1" s="1"/>
  <c r="H620" i="1" s="1"/>
  <c r="F177" i="1"/>
  <c r="F192" i="1" s="1"/>
  <c r="I177" i="1"/>
  <c r="F183" i="1"/>
  <c r="G183" i="1"/>
  <c r="H183" i="1"/>
  <c r="H192" i="1" s="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L256" i="1" s="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F408" i="1" s="1"/>
  <c r="H643" i="1" s="1"/>
  <c r="J643" i="1" s="1"/>
  <c r="G401" i="1"/>
  <c r="G408" i="1" s="1"/>
  <c r="H645" i="1" s="1"/>
  <c r="H401" i="1"/>
  <c r="I401" i="1"/>
  <c r="F407" i="1"/>
  <c r="G407" i="1"/>
  <c r="H407" i="1"/>
  <c r="I407" i="1"/>
  <c r="I408" i="1"/>
  <c r="L413" i="1"/>
  <c r="L414" i="1"/>
  <c r="L415" i="1"/>
  <c r="L419" i="1" s="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G640" i="1" s="1"/>
  <c r="H446" i="1"/>
  <c r="F452" i="1"/>
  <c r="G452" i="1"/>
  <c r="H452" i="1"/>
  <c r="F460" i="1"/>
  <c r="F461" i="1" s="1"/>
  <c r="H639" i="1" s="1"/>
  <c r="G460" i="1"/>
  <c r="H460" i="1"/>
  <c r="H461" i="1"/>
  <c r="H641" i="1" s="1"/>
  <c r="J641" i="1" s="1"/>
  <c r="F470" i="1"/>
  <c r="G470" i="1"/>
  <c r="H470" i="1"/>
  <c r="I470" i="1"/>
  <c r="J470" i="1"/>
  <c r="J476" i="1" s="1"/>
  <c r="H626" i="1" s="1"/>
  <c r="F474" i="1"/>
  <c r="G474" i="1"/>
  <c r="H474" i="1"/>
  <c r="I474" i="1"/>
  <c r="I476" i="1" s="1"/>
  <c r="H625" i="1" s="1"/>
  <c r="J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F571" i="1" s="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G625" i="1"/>
  <c r="H627" i="1"/>
  <c r="H628" i="1"/>
  <c r="H629" i="1"/>
  <c r="H630" i="1"/>
  <c r="H631" i="1"/>
  <c r="H632" i="1"/>
  <c r="H633" i="1"/>
  <c r="H635" i="1"/>
  <c r="H636" i="1"/>
  <c r="H637" i="1"/>
  <c r="H638" i="1"/>
  <c r="G641" i="1"/>
  <c r="G643" i="1"/>
  <c r="G644" i="1"/>
  <c r="G645" i="1"/>
  <c r="G650" i="1"/>
  <c r="G652" i="1"/>
  <c r="H652" i="1"/>
  <c r="G653" i="1"/>
  <c r="H653" i="1"/>
  <c r="G654" i="1"/>
  <c r="H654" i="1"/>
  <c r="H655" i="1"/>
  <c r="A31" i="12"/>
  <c r="C18" i="13"/>
  <c r="C91" i="2"/>
  <c r="D50" i="2"/>
  <c r="F18" i="2"/>
  <c r="E103" i="2"/>
  <c r="G62" i="2"/>
  <c r="E78" i="2"/>
  <c r="J571" i="1"/>
  <c r="I169" i="1"/>
  <c r="H476" i="1"/>
  <c r="H624" i="1" s="1"/>
  <c r="J140" i="1"/>
  <c r="G22" i="2"/>
  <c r="H140" i="1"/>
  <c r="L401" i="1"/>
  <c r="C139" i="2" s="1"/>
  <c r="G22" i="13"/>
  <c r="C22" i="13" s="1"/>
  <c r="L560" i="1"/>
  <c r="K605" i="1" l="1"/>
  <c r="G648" i="1" s="1"/>
  <c r="L614" i="1"/>
  <c r="J651" i="1"/>
  <c r="K598" i="1"/>
  <c r="G647" i="1" s="1"/>
  <c r="K545" i="1"/>
  <c r="J552" i="1"/>
  <c r="I552" i="1"/>
  <c r="G545" i="1"/>
  <c r="H552" i="1"/>
  <c r="I545" i="1"/>
  <c r="G552" i="1"/>
  <c r="L529" i="1"/>
  <c r="J545" i="1"/>
  <c r="H545" i="1"/>
  <c r="K549" i="1"/>
  <c r="F552" i="1"/>
  <c r="A40" i="12"/>
  <c r="E114" i="2"/>
  <c r="K338" i="1"/>
  <c r="K352" i="1" s="1"/>
  <c r="E109" i="2"/>
  <c r="E115" i="2" s="1"/>
  <c r="F338" i="1"/>
  <c r="F352" i="1" s="1"/>
  <c r="L351" i="1"/>
  <c r="G338" i="1"/>
  <c r="G352" i="1" s="1"/>
  <c r="E119" i="2"/>
  <c r="L328" i="1"/>
  <c r="L309" i="1"/>
  <c r="E118" i="2"/>
  <c r="L290" i="1"/>
  <c r="J655" i="1"/>
  <c r="C125" i="2"/>
  <c r="H662" i="1"/>
  <c r="D15" i="13"/>
  <c r="C15" i="13" s="1"/>
  <c r="H647" i="1"/>
  <c r="L247" i="1"/>
  <c r="C119" i="2"/>
  <c r="C13" i="10"/>
  <c r="C110" i="2"/>
  <c r="K257" i="1"/>
  <c r="K271" i="1" s="1"/>
  <c r="E13" i="13"/>
  <c r="C13" i="13" s="1"/>
  <c r="H257" i="1"/>
  <c r="H271" i="1" s="1"/>
  <c r="C17" i="10"/>
  <c r="C120" i="2"/>
  <c r="C18" i="10"/>
  <c r="G649" i="1"/>
  <c r="J649" i="1" s="1"/>
  <c r="C20" i="10"/>
  <c r="C121" i="2"/>
  <c r="C11" i="10"/>
  <c r="J257" i="1"/>
  <c r="J271" i="1" s="1"/>
  <c r="F257" i="1"/>
  <c r="F271" i="1" s="1"/>
  <c r="L211" i="1"/>
  <c r="I257" i="1"/>
  <c r="I271" i="1" s="1"/>
  <c r="J634" i="1"/>
  <c r="L362" i="1"/>
  <c r="C27" i="10" s="1"/>
  <c r="G661" i="1"/>
  <c r="F661" i="1"/>
  <c r="H408" i="1"/>
  <c r="H644" i="1" s="1"/>
  <c r="J644" i="1"/>
  <c r="J645" i="1"/>
  <c r="E62" i="2"/>
  <c r="E63" i="2" s="1"/>
  <c r="D62" i="2"/>
  <c r="D63" i="2" s="1"/>
  <c r="D91" i="2"/>
  <c r="F112" i="1"/>
  <c r="C78" i="2"/>
  <c r="C70" i="2"/>
  <c r="C81" i="2"/>
  <c r="C35" i="10"/>
  <c r="F476" i="1"/>
  <c r="H622" i="1" s="1"/>
  <c r="J622" i="1" s="1"/>
  <c r="G476" i="1"/>
  <c r="H623" i="1" s="1"/>
  <c r="J623" i="1" s="1"/>
  <c r="G461" i="1"/>
  <c r="H640" i="1" s="1"/>
  <c r="J640" i="1"/>
  <c r="J639" i="1"/>
  <c r="E31" i="2"/>
  <c r="H52" i="1"/>
  <c r="H619" i="1" s="1"/>
  <c r="D18" i="2"/>
  <c r="C18" i="2"/>
  <c r="J617" i="1"/>
  <c r="K551" i="1"/>
  <c r="I25" i="13"/>
  <c r="K550" i="1"/>
  <c r="G624" i="1"/>
  <c r="J624" i="1" s="1"/>
  <c r="L534" i="1"/>
  <c r="K500" i="1"/>
  <c r="I460" i="1"/>
  <c r="I452" i="1"/>
  <c r="I461" i="1" s="1"/>
  <c r="H642" i="1" s="1"/>
  <c r="I446" i="1"/>
  <c r="G642" i="1" s="1"/>
  <c r="H338" i="1"/>
  <c r="H352" i="1" s="1"/>
  <c r="C123" i="2"/>
  <c r="C56" i="2"/>
  <c r="F662" i="1"/>
  <c r="I662" i="1" s="1"/>
  <c r="C25" i="10"/>
  <c r="C21" i="10"/>
  <c r="G112" i="1"/>
  <c r="C36" i="10" s="1"/>
  <c r="D19" i="13"/>
  <c r="C19" i="13" s="1"/>
  <c r="D14" i="13"/>
  <c r="C14" i="13" s="1"/>
  <c r="L539" i="1"/>
  <c r="K503" i="1"/>
  <c r="L382" i="1"/>
  <c r="G636" i="1" s="1"/>
  <c r="J636" i="1" s="1"/>
  <c r="G257" i="1"/>
  <c r="G271" i="1" s="1"/>
  <c r="C142" i="2"/>
  <c r="F130" i="2"/>
  <c r="F144" i="2" s="1"/>
  <c r="F145" i="2" s="1"/>
  <c r="C111" i="2"/>
  <c r="H661" i="1"/>
  <c r="I661" i="1" s="1"/>
  <c r="C15" i="10"/>
  <c r="A13" i="12"/>
  <c r="D29" i="13"/>
  <c r="C29" i="13" s="1"/>
  <c r="D12" i="13"/>
  <c r="C12" i="13" s="1"/>
  <c r="D5" i="13"/>
  <c r="C5" i="13" s="1"/>
  <c r="E8" i="13"/>
  <c r="C8" i="13" s="1"/>
  <c r="C62" i="2"/>
  <c r="E81" i="2"/>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F104" i="2" s="1"/>
  <c r="E50" i="2"/>
  <c r="E51" i="2" s="1"/>
  <c r="C50" i="2"/>
  <c r="F31" i="2"/>
  <c r="C31" i="2"/>
  <c r="E18" i="2"/>
  <c r="E144" i="2"/>
  <c r="F50" i="2"/>
  <c r="F51" i="2" s="1"/>
  <c r="C24" i="10"/>
  <c r="H31" i="13"/>
  <c r="H33" i="13" s="1"/>
  <c r="I338" i="1"/>
  <c r="I352" i="1" s="1"/>
  <c r="J650" i="1"/>
  <c r="L407" i="1"/>
  <c r="C140" i="2" s="1"/>
  <c r="C141" i="2" s="1"/>
  <c r="L571" i="1"/>
  <c r="I192" i="1"/>
  <c r="E91" i="2"/>
  <c r="L408" i="1"/>
  <c r="G637" i="1" s="1"/>
  <c r="J637" i="1" s="1"/>
  <c r="D51" i="2"/>
  <c r="J654" i="1"/>
  <c r="J653" i="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G63" i="2"/>
  <c r="G104" i="2" s="1"/>
  <c r="J618" i="1"/>
  <c r="G42" i="2"/>
  <c r="J51" i="1"/>
  <c r="G16" i="2"/>
  <c r="G18" i="2" s="1"/>
  <c r="J19" i="1"/>
  <c r="G621" i="1" s="1"/>
  <c r="F545" i="1"/>
  <c r="H434" i="1"/>
  <c r="J620" i="1"/>
  <c r="J619" i="1"/>
  <c r="D103" i="2"/>
  <c r="D104" i="2" s="1"/>
  <c r="I140" i="1"/>
  <c r="I193" i="1" s="1"/>
  <c r="G630" i="1" s="1"/>
  <c r="J630" i="1" s="1"/>
  <c r="A22" i="12"/>
  <c r="G50" i="2"/>
  <c r="J652" i="1"/>
  <c r="G571" i="1"/>
  <c r="I434" i="1"/>
  <c r="G434" i="1"/>
  <c r="I663" i="1"/>
  <c r="G635" i="1"/>
  <c r="J635" i="1" s="1"/>
  <c r="J647" i="1" l="1"/>
  <c r="K552" i="1"/>
  <c r="G24" i="14"/>
  <c r="G36" i="14"/>
  <c r="H36" i="14" s="1"/>
  <c r="I36" i="14" s="1"/>
  <c r="E128" i="2"/>
  <c r="E145" i="2" s="1"/>
  <c r="L338" i="1"/>
  <c r="L352" i="1" s="1"/>
  <c r="G633" i="1" s="1"/>
  <c r="J633" i="1" s="1"/>
  <c r="G4" i="14"/>
  <c r="H4" i="14" s="1"/>
  <c r="I4" i="14" s="1"/>
  <c r="H660" i="1"/>
  <c r="H664" i="1" s="1"/>
  <c r="E33" i="13"/>
  <c r="D35" i="13" s="1"/>
  <c r="C115" i="2"/>
  <c r="G660" i="1"/>
  <c r="G664" i="1" s="1"/>
  <c r="H648" i="1"/>
  <c r="J648" i="1" s="1"/>
  <c r="C128" i="2"/>
  <c r="F660" i="1"/>
  <c r="F664" i="1" s="1"/>
  <c r="F672" i="1" s="1"/>
  <c r="C4" i="10" s="1"/>
  <c r="L257" i="1"/>
  <c r="L271" i="1" s="1"/>
  <c r="G632" i="1" s="1"/>
  <c r="J632" i="1" s="1"/>
  <c r="E104" i="2"/>
  <c r="C63" i="2"/>
  <c r="C104" i="2" s="1"/>
  <c r="J642" i="1"/>
  <c r="G51" i="2"/>
  <c r="L545" i="1"/>
  <c r="D31" i="13"/>
  <c r="C31" i="13" s="1"/>
  <c r="C144" i="2"/>
  <c r="H646" i="1"/>
  <c r="J646" i="1" s="1"/>
  <c r="C25" i="13"/>
  <c r="I33" i="13"/>
  <c r="C28" i="10"/>
  <c r="D23" i="10" s="1"/>
  <c r="H24" i="14"/>
  <c r="I24" i="14" s="1"/>
  <c r="C51" i="2"/>
  <c r="G631" i="1"/>
  <c r="J631" i="1" s="1"/>
  <c r="G193" i="1"/>
  <c r="G628" i="1" s="1"/>
  <c r="J628" i="1" s="1"/>
  <c r="G626" i="1"/>
  <c r="J626" i="1" s="1"/>
  <c r="J52" i="1"/>
  <c r="H621" i="1" s="1"/>
  <c r="J621" i="1" s="1"/>
  <c r="C38" i="10"/>
  <c r="C145" i="2" l="1"/>
  <c r="I660" i="1"/>
  <c r="I664" i="1" s="1"/>
  <c r="I672" i="1" s="1"/>
  <c r="C7" i="10" s="1"/>
  <c r="G672" i="1"/>
  <c r="C5" i="10" s="1"/>
  <c r="G667" i="1"/>
  <c r="F667" i="1"/>
  <c r="D25" i="10"/>
  <c r="H667" i="1"/>
  <c r="H672" i="1"/>
  <c r="C6"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<sst xmlns="http://schemas.openxmlformats.org/spreadsheetml/2006/main" count="5512" uniqueCount="1610">
  <si>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</si>
  <si>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</si>
  <si>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</si>
  <si>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</si>
  <si>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</si>
  <si>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</si>
  <si>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</si>
  <si>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</si>
  <si>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</si>
  <si>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</si>
  <si>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</si>
  <si>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</si>
  <si>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</si>
  <si>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</si>
  <si>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</si>
  <si>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</si>
  <si>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</si>
  <si>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</si>
  <si>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</si>
  <si>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</si>
  <si>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</si>
  <si>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</si>
  <si>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</si>
  <si>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</si>
  <si>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</si>
  <si>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</si>
  <si>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</si>
  <si>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</si>
  <si>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</si>
  <si>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</si>
  <si>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</si>
  <si>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</si>
  <si>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</si>
  <si>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</si>
  <si>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</si>
  <si>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</si>
  <si>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</si>
  <si>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</si>
  <si>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</si>
  <si>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</si>
  <si>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</si>
  <si>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</si>
  <si>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</si>
  <si>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</si>
  <si>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</si>
  <si>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</si>
  <si>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</si>
  <si>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</si>
  <si>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</si>
  <si>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</si>
  <si>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</si>
  <si>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</si>
  <si>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</si>
  <si>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</si>
  <si>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</si>
  <si>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</si>
  <si>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</si>
  <si>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</si>
  <si>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</si>
  <si>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</si>
  <si>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</si>
  <si>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</si>
  <si>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</si>
  <si>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</si>
  <si>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</si>
  <si>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</si>
  <si>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</si>
  <si>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</si>
  <si>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</si>
  <si>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</si>
  <si>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</si>
  <si>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</si>
  <si>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</si>
  <si>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</si>
  <si>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</si>
  <si>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</si>
  <si>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</si>
  <si>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</si>
  <si>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</si>
  <si>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</si>
  <si>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</si>
  <si>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</si>
  <si>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</si>
  <si>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</si>
  <si>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</si>
  <si>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</si>
  <si>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</si>
  <si>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</si>
  <si>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</si>
  <si>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</si>
  <si>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</si>
  <si>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</si>
  <si>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</si>
  <si>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</si>
  <si>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</si>
  <si>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</si>
  <si>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</si>
  <si>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</si>
  <si>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</si>
  <si>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</si>
  <si>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</si>
  <si>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</si>
  <si>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</si>
  <si>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</si>
  <si>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</si>
  <si>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</si>
  <si>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</si>
  <si>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</si>
  <si>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</si>
  <si>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</si>
  <si>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</si>
  <si>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</si>
  <si>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</si>
  <si>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</si>
  <si>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</si>
  <si>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</si>
  <si>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</si>
  <si>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</si>
  <si>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</si>
  <si>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</si>
  <si>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</si>
  <si>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</si>
  <si>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</si>
  <si>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</si>
  <si>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</si>
  <si>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</si>
  <si>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</si>
  <si>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</si>
  <si>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</si>
  <si>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</si>
  <si>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</si>
  <si>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</si>
  <si>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</si>
  <si>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</si>
  <si>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</si>
  <si>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</si>
  <si>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</si>
  <si>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</si>
  <si>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</si>
  <si>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</si>
  <si>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</si>
  <si>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</si>
  <si>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</si>
  <si>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</si>
  <si>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</si>
  <si>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</si>
  <si>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</si>
  <si>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</si>
  <si>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</si>
  <si>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</si>
  <si>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</si>
  <si>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</si>
  <si>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</si>
  <si>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</si>
  <si>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</si>
  <si>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</si>
  <si>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</si>
  <si>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</si>
  <si>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</si>
  <si>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</si>
  <si>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</si>
  <si>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</si>
  <si>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</si>
  <si>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</si>
  <si>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</si>
  <si>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</si>
  <si>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</si>
  <si>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</si>
  <si>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</si>
  <si>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</si>
  <si>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</si>
  <si>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</si>
  <si>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</si>
  <si>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</si>
  <si>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</si>
  <si>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</si>
  <si>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</si>
  <si>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</si>
  <si>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</si>
  <si>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</si>
  <si>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</si>
  <si>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</si>
  <si>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</si>
  <si>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</si>
  <si>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</si>
  <si>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</si>
  <si>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</si>
  <si>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</si>
  <si>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</si>
  <si>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</si>
  <si>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</si>
  <si>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</si>
  <si>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</si>
  <si>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</si>
  <si>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</si>
  <si>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</si>
  <si>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</si>
  <si>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</si>
  <si>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</si>
  <si>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</si>
  <si>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</si>
  <si>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</si>
  <si>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</si>
  <si>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</si>
  <si>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</si>
  <si>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</si>
  <si>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</si>
  <si>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</si>
  <si>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</si>
  <si>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</si>
  <si>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</si>
  <si>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</si>
  <si>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</si>
  <si>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</si>
  <si>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</si>
  <si>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</si>
  <si>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</si>
  <si>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</si>
  <si>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</si>
  <si>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</si>
  <si>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</si>
  <si>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</si>
  <si>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</si>
  <si>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</si>
  <si>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</si>
  <si>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</si>
  <si>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</si>
  <si>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</si>
  <si>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</si>
  <si>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</si>
  <si>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</si>
  <si>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</si>
  <si>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</si>
  <si>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</si>
  <si>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</si>
  <si>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</si>
  <si>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</si>
  <si>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</si>
  <si>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</si>
  <si>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</si>
  <si>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</si>
  <si>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</si>
  <si>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</si>
  <si>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</si>
  <si>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</si>
  <si>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</si>
  <si>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</si>
  <si>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</si>
  <si>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</si>
  <si>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</si>
  <si>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</si>
  <si>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</si>
  <si>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</si>
  <si>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</si>
  <si>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</si>
  <si>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</si>
  <si>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</si>
  <si>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</si>
  <si>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</si>
  <si>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</si>
  <si>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</si>
  <si>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</si>
  <si>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</si>
  <si>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</si>
  <si>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</si>
  <si>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</si>
  <si>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</si>
  <si>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</si>
  <si>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</si>
  <si>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</si>
  <si>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</si>
  <si>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</si>
  <si>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</si>
  <si>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</si>
  <si>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</si>
  <si>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</si>
  <si>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</si>
  <si>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</si>
  <si>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</si>
  <si>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</si>
  <si>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</si>
  <si>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</si>
  <si>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</si>
  <si>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</si>
  <si>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</si>
  <si>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</si>
  <si>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</si>
  <si>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</si>
  <si>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</si>
  <si>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</si>
  <si>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</si>
  <si>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</si>
  <si>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</si>
  <si>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</si>
  <si>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</si>
  <si>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</si>
  <si>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</si>
  <si>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</si>
  <si>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</si>
  <si>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</si>
  <si>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</si>
  <si>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</si>
  <si>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</si>
  <si>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</si>
  <si>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</si>
  <si>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</si>
  <si>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</si>
  <si>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</si>
  <si>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</si>
  <si>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</si>
  <si>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</si>
  <si>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</si>
  <si>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</si>
  <si>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</si>
  <si>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</si>
  <si>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</si>
  <si>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</si>
  <si>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</si>
  <si>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</si>
  <si>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</si>
  <si>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</si>
  <si>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</si>
  <si>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</si>
  <si>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</si>
  <si>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</si>
  <si>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</si>
  <si>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</si>
  <si>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</si>
  <si>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</si>
  <si>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</si>
  <si>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</si>
  <si>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</si>
  <si>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</si>
  <si>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</si>
  <si>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</si>
  <si>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</si>
  <si>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</si>
  <si>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</si>
  <si>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</si>
  <si>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</si>
  <si>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</si>
  <si>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</si>
  <si>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</si>
  <si>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</si>
  <si>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</si>
  <si>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</si>
  <si>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</si>
  <si>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</si>
  <si>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</si>
  <si>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</si>
  <si>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</si>
  <si>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</si>
  <si>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</si>
  <si>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</si>
  <si>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</si>
  <si>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</si>
  <si>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</si>
  <si>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</si>
  <si>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</si>
  <si>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</si>
  <si>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</si>
  <si>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</si>
  <si>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</si>
  <si>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</si>
  <si>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</si>
  <si>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</si>
  <si>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</si>
  <si>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</si>
  <si>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</si>
  <si>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</si>
  <si>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</si>
  <si>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</si>
  <si>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</si>
  <si>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</si>
  <si>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</si>
  <si>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</si>
  <si>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</si>
  <si>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</si>
  <si>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</si>
  <si>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</si>
  <si>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</si>
  <si>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</si>
  <si>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</si>
  <si>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</si>
  <si>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</si>
  <si>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</si>
  <si>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</si>
  <si>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</si>
  <si>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</si>
  <si>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</si>
  <si>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</si>
  <si>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</si>
  <si>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</si>
  <si>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</si>
  <si>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</si>
  <si>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</si>
  <si>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</si>
  <si>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</si>
  <si>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</si>
  <si>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</si>
  <si>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</si>
  <si>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</si>
  <si>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</si>
  <si>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</si>
  <si>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</si>
  <si>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</si>
  <si>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</si>
  <si>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</si>
  <si>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</si>
  <si>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</si>
  <si>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</si>
  <si>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</si>
  <si>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</si>
  <si>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</si>
  <si>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</si>
  <si>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</si>
  <si>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</si>
  <si>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</si>
  <si>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</si>
  <si>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</si>
  <si>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</si>
  <si>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</si>
  <si>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</si>
  <si>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</si>
  <si>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</si>
  <si>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</si>
  <si>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</si>
  <si>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</si>
  <si>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</si>
  <si>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</si>
  <si>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</si>
  <si>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</si>
  <si>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</si>
  <si>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</si>
  <si>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</si>
  <si>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</si>
  <si>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</si>
  <si>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</si>
  <si>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</si>
  <si>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</si>
  <si>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</si>
  <si>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</si>
  <si>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</si>
  <si>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</si>
  <si>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</si>
  <si>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</si>
  <si>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</si>
  <si>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</si>
  <si>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</si>
  <si>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</si>
  <si>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</si>
  <si>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</si>
  <si>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</si>
  <si>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</si>
  <si>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</si>
  <si>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</si>
  <si>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</si>
  <si>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</si>
  <si>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</si>
  <si>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</si>
  <si>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</si>
  <si>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</si>
  <si>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</si>
  <si>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</si>
  <si>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</si>
  <si>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</si>
  <si>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</si>
  <si>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</si>
  <si>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</si>
  <si>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</si>
  <si>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</si>
  <si>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</si>
  <si>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</si>
  <si>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</si>
  <si>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</si>
  <si>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</si>
  <si>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</si>
  <si>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</si>
  <si>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</si>
  <si>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</si>
  <si>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</si>
  <si>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</si>
  <si>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</si>
  <si>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</si>
  <si>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</si>
  <si>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</si>
  <si>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</si>
  <si>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</si>
  <si>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</si>
  <si>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</si>
  <si>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</si>
  <si>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</si>
  <si>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</si>
  <si>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</si>
  <si>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</si>
  <si>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</si>
  <si>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</si>
  <si>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</si>
  <si>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</si>
  <si>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</si>
  <si>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</si>
  <si>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</si>
  <si>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</si>
  <si>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</si>
  <si>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</si>
  <si>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</si>
  <si>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</si>
  <si>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</si>
  <si>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</si>
  <si>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</si>
  <si>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</si>
  <si>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</si>
  <si>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</si>
  <si>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</si>
  <si>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</si>
  <si>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</si>
  <si>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</si>
  <si>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</si>
  <si>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</si>
  <si>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</si>
  <si>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</si>
  <si>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</si>
  <si>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</si>
  <si>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</si>
  <si>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</si>
  <si>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</si>
  <si>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</si>
  <si>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</si>
  <si>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</si>
  <si>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</si>
  <si>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</si>
  <si>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</si>
  <si>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</si>
  <si>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</si>
  <si>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</si>
  <si>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</si>
  <si>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</si>
  <si>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</si>
  <si>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</si>
  <si>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</si>
  <si>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</si>
  <si>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</si>
  <si>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</si>
  <si>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</si>
  <si>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</si>
  <si>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</si>
  <si>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</si>
  <si>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</si>
  <si>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</si>
  <si>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</si>
  <si>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</si>
  <si>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</si>
  <si>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</si>
  <si>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</si>
  <si>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</si>
  <si>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</si>
  <si>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</si>
  <si>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</si>
  <si>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</si>
  <si>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</si>
  <si>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</si>
  <si>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</si>
  <si>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</si>
  <si>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</si>
  <si>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</si>
  <si>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</si>
  <si>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</si>
  <si>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</si>
  <si>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</si>
  <si>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</si>
  <si>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</si>
  <si>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</si>
  <si>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</si>
  <si>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</si>
  <si>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</si>
  <si>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</si>
  <si>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</si>
  <si>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</si>
  <si>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</si>
  <si>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</si>
  <si>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</si>
  <si>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</si>
  <si>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</si>
  <si>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</si>
  <si>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</si>
  <si>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</si>
  <si>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</si>
  <si>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</si>
  <si>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</si>
  <si>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</si>
  <si>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</si>
  <si>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</si>
  <si>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</si>
  <si>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</si>
  <si>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</si>
  <si>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</si>
  <si>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</si>
  <si>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</si>
  <si>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</si>
  <si>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</si>
  <si>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</si>
  <si>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</si>
  <si>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</si>
  <si>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</si>
  <si>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</si>
  <si>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</si>
  <si>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</si>
  <si>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</si>
  <si>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</si>
  <si>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</si>
  <si>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</si>
  <si>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</si>
  <si>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</si>
  <si>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</si>
  <si>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</si>
  <si>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</si>
  <si>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</si>
  <si>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</si>
  <si>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</si>
  <si>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</si>
  <si>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</si>
  <si>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</si>
  <si>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</si>
  <si>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</si>
  <si>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</si>
  <si>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</si>
  <si>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</si>
  <si>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</si>
  <si>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</si>
  <si>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</si>
  <si>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</si>
  <si>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</si>
  <si>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</si>
  <si>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</si>
  <si>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</si>
  <si>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</si>
  <si>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</si>
  <si>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</si>
  <si>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</si>
  <si>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</si>
  <si>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</si>
  <si>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</si>
  <si>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</si>
  <si>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</si>
  <si>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</si>
  <si>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</si>
  <si>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</si>
  <si>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</si>
  <si>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</si>
  <si>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</si>
  <si>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</si>
  <si>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</si>
  <si>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</si>
  <si>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</si>
  <si>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</si>
  <si>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</si>
  <si>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</si>
  <si>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</si>
  <si>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</si>
  <si>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</si>
  <si>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</si>
  <si>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</si>
  <si>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</si>
  <si>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</si>
  <si>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</si>
  <si>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</si>
  <si>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</si>
  <si>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</si>
  <si>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</si>
  <si>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</si>
  <si>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</si>
  <si>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</si>
  <si>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</si>
  <si>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</si>
  <si>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</si>
  <si>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</si>
  <si>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</si>
  <si>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</si>
  <si>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</si>
  <si>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</si>
  <si>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</si>
  <si>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</si>
  <si>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</si>
  <si>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</si>
  <si>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</si>
  <si>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</si>
  <si>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</si>
  <si>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</si>
  <si>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</si>
  <si>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</si>
  <si>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</si>
  <si>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</si>
  <si>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</si>
  <si>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</si>
  <si>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</si>
  <si>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</si>
  <si>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</si>
  <si>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</si>
  <si>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</si>
  <si>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</si>
  <si>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</si>
  <si>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</si>
  <si>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</si>
  <si>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</si>
  <si>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</si>
  <si>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</si>
  <si>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</si>
  <si>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</si>
  <si>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</si>
  <si>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</si>
  <si>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</si>
  <si>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</si>
  <si>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</si>
  <si>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</si>
  <si>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</si>
  <si>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</si>
  <si>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</si>
  <si>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</si>
  <si>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</si>
  <si>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</si>
  <si>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</si>
  <si>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</si>
  <si>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</si>
  <si>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</si>
  <si>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</si>
  <si>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</si>
  <si>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</si>
  <si>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</si>
  <si>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</si>
  <si>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</si>
  <si>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</si>
  <si>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</si>
  <si>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</si>
  <si>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</si>
  <si>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</si>
  <si>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</si>
  <si>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</si>
  <si>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</si>
  <si>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</si>
  <si>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</si>
  <si>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</si>
  <si>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</si>
  <si>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</si>
  <si>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</si>
  <si>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</si>
  <si>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</si>
  <si>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</si>
  <si>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</si>
  <si>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</si>
  <si>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</si>
  <si>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</si>
  <si>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</si>
  <si>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</si>
  <si>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</si>
  <si>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</si>
  <si>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</si>
  <si>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</si>
  <si>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</si>
  <si>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</si>
  <si>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</si>
  <si>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</si>
  <si>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</si>
  <si>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</si>
  <si>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</si>
  <si>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</si>
  <si>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</si>
  <si>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</si>
  <si>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</si>
  <si>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</si>
  <si>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</si>
  <si>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</si>
  <si>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</si>
  <si>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</si>
  <si>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</si>
  <si>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</si>
  <si>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</si>
  <si>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</si>
  <si>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</si>
  <si>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</si>
  <si>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</si>
  <si>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</si>
  <si>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</si>
  <si>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</si>
  <si>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</si>
  <si>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</si>
  <si>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</si>
  <si>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</si>
  <si>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</si>
  <si>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</si>
  <si>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</si>
  <si>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</si>
  <si>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</si>
  <si>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</si>
  <si>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</si>
  <si>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</si>
  <si>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</si>
  <si>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</si>
  <si>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</si>
  <si>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</si>
  <si>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</si>
  <si>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</si>
  <si>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</si>
  <si>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</si>
  <si>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</si>
  <si>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</si>
  <si>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</si>
  <si>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</si>
  <si>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</si>
  <si>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</si>
  <si>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</si>
  <si>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</si>
  <si>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</si>
  <si>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</si>
  <si>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</si>
  <si>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</si>
  <si>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</si>
  <si>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</si>
  <si>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</si>
  <si>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</si>
  <si>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</si>
  <si>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</si>
  <si>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</si>
  <si>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</si>
  <si>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</si>
  <si>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</si>
  <si>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</si>
  <si>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</si>
  <si>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</si>
  <si>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</si>
  <si>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</si>
  <si>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</si>
  <si>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</si>
  <si>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</si>
  <si>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</si>
  <si>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</si>
  <si>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</si>
  <si>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</si>
  <si>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</si>
  <si>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</si>
  <si>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</si>
  <si>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</si>
  <si>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</si>
  <si>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</si>
  <si>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</si>
  <si>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</si>
  <si>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</si>
  <si>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</si>
  <si>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</si>
  <si>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</si>
  <si>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</si>
  <si>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</si>
  <si>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</si>
  <si>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</si>
  <si>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</si>
  <si>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</si>
  <si>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</si>
  <si>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</si>
  <si>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</si>
  <si>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</si>
  <si>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</si>
  <si>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</si>
  <si>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</si>
  <si>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</si>
  <si>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</si>
  <si>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</si>
  <si>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</si>
  <si>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</si>
  <si>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</si>
  <si>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</si>
  <si>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</si>
  <si>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</si>
  <si>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</si>
  <si>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</si>
  <si>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</si>
  <si>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</si>
  <si>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</si>
  <si>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</si>
  <si>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</si>
  <si>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</si>
  <si>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</si>
  <si>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</si>
  <si>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</si>
  <si>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</si>
  <si>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</si>
  <si>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</si>
  <si>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</si>
  <si>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</si>
  <si>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</si>
  <si>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</si>
  <si>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</si>
  <si>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</si>
  <si>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</si>
  <si>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</si>
  <si>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</si>
  <si>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</si>
  <si>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</si>
  <si>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</si>
  <si>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</si>
  <si>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</si>
  <si>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</si>
  <si>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</si>
  <si>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</si>
  <si>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</si>
  <si>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</si>
  <si>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</si>
  <si>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</si>
  <si>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</si>
  <si>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</si>
  <si>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</si>
  <si>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</si>
  <si>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</si>
  <si>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</si>
  <si>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</si>
  <si>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</si>
  <si>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</si>
  <si>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</si>
  <si>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</si>
  <si>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</si>
  <si>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</si>
  <si>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</si>
  <si>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</si>
  <si>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</si>
  <si>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</si>
  <si>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</si>
  <si>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</si>
  <si>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</si>
  <si>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</si>
  <si>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</si>
  <si>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</si>
  <si>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</si>
  <si>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</si>
  <si>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</si>
  <si>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</si>
  <si>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</si>
  <si>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</si>
  <si>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</si>
  <si>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</si>
  <si>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</si>
  <si>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</si>
  <si>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</si>
  <si>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</si>
  <si>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</si>
  <si>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</si>
  <si>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</si>
  <si>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</si>
  <si>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</si>
  <si>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</si>
  <si>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</si>
  <si>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</si>
  <si>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</si>
  <si>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</si>
  <si>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</si>
  <si>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</si>
  <si>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</si>
  <si>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</si>
  <si>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</si>
  <si>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</si>
  <si>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</si>
  <si>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</si>
  <si>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</si>
  <si>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</si>
  <si>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</si>
  <si>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</si>
  <si>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</si>
  <si>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</si>
  <si>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</si>
  <si>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</si>
  <si>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</si>
  <si>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</si>
  <si>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</si>
  <si>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</si>
  <si>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</si>
  <si>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</si>
  <si>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</si>
  <si>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</si>
  <si>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</si>
  <si>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</si>
  <si>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</si>
  <si>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</si>
  <si>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</si>
  <si>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</si>
  <si>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</si>
  <si>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</si>
  <si>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</si>
  <si>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</si>
  <si>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</si>
  <si>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</si>
  <si>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</si>
  <si>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</si>
  <si>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</si>
  <si>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</si>
  <si>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</si>
  <si>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</si>
  <si>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</si>
  <si>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</si>
  <si>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</si>
  <si>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</si>
  <si>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</si>
  <si>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</si>
  <si>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</si>
  <si>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</si>
  <si>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</si>
  <si>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</si>
  <si>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</si>
  <si>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</si>
  <si>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</si>
  <si>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</si>
  <si>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</si>
  <si>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</si>
  <si>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</si>
  <si>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</si>
  <si>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</si>
  <si>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</si>
  <si>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</si>
  <si>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</si>
  <si>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</si>
  <si>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</si>
  <si>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</si>
  <si>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</si>
  <si>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</si>
  <si>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</si>
  <si>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</si>
  <si>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</si>
  <si>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</si>
  <si>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</si>
  <si>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</si>
  <si>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</si>
  <si>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</si>
  <si>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</si>
  <si>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</si>
  <si>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</si>
  <si>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</si>
  <si>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</si>
  <si>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</si>
  <si>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</si>
  <si>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</si>
  <si>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</si>
  <si>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</si>
  <si>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</si>
  <si>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</si>
  <si>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</si>
  <si>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</si>
  <si>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</si>
  <si>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</si>
  <si>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</si>
  <si>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</si>
  <si>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</si>
  <si>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</si>
  <si>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</si>
  <si>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</si>
  <si>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</si>
  <si>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</si>
  <si>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</si>
  <si>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</si>
  <si>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</si>
  <si>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</si>
  <si>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</si>
  <si>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</si>
  <si>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</si>
  <si>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</si>
  <si>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</si>
  <si>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</si>
  <si>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</si>
  <si>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</si>
  <si>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</si>
  <si>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</si>
  <si>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</si>
  <si>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</si>
  <si>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</si>
  <si>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</si>
  <si>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</si>
  <si>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</si>
  <si>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</si>
  <si>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</si>
  <si>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</si>
  <si>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</si>
  <si>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</si>
  <si>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</si>
  <si>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</si>
  <si>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</si>
  <si>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</si>
  <si>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</si>
  <si>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</si>
  <si>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</si>
  <si>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</si>
  <si>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</si>
  <si>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</si>
  <si>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</si>
  <si>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</si>
  <si>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</si>
  <si>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</si>
  <si>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</si>
  <si>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</si>
  <si>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</si>
  <si>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</si>
  <si>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</si>
  <si>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</si>
  <si>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</si>
  <si>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</si>
  <si>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</si>
  <si>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</si>
  <si>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</si>
  <si>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</si>
  <si>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</si>
  <si>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</si>
  <si>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</si>
  <si>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</si>
  <si>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</si>
  <si>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</si>
  <si>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</si>
  <si>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</si>
  <si>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</si>
  <si>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</si>
  <si>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</si>
  <si>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</si>
  <si>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</si>
  <si>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</si>
  <si>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</si>
  <si>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</si>
  <si>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</si>
  <si>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</si>
  <si>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</si>
  <si>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</si>
  <si>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</si>
  <si>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</si>
  <si>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</si>
  <si>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</si>
  <si>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</si>
  <si>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</si>
  <si>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</si>
  <si>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</si>
  <si>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</si>
  <si>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</si>
  <si>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</si>
  <si>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</si>
  <si>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</si>
  <si>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</si>
  <si>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</si>
  <si>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</si>
  <si>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</si>
  <si>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</si>
  <si>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</si>
  <si>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</si>
  <si>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</si>
  <si>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</si>
  <si>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</si>
  <si>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</si>
  <si>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</si>
  <si>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</si>
  <si>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</si>
  <si>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</si>
  <si>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</si>
  <si>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</si>
  <si>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</si>
  <si>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</si>
  <si>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</si>
  <si>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</si>
  <si>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</si>
  <si>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</si>
  <si>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</si>
  <si>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</si>
  <si>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</si>
  <si>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</si>
  <si>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</si>
  <si>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</si>
  <si>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</si>
  <si>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</si>
  <si>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</si>
  <si>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</si>
  <si>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</si>
  <si>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</si>
  <si>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</si>
  <si>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</si>
  <si>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</si>
  <si>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</si>
  <si>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</si>
  <si>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</si>
  <si>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</si>
  <si>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</si>
  <si>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</si>
  <si>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</si>
  <si>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</si>
  <si>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</si>
  <si>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</si>
  <si>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</si>
  <si>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</si>
  <si>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</si>
  <si>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</si>
  <si>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</si>
  <si>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</si>
  <si>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</si>
  <si>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</si>
  <si>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</si>
  <si>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</si>
  <si>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</si>
  <si>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</si>
  <si>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</si>
  <si>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</si>
  <si>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</si>
  <si>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</si>
  <si>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</si>
  <si>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</si>
  <si>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</si>
  <si>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</si>
  <si>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</si>
  <si>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</si>
  <si>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</si>
  <si>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</si>
  <si>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</si>
  <si>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</si>
  <si>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</si>
  <si>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</si>
  <si>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</si>
  <si>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</si>
  <si>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</si>
  <si>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</si>
  <si>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</si>
  <si>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</si>
  <si>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</si>
  <si>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</si>
  <si>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</si>
  <si>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</si>
  <si>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</si>
  <si>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</si>
  <si>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</si>
  <si>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</si>
  <si>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</si>
  <si>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</si>
  <si>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</si>
  <si>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</si>
  <si>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</si>
  <si>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</si>
  <si>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</si>
  <si>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</si>
  <si>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</si>
  <si>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</si>
  <si>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</si>
  <si>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</si>
  <si>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</si>
  <si>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</si>
  <si>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</si>
  <si>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</si>
  <si>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</si>
  <si>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</si>
  <si>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</si>
  <si>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</si>
  <si>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</si>
  <si>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</si>
  <si>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</si>
  <si>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</si>
  <si>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</si>
  <si>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</si>
  <si>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</si>
  <si>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</si>
  <si>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</si>
  <si>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</si>
  <si>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</si>
  <si>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</si>
  <si>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</si>
  <si>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</si>
  <si>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</si>
  <si>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</si>
  <si>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</si>
  <si>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</si>
  <si>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</si>
  <si>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</si>
  <si>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</si>
  <si>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</si>
  <si>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</si>
  <si>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</si>
  <si>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</si>
  <si>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</si>
  <si>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</si>
  <si>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</si>
  <si>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</si>
  <si>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</si>
  <si>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</si>
  <si>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</si>
  <si>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</si>
  <si>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</si>
  <si>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</si>
  <si>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</si>
  <si>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</si>
  <si>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</si>
  <si>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</si>
  <si>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</si>
  <si>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</si>
  <si>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</si>
  <si>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</si>
  <si>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</si>
  <si>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</si>
  <si>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</si>
  <si>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</si>
  <si>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</si>
  <si>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</si>
  <si>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</si>
  <si>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</si>
  <si>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</si>
  <si>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</si>
  <si>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</si>
  <si>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</si>
  <si>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</si>
  <si>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</si>
  <si>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</si>
  <si>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</si>
  <si>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</si>
  <si>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</si>
  <si>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</si>
  <si>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</si>
  <si>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</si>
  <si>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</si>
  <si>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</si>
  <si>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</si>
  <si>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</si>
  <si>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</si>
  <si>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</si>
  <si>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</si>
  <si>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</si>
  <si>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</si>
  <si>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</si>
  <si>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</si>
  <si>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</si>
  <si>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</si>
  <si>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</si>
  <si>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</si>
  <si>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</si>
  <si>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</si>
  <si>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</si>
  <si>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</si>
  <si>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</si>
  <si>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</si>
  <si>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</si>
  <si>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</si>
  <si>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</si>
  <si>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</si>
  <si>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</si>
  <si>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</si>
  <si>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</si>
  <si>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</si>
  <si>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</si>
  <si>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</si>
  <si>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</si>
  <si>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</si>
  <si>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</si>
  <si>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</si>
  <si>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</si>
  <si>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</si>
  <si>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</si>
  <si>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</si>
  <si>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</si>
  <si>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</si>
  <si>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</si>
  <si>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</si>
  <si>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</si>
  <si>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</si>
  <si>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</si>
  <si>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</si>
  <si>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</si>
  <si>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</si>
  <si>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</si>
  <si>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</si>
  <si>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</si>
  <si>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</si>
  <si>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</si>
  <si>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</si>
  <si>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</si>
  <si>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</si>
  <si>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</si>
  <si>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</si>
  <si>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</si>
  <si>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</si>
  <si>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</si>
  <si>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</si>
  <si>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</si>
  <si>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</si>
  <si>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</si>
  <si>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</si>
  <si>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</si>
  <si>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</si>
  <si>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</si>
  <si>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</si>
  <si>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</si>
  <si>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</si>
  <si>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</si>
  <si>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</si>
  <si>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</si>
  <si>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</si>
  <si>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</si>
  <si>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</si>
  <si>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</si>
  <si>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</si>
  <si>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</si>
  <si>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</si>
  <si>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</si>
  <si>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</si>
  <si>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</si>
  <si>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</si>
  <si>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</si>
  <si>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</si>
  <si>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</si>
  <si>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</si>
  <si>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</si>
  <si>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</si>
  <si>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</si>
  <si>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</si>
  <si>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</si>
  <si>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</si>
  <si>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</si>
  <si>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</si>
  <si>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</si>
  <si>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</si>
  <si>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</si>
  <si>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</si>
  <si>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</si>
  <si>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</si>
  <si>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</si>
  <si>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</si>
  <si>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</si>
  <si>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</si>
  <si>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</si>
  <si>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</si>
  <si>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</si>
  <si>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</si>
  <si>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</si>
  <si>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</si>
  <si>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</si>
  <si>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</si>
  <si>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</si>
  <si>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</si>
  <si>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</si>
  <si>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</si>
  <si>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</si>
  <si>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</si>
  <si>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</si>
  <si>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</si>
  <si>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</si>
  <si>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</si>
  <si>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</si>
  <si>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</si>
  <si>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</si>
  <si>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</si>
  <si>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</si>
  <si>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</si>
  <si>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</si>
  <si>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</si>
  <si>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</si>
  <si>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</si>
  <si>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</si>
  <si>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</si>
  <si>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</si>
  <si>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</si>
  <si>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</si>
  <si>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</si>
  <si>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</si>
  <si>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</si>
  <si>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</si>
  <si>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</si>
  <si>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</si>
  <si>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</si>
  <si>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</si>
  <si>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</si>
  <si>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</si>
  <si>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</si>
  <si>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</si>
  <si>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</si>
  <si>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</si>
  <si>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</si>
  <si>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</si>
  <si>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</si>
  <si>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</si>
  <si>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</si>
  <si>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</si>
  <si>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</si>
  <si>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</si>
  <si>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</si>
  <si>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</si>
  <si>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</si>
  <si>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</si>
  <si>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</si>
  <si>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</si>
  <si>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</si>
  <si>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</si>
  <si>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</si>
  <si>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</si>
  <si>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</si>
  <si>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</si>
  <si>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</si>
  <si>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</si>
  <si>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</si>
  <si>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</si>
  <si>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</si>
  <si>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</si>
  <si>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</si>
  <si>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</si>
  <si>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</si>
  <si>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</si>
  <si>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</si>
  <si>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</si>
  <si>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</si>
  <si>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</si>
  <si>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</si>
  <si>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</si>
  <si>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</si>
  <si>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</si>
  <si>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</si>
  <si>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</si>
  <si>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</si>
  <si>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</si>
  <si>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</si>
  <si>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</si>
  <si>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</si>
  <si>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</si>
  <si>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</si>
  <si>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</si>
  <si>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</si>
  <si>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</si>
  <si>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</si>
  <si>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</si>
  <si>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</si>
  <si>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</si>
  <si>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</si>
  <si>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</si>
  <si>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</si>
  <si>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</si>
  <si>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</si>
  <si>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</si>
  <si>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</si>
  <si>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</si>
  <si>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</si>
  <si>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</si>
  <si>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</si>
  <si>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</si>
  <si>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</si>
  <si>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</si>
  <si>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</si>
  <si>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</si>
  <si>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</si>
  <si>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</si>
  <si>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</si>
  <si>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</si>
  <si>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</si>
  <si>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</si>
  <si>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</si>
  <si>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</si>
  <si>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</si>
  <si>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</si>
  <si>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</si>
  <si>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</si>
  <si>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</si>
  <si>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</si>
  <si>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</si>
  <si>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</si>
  <si>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</si>
  <si>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</si>
  <si>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</si>
  <si>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</si>
  <si>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</si>
  <si>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</si>
  <si>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</si>
  <si>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</si>
  <si>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</si>
  <si>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</si>
  <si>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</si>
  <si>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</si>
  <si>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</si>
  <si>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</si>
  <si>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</si>
  <si>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</si>
  <si>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</si>
  <si>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</si>
  <si>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</si>
  <si>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</si>
  <si>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</si>
  <si>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</si>
  <si>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</si>
  <si>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</si>
  <si>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</si>
  <si>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</si>
  <si>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</si>
  <si>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</si>
  <si>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</si>
  <si>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</si>
  <si>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</si>
  <si>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</si>
  <si>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</si>
  <si>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</si>
  <si>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</si>
  <si>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</si>
  <si>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</si>
  <si>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</si>
  <si>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</si>
  <si>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</si>
  <si>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</si>
  <si>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</si>
  <si>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</si>
  <si>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</si>
  <si>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</si>
  <si>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</si>
  <si>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</si>
  <si>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</si>
  <si>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</si>
  <si>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</si>
  <si>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</si>
  <si>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</si>
  <si>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</si>
  <si>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</si>
  <si>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</si>
  <si>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</si>
  <si>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</si>
  <si>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HOPKINTON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</si>
</sst>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75" workbookViewId="0">
      <pane xSplit="5" ySplit="3" topLeftCell="F621"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263</v>
      </c>
      <c r="C2" s="21">
        <v>263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463104+243362</f>
        <v>706466</v>
      </c>
      <c r="G9" s="18">
        <v>100</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467756</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54177+17332+40608</f>
        <v>112117</v>
      </c>
      <c r="G12" s="18">
        <v>14936</v>
      </c>
      <c r="H12" s="18">
        <v>46087</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241390</v>
      </c>
      <c r="G13" s="18">
        <v>3269</v>
      </c>
      <c r="H13" s="18">
        <v>67534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25305</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31722</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1117000</v>
      </c>
      <c r="G19" s="41">
        <f>SUM(G9:G18)</f>
        <v>18305</v>
      </c>
      <c r="H19" s="41">
        <f>SUM(H9:H18)</f>
        <v>113621</v>
      </c>
      <c r="I19" s="41">
        <f>SUM(I9:I18)</f>
        <v>0</v>
      </c>
      <c r="J19" s="41">
        <f>SUM(J9:J18)</f>
        <v>467756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61024</v>
      </c>
      <c r="G22" s="18"/>
      <c r="H22" s="18">
        <v>54177</v>
      </c>
      <c r="I22" s="18"/>
      <c r="J22" s="67">
        <f>SUM(I448)</f>
        <v>57941</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99321+492</f>
        <v>99813</v>
      </c>
      <c r="G24" s="18">
        <v>1284</v>
      </c>
      <c r="H24" s="18">
        <f>9208+1866</f>
        <v>11074</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38871</f>
        <v>38871</v>
      </c>
      <c r="G28" s="18"/>
      <c r="H28" s="18">
        <v>4149</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2515+241</f>
        <v>2756</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3902</v>
      </c>
      <c r="G30" s="18">
        <v>17021</v>
      </c>
      <c r="H30" s="18">
        <v>44221</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206366</v>
      </c>
      <c r="G32" s="41">
        <f>SUM(G22:G31)</f>
        <v>18305</v>
      </c>
      <c r="H32" s="41">
        <f>SUM(H22:H31)</f>
        <v>113621</v>
      </c>
      <c r="I32" s="41">
        <f>SUM(I22:I31)</f>
        <v>0</v>
      </c>
      <c r="J32" s="41">
        <f>SUM(J22:J31)</f>
        <v>57941</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f>F17</f>
        <v>31722</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55562</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156383</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3728</v>
      </c>
      <c r="G48" s="18"/>
      <c r="H48" s="18"/>
      <c r="I48" s="18"/>
      <c r="J48" s="13">
        <f>SUM(I459)</f>
        <v>409815</v>
      </c>
      <c r="K48" s="24" t="s">
        <v>288</v>
      </c>
      <c r="L48" s="24" t="s">
        <v>288</v>
      </c>
      <c r="M48" s="8"/>
      <c r="N48" s="266"/>
    </row>
    <row r="49" spans="1:14" s="3" customFormat="1" ht="12.2" customHeight="1" x14ac:dyDescent="0.15">
      <c r="A49" s="1" t="s">
        <v>859</v>
      </c>
      <c r="B49" s="2" t="s">
        <v>289</v>
      </c>
      <c r="C49" s="6">
        <v>34</v>
      </c>
      <c r="D49" s="2"/>
      <c r="E49" s="6">
        <v>753</v>
      </c>
      <c r="F49" s="18">
        <v>23604</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639635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910634</v>
      </c>
      <c r="G51" s="41">
        <f>SUM(G35:G50)</f>
        <v>0</v>
      </c>
      <c r="H51" s="41">
        <f>SUM(H35:H50)</f>
        <v>0</v>
      </c>
      <c r="I51" s="41">
        <f>SUM(I35:I50)</f>
        <v>0</v>
      </c>
      <c r="J51" s="41">
        <f>SUM(J35:J50)</f>
        <v>409815</v>
      </c>
      <c r="K51" s="45" t="s">
        <v>288</v>
      </c>
      <c r="L51" s="45" t="s">
        <v>288</v>
      </c>
      <c r="N51" s="264"/>
    </row>
    <row r="52" spans="1:14" s="3" customFormat="1" ht="12.2" customHeight="1" thickTop="1" x14ac:dyDescent="0.15">
      <c r="A52" s="38" t="s">
        <v>455</v>
      </c>
      <c r="B52" s="39" t="s">
        <v>289</v>
      </c>
      <c r="C52" s="6">
        <v>37</v>
      </c>
      <c r="D52" s="39" t="s">
        <v>653</v>
      </c>
      <c r="E52" s="39"/>
      <c r="F52" s="41">
        <f>F51+F32</f>
        <v>1117000</v>
      </c>
      <c r="G52" s="41">
        <f>G51+G32</f>
        <v>18305</v>
      </c>
      <c r="H52" s="41">
        <f>H51+H32</f>
        <v>113621</v>
      </c>
      <c r="I52" s="41">
        <f>I51+I32</f>
        <v>0</v>
      </c>
      <c r="J52" s="41">
        <f>J51+J32</f>
        <v>467756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13646801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13646801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26094+50820</f>
        <v>76914</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1775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78689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12227</v>
      </c>
      <c r="G96" s="18"/>
      <c r="H96" s="18"/>
      <c r="I96" s="18"/>
      <c r="J96" s="18">
        <v>7458</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133891+18225+565+90210+190+2</f>
        <v>243083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f>33585+10518</f>
        <v>44103</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3157</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45730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350</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878</v>
      </c>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27224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11041+26517-3</f>
        <v>37555</v>
      </c>
      <c r="G110" s="18">
        <v>6919</v>
      </c>
      <c r="H110" s="18">
        <v>11194</v>
      </c>
      <c r="I110" s="18">
        <v>95000</v>
      </c>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125494</v>
      </c>
      <c r="G111" s="41">
        <f>SUM(G96:G110)</f>
        <v>250002</v>
      </c>
      <c r="H111" s="41">
        <f>SUM(H96:H110)</f>
        <v>56924</v>
      </c>
      <c r="I111" s="41">
        <f>SUM(I96:I110)</f>
        <v>95000</v>
      </c>
      <c r="J111" s="41">
        <f>SUM(J96:J110)</f>
        <v>7458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13850984</v>
      </c>
      <c r="G112" s="41">
        <f>G60+G111</f>
        <v>250002</v>
      </c>
      <c r="H112" s="41">
        <f>H60+H79+H94+H111</f>
        <v>56924</v>
      </c>
      <c r="I112" s="41">
        <f>I60+I111</f>
        <v>95000</v>
      </c>
      <c r="J112" s="41">
        <f>J60+J111</f>
        <v>7458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2363545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1410714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7020</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3781279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71229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163830</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5024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3245+586</f>
        <v>3831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f>306148-7020</f>
        <v>299128</v>
      </c>
      <c r="G135" s="18"/>
      <c r="H135" s="18">
        <v>2424</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539211</v>
      </c>
      <c r="G136" s="41">
        <f>SUM(G123:G135)</f>
        <v>3831</v>
      </c>
      <c r="H136" s="41">
        <f>SUM(H123:H135)</f>
        <v>2424</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4320490</v>
      </c>
      <c r="G140" s="41">
        <f>G121+SUM(G136:G137)</f>
        <v>3831</v>
      </c>
      <c r="H140" s="41">
        <f>H121+SUM(H136:H139)</f>
        <v>2424</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162756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57830+152+15657</f>
        <v>73639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233449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183121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183121</v>
      </c>
      <c r="G162" s="41">
        <f>SUM(G150:G161)</f>
        <v>73639</v>
      </c>
      <c r="H162" s="41">
        <f>SUM(H150:H161)</f>
        <v>396205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183121</v>
      </c>
      <c r="G169" s="41">
        <f>G147+G162+SUM(G163:G168)</f>
        <v>73639</v>
      </c>
      <c r="H169" s="41">
        <f>H147+H162+SUM(H163:H168)</f>
        <v>396205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101471</v>
      </c>
      <c r="H179" s="18">
        <v>2568</v>
      </c>
      <c r="I179" s="18"/>
      <c r="J179" s="18">
        <v>10000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v>405</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405</v>
      </c>
      <c r="G183" s="41">
        <f>SUM(G179:G182)</f>
        <v>101471</v>
      </c>
      <c r="H183" s="41">
        <f>SUM(H179:H182)</f>
        <v>2568</v>
      </c>
      <c r="I183" s="41">
        <f>SUM(I179:I182)</f>
        <v>0</v>
      </c>
      <c r="J183" s="41">
        <f>SUM(J179:J182)</f>
        <v>10000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75462</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75462</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75867</v>
      </c>
      <c r="G192" s="41">
        <f>G183+SUM(G188:G191)</f>
        <v>101471</v>
      </c>
      <c r="H192" s="41">
        <f>+H183+SUM(H188:H191)</f>
        <v>2568</v>
      </c>
      <c r="I192" s="41">
        <f>I177+I183+SUM(I188:I191)</f>
        <v>0</v>
      </c>
      <c r="J192" s="41">
        <f>J183</f>
        <v>10000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18430462</v>
      </c>
      <c r="G193" s="47">
        <f>G112+G140+G169+G192</f>
        <v>428943</v>
      </c>
      <c r="H193" s="47">
        <f>H112+H140+H169+H192</f>
        <v>458121</v>
      </c>
      <c r="I193" s="47">
        <f>I112+I140+I169+I192</f>
        <v>95000</v>
      </c>
      <c r="J193" s="47">
        <f>J112+J140+J192</f>
        <v>17458</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1404413+1002227+40365+1</f>
        <v>2447006</v>
      </c>
      <c r="G197" s="18">
        <f>668131+564476+10351</f>
        <v>1242958</v>
      </c>
      <c r="H197" s="18">
        <f>760+254+9570</f>
        <v>10584</v>
      </c>
      <c r="I197" s="18">
        <f>39559+15354+3038</f>
        <v>57951</v>
      </c>
      <c r="J197" s="18">
        <f>2769+1228+5068</f>
        <v>9065</v>
      </c>
      <c r="K197" s="18">
        <f>899+38+910</f>
        <v>1847</v>
      </c>
      <c r="L197" s="19">
        <f>SUM(F197:K197)</f>
        <v>3769411</v>
      </c>
      <c r="M197" s="8"/>
      <c r="N197" s="266"/>
    </row>
    <row r="198" spans="1:14" s="3" customFormat="1" ht="12.2" customHeight="1" x14ac:dyDescent="0.15">
      <c r="A198" s="1" t="s">
        <v>439</v>
      </c>
      <c r="B198" s="2" t="s">
        <v>341</v>
      </c>
      <c r="C198" s="2" t="s">
        <v>291</v>
      </c>
      <c r="D198" s="2" t="s">
        <v>431</v>
      </c>
      <c r="E198" s="6">
        <v>1200</v>
      </c>
      <c r="F198" s="18">
        <f>718556+605808+53635</f>
        <v>1377999</v>
      </c>
      <c r="G198" s="18">
        <f>300953+222568+14280+1</f>
        <v>537802</v>
      </c>
      <c r="H198" s="18">
        <f>63390+213673</f>
        <v>277063</v>
      </c>
      <c r="I198" s="18">
        <f>1483+1437+6681</f>
        <v>9601</v>
      </c>
      <c r="J198" s="18">
        <v>40</v>
      </c>
      <c r="K198" s="18">
        <v>616</v>
      </c>
      <c r="L198" s="19">
        <f>SUM(F198:K198)</f>
        <v>2203121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2522+6784</f>
        <v>9306</v>
      </c>
      <c r="G200" s="18">
        <f>1447+640</f>
        <v>2087</v>
      </c>
      <c r="H200" s="18"/>
      <c r="I200" s="18"/>
      <c r="J200" s="18"/>
      <c r="K200" s="18"/>
      <c r="L200" s="19">
        <f>SUM(F200:K200)</f>
        <v>11393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231708+163370+81651</f>
        <v>476729</v>
      </c>
      <c r="G202" s="18">
        <f>112441+100069+24634</f>
        <v>237144</v>
      </c>
      <c r="H202" s="18">
        <f>182+72+130217+310+4</f>
        <v>130785</v>
      </c>
      <c r="I202" s="18">
        <f>2039+3332+1253</f>
        <v>6624</v>
      </c>
      <c r="J202" s="18">
        <f>32+195+299</f>
        <v>526</v>
      </c>
      <c r="K202" s="18"/>
      <c r="L202" s="19">
        <f t="shared" ref="L202:L208" si="0">SUM(F202:K202)</f>
        <v>851808</v>
      </c>
      <c r="M202" s="8"/>
      <c r="N202" s="266"/>
    </row>
    <row r="203" spans="1:14" s="3" customFormat="1" ht="12.2" customHeight="1" x14ac:dyDescent="0.15">
      <c r="A203" s="1" t="s">
        <v>443</v>
      </c>
      <c r="B203" s="2" t="s">
        <v>341</v>
      </c>
      <c r="C203" s="2" t="s">
        <v>295</v>
      </c>
      <c r="D203" s="2" t="s">
        <v>431</v>
      </c>
      <c r="E203" s="6">
        <v>2200</v>
      </c>
      <c r="F203" s="18">
        <f>101573+90707+15850</f>
        <v>208130</v>
      </c>
      <c r="G203" s="18">
        <f>24718+35110+5937</f>
        <v>65765</v>
      </c>
      <c r="H203" s="18">
        <f>12531+27984+1475+7211+25259+2</f>
        <v>74462</v>
      </c>
      <c r="I203" s="18">
        <f>7670+13257+11896</f>
        <v>32823</v>
      </c>
      <c r="J203" s="18">
        <f>10091+20995+20070</f>
        <v>51156</v>
      </c>
      <c r="K203" s="18">
        <f>1177+1176+9733-1</f>
        <v>12085</v>
      </c>
      <c r="L203" s="19">
        <f t="shared" si="0"/>
        <v>444421</v>
      </c>
      <c r="M203" s="8"/>
      <c r="N203" s="266"/>
    </row>
    <row r="204" spans="1:14" s="3" customFormat="1" ht="12.2" customHeight="1" x14ac:dyDescent="0.15">
      <c r="A204" s="1" t="s">
        <v>444</v>
      </c>
      <c r="B204" s="2" t="s">
        <v>341</v>
      </c>
      <c r="C204" s="2" t="s">
        <v>296</v>
      </c>
      <c r="D204" s="2" t="s">
        <v>431</v>
      </c>
      <c r="E204" s="6">
        <v>2300</v>
      </c>
      <c r="F204" s="18">
        <v>178896</v>
      </c>
      <c r="G204" s="18">
        <v>79644</v>
      </c>
      <c r="H204" s="18">
        <f>26083+845+8709</f>
        <v>35637</v>
      </c>
      <c r="I204" s="18">
        <v>8423</v>
      </c>
      <c r="J204" s="18"/>
      <c r="K204" s="18">
        <v>9558</v>
      </c>
      <c r="L204" s="19">
        <f t="shared" si="0"/>
        <v>312158</v>
      </c>
      <c r="M204" s="8"/>
      <c r="N204" s="266"/>
    </row>
    <row r="205" spans="1:14" s="3" customFormat="1" ht="12.2" customHeight="1" x14ac:dyDescent="0.15">
      <c r="A205" s="1" t="s">
        <v>445</v>
      </c>
      <c r="B205" s="2" t="s">
        <v>341</v>
      </c>
      <c r="C205" s="2" t="s">
        <v>297</v>
      </c>
      <c r="D205" s="2" t="s">
        <v>431</v>
      </c>
      <c r="E205" s="6">
        <v>2400</v>
      </c>
      <c r="F205" s="18">
        <f>137380+129560</f>
        <v>266940</v>
      </c>
      <c r="G205" s="18">
        <f>80316+75037</f>
        <v>155353</v>
      </c>
      <c r="H205" s="18">
        <f>6755+8429</f>
        <v>15184</v>
      </c>
      <c r="I205" s="18">
        <v>650</v>
      </c>
      <c r="J205" s="18"/>
      <c r="K205" s="18">
        <f>1074+984</f>
        <v>2058</v>
      </c>
      <c r="L205" s="19">
        <f t="shared" si="0"/>
        <v>440185</v>
      </c>
      <c r="M205" s="8"/>
      <c r="N205" s="266"/>
    </row>
    <row r="206" spans="1:14" s="3" customFormat="1" ht="12.2" customHeight="1" x14ac:dyDescent="0.15">
      <c r="A206" s="1" t="s">
        <v>446</v>
      </c>
      <c r="B206" s="2" t="s">
        <v>341</v>
      </c>
      <c r="C206" s="2" t="s">
        <v>298</v>
      </c>
      <c r="D206" s="2" t="s">
        <v>431</v>
      </c>
      <c r="E206" s="6">
        <v>2500</v>
      </c>
      <c r="F206" s="18">
        <v>110020</v>
      </c>
      <c r="G206" s="18">
        <v>47471</v>
      </c>
      <c r="H206" s="18">
        <v>4368</v>
      </c>
      <c r="I206" s="18">
        <v>10858</v>
      </c>
      <c r="J206" s="18"/>
      <c r="K206" s="18"/>
      <c r="L206" s="19">
        <f t="shared" si="0"/>
        <v>172717</v>
      </c>
      <c r="M206" s="8"/>
      <c r="N206" s="266"/>
    </row>
    <row r="207" spans="1:14" s="3" customFormat="1" ht="12.2" customHeight="1" x14ac:dyDescent="0.15">
      <c r="A207" s="1" t="s">
        <v>447</v>
      </c>
      <c r="B207" s="2" t="s">
        <v>341</v>
      </c>
      <c r="C207" s="2" t="s">
        <v>299</v>
      </c>
      <c r="D207" s="2" t="s">
        <v>431</v>
      </c>
      <c r="E207" s="6">
        <v>2600</v>
      </c>
      <c r="F207" s="18">
        <f>94191+87930+49317</f>
        <v>231438</v>
      </c>
      <c r="G207" s="18">
        <f>57016+34059+25221</f>
        <v>116296</v>
      </c>
      <c r="H207" s="18">
        <f>28008+42601+8353+4902+25479</f>
        <v>109343</v>
      </c>
      <c r="I207" s="18">
        <f>72218+73703+1+7882</f>
        <v>153804</v>
      </c>
      <c r="J207" s="18">
        <f>99094+103178+61560</f>
        <v>263832</v>
      </c>
      <c r="K207" s="18"/>
      <c r="L207" s="19">
        <f t="shared" si="0"/>
        <v>874713</v>
      </c>
      <c r="M207" s="8"/>
      <c r="N207" s="266"/>
    </row>
    <row r="208" spans="1:14" s="3" customFormat="1" ht="12.2" customHeight="1" x14ac:dyDescent="0.15">
      <c r="A208" s="1" t="s">
        <v>448</v>
      </c>
      <c r="B208" s="2" t="s">
        <v>341</v>
      </c>
      <c r="C208" s="2" t="s">
        <v>300</v>
      </c>
      <c r="D208" s="2" t="s">
        <v>431</v>
      </c>
      <c r="E208" s="6">
        <v>2700</v>
      </c>
      <c r="F208" s="18">
        <f>1514+1295+20526</f>
        <v>23335</v>
      </c>
      <c r="G208" s="18">
        <f>104+255+16990</f>
        <v>17349</v>
      </c>
      <c r="H208" s="18">
        <f>1640+1500+3737+265443</f>
        <v>272320</v>
      </c>
      <c r="I208" s="18">
        <v>3427</v>
      </c>
      <c r="J208" s="18">
        <v>227</v>
      </c>
      <c r="K208" s="18">
        <v>170</v>
      </c>
      <c r="L208" s="19">
        <f t="shared" si="0"/>
        <v>316828</v>
      </c>
      <c r="M208" s="8"/>
      <c r="N208" s="266"/>
    </row>
    <row r="209" spans="1:14" s="3" customFormat="1" ht="12.2" customHeight="1" x14ac:dyDescent="0.15">
      <c r="A209" s="1" t="s">
        <v>449</v>
      </c>
      <c r="B209" s="2" t="s">
        <v>341</v>
      </c>
      <c r="C209" s="2" t="s">
        <v>343</v>
      </c>
      <c r="D209" s="2" t="s">
        <v>431</v>
      </c>
      <c r="E209" s="6">
        <v>2800</v>
      </c>
      <c r="F209" s="18">
        <f>97744+2</f>
        <v>97746</v>
      </c>
      <c r="G209" s="18">
        <v>41781</v>
      </c>
      <c r="H209" s="18">
        <f>39+198+2470+1</f>
        <v>2708</v>
      </c>
      <c r="I209" s="18">
        <v>19</v>
      </c>
      <c r="J209" s="18">
        <v>295</v>
      </c>
      <c r="K209" s="18">
        <v>6390</v>
      </c>
      <c r="L209" s="19">
        <f>SUM(F209:K209)</f>
        <v>148939</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5427545</v>
      </c>
      <c r="G211" s="41">
        <f t="shared" si="1"/>
        <v>2543650</v>
      </c>
      <c r="H211" s="41">
        <f t="shared" si="1"/>
        <v>932454</v>
      </c>
      <c r="I211" s="41">
        <f t="shared" si="1"/>
        <v>284180</v>
      </c>
      <c r="J211" s="41">
        <f t="shared" si="1"/>
        <v>325141</v>
      </c>
      <c r="K211" s="41">
        <f t="shared" si="1"/>
        <v>32724</v>
      </c>
      <c r="L211" s="41">
        <f t="shared" si="1"/>
        <v>9545694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824180+13669</f>
        <v>837849</v>
      </c>
      <c r="G215" s="18">
        <f>407238+3378</f>
        <v>410616</v>
      </c>
      <c r="H215" s="18">
        <f>1257+3129</f>
        <v>4386</v>
      </c>
      <c r="I215" s="18">
        <f>13208+993</f>
        <v>14201</v>
      </c>
      <c r="J215" s="18">
        <f>1809+1657</f>
        <v>3466</v>
      </c>
      <c r="K215" s="18">
        <f>490+298</f>
        <v>788</v>
      </c>
      <c r="L215" s="19">
        <f>SUM(F215:K215)</f>
        <v>1271306</v>
      </c>
      <c r="M215" s="8"/>
      <c r="N215" s="266"/>
    </row>
    <row r="216" spans="1:14" s="3" customFormat="1" ht="12.2" customHeight="1" x14ac:dyDescent="0.15">
      <c r="A216" s="1" t="s">
        <v>439</v>
      </c>
      <c r="B216" s="2" t="s">
        <v>346</v>
      </c>
      <c r="C216" s="2" t="s">
        <v>291</v>
      </c>
      <c r="D216" s="2" t="s">
        <v>431</v>
      </c>
      <c r="E216" s="6">
        <v>1200</v>
      </c>
      <c r="F216" s="18">
        <f>327166+12190</f>
        <v>339356</v>
      </c>
      <c r="G216" s="18">
        <f>152986+3245</f>
        <v>156231</v>
      </c>
      <c r="H216" s="18">
        <f>8905+60526</f>
        <v>69431</v>
      </c>
      <c r="I216" s="18">
        <f>238+1518</f>
        <v>1756</v>
      </c>
      <c r="J216" s="18">
        <v>108</v>
      </c>
      <c r="K216" s="18">
        <v>140</v>
      </c>
      <c r="L216" s="19">
        <f>SUM(F216:K216)</f>
        <v>567022</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47554</v>
      </c>
      <c r="G218" s="18">
        <v>7155</v>
      </c>
      <c r="H218" s="18">
        <v>9517</v>
      </c>
      <c r="I218" s="18">
        <v>2979</v>
      </c>
      <c r="J218" s="18">
        <v>2274</v>
      </c>
      <c r="K218" s="18"/>
      <c r="L218" s="19">
        <f>SUM(F218:K218)</f>
        <v>69479</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72456+18557</f>
        <v>91013</v>
      </c>
      <c r="G220" s="18">
        <f>35664+5599</f>
        <v>41263</v>
      </c>
      <c r="H220" s="18">
        <f>15718+70</f>
        <v>15788</v>
      </c>
      <c r="I220" s="18">
        <f>544+279</f>
        <v>823</v>
      </c>
      <c r="J220" s="18"/>
      <c r="K220" s="18"/>
      <c r="L220" s="19">
        <f t="shared" ref="L220:L226" si="2">SUM(F220:K220)</f>
        <v>148887</v>
      </c>
      <c r="M220" s="8"/>
      <c r="N220" s="266"/>
    </row>
    <row r="221" spans="1:14" s="3" customFormat="1" ht="12.2" customHeight="1" x14ac:dyDescent="0.15">
      <c r="A221" s="1" t="s">
        <v>443</v>
      </c>
      <c r="B221" s="2" t="s">
        <v>346</v>
      </c>
      <c r="C221" s="2" t="s">
        <v>295</v>
      </c>
      <c r="D221" s="2" t="s">
        <v>431</v>
      </c>
      <c r="E221" s="6">
        <v>2200</v>
      </c>
      <c r="F221" s="18">
        <f>28772+5182</f>
        <v>33954</v>
      </c>
      <c r="G221" s="18">
        <f>14649+1941</f>
        <v>16590</v>
      </c>
      <c r="H221" s="18">
        <f>9169+482+2358+8257</f>
        <v>20266</v>
      </c>
      <c r="I221" s="18">
        <f>7516+3889</f>
        <v>11405</v>
      </c>
      <c r="J221" s="18">
        <f>4575+6561</f>
        <v>11136</v>
      </c>
      <c r="K221" s="18">
        <f>1429+3182</f>
        <v>4611</v>
      </c>
      <c r="L221" s="19">
        <f t="shared" si="2"/>
        <v>97962</v>
      </c>
      <c r="M221" s="8"/>
      <c r="N221" s="266"/>
    </row>
    <row r="222" spans="1:14" s="3" customFormat="1" ht="12.2" customHeight="1" x14ac:dyDescent="0.15">
      <c r="A222" s="1" t="s">
        <v>444</v>
      </c>
      <c r="B222" s="2" t="s">
        <v>346</v>
      </c>
      <c r="C222" s="2" t="s">
        <v>296</v>
      </c>
      <c r="D222" s="2" t="s">
        <v>431</v>
      </c>
      <c r="E222" s="6">
        <v>2300</v>
      </c>
      <c r="F222" s="18">
        <v>58773</v>
      </c>
      <c r="G222" s="18">
        <v>26165</v>
      </c>
      <c r="H222" s="18">
        <f>8569+278+2861</f>
        <v>11708</v>
      </c>
      <c r="I222" s="18">
        <v>2767</v>
      </c>
      <c r="J222" s="18"/>
      <c r="K222" s="18">
        <f>3140</f>
        <v>3140</v>
      </c>
      <c r="L222" s="19">
        <f t="shared" si="2"/>
        <v>102553</v>
      </c>
      <c r="M222" s="8"/>
      <c r="N222" s="266"/>
    </row>
    <row r="223" spans="1:14" s="3" customFormat="1" ht="12.2" customHeight="1" x14ac:dyDescent="0.15">
      <c r="A223" s="1" t="s">
        <v>445</v>
      </c>
      <c r="B223" s="2" t="s">
        <v>346</v>
      </c>
      <c r="C223" s="2" t="s">
        <v>297</v>
      </c>
      <c r="D223" s="2" t="s">
        <v>431</v>
      </c>
      <c r="E223" s="6">
        <v>2400</v>
      </c>
      <c r="F223" s="18">
        <v>95358</v>
      </c>
      <c r="G223" s="18">
        <v>41311</v>
      </c>
      <c r="H223" s="18">
        <v>4315</v>
      </c>
      <c r="I223" s="18">
        <v>693</v>
      </c>
      <c r="J223" s="18">
        <v>284</v>
      </c>
      <c r="K223" s="18">
        <v>838</v>
      </c>
      <c r="L223" s="19">
        <f t="shared" si="2"/>
        <v>142799</v>
      </c>
      <c r="M223" s="8"/>
      <c r="N223" s="266"/>
    </row>
    <row r="224" spans="1:14" s="3" customFormat="1" ht="12.2" customHeight="1" x14ac:dyDescent="0.15">
      <c r="A224" s="1" t="s">
        <v>446</v>
      </c>
      <c r="B224" s="2" t="s">
        <v>346</v>
      </c>
      <c r="C224" s="2" t="s">
        <v>298</v>
      </c>
      <c r="D224" s="2" t="s">
        <v>431</v>
      </c>
      <c r="E224" s="6">
        <v>2500</v>
      </c>
      <c r="F224" s="18">
        <v>35968</v>
      </c>
      <c r="G224" s="18">
        <v>15519</v>
      </c>
      <c r="H224" s="18">
        <v>1428</v>
      </c>
      <c r="I224" s="18">
        <v>3550</v>
      </c>
      <c r="J224" s="18"/>
      <c r="K224" s="18"/>
      <c r="L224" s="19">
        <f t="shared" si="2"/>
        <v>56465</v>
      </c>
      <c r="M224" s="8"/>
      <c r="N224" s="266"/>
    </row>
    <row r="225" spans="1:14" s="3" customFormat="1" ht="12.2" customHeight="1" x14ac:dyDescent="0.15">
      <c r="A225" s="1" t="s">
        <v>447</v>
      </c>
      <c r="B225" s="2" t="s">
        <v>346</v>
      </c>
      <c r="C225" s="2" t="s">
        <v>299</v>
      </c>
      <c r="D225" s="2" t="s">
        <v>431</v>
      </c>
      <c r="E225" s="6">
        <v>2600</v>
      </c>
      <c r="F225" s="18">
        <f>20417+16123</f>
        <v>36540</v>
      </c>
      <c r="G225" s="18">
        <f>18597+8245</f>
        <v>26842</v>
      </c>
      <c r="H225" s="18">
        <f>16517+2731+1602+8330</f>
        <v>29180</v>
      </c>
      <c r="I225" s="18">
        <f>44286+2577</f>
        <v>46863</v>
      </c>
      <c r="J225" s="18">
        <f>37951+20125</f>
        <v>58076</v>
      </c>
      <c r="K225" s="18"/>
      <c r="L225" s="19">
        <f t="shared" si="2"/>
        <v>197501</v>
      </c>
      <c r="M225" s="8"/>
      <c r="N225" s="266"/>
    </row>
    <row r="226" spans="1:14" s="3" customFormat="1" ht="12.2" customHeight="1" x14ac:dyDescent="0.15">
      <c r="A226" s="1" t="s">
        <v>448</v>
      </c>
      <c r="B226" s="2" t="s">
        <v>346</v>
      </c>
      <c r="C226" s="2" t="s">
        <v>300</v>
      </c>
      <c r="D226" s="2" t="s">
        <v>431</v>
      </c>
      <c r="E226" s="6">
        <v>2700</v>
      </c>
      <c r="F226" s="18">
        <v>4669</v>
      </c>
      <c r="G226" s="18">
        <v>3862</v>
      </c>
      <c r="H226" s="18">
        <f>17577+1071+95436</f>
        <v>114084</v>
      </c>
      <c r="I226" s="18">
        <v>834</v>
      </c>
      <c r="J226" s="18">
        <v>74</v>
      </c>
      <c r="K226" s="18">
        <v>39</v>
      </c>
      <c r="L226" s="19">
        <f t="shared" si="2"/>
        <v>123562</v>
      </c>
      <c r="M226" s="8"/>
      <c r="N226" s="266"/>
    </row>
    <row r="227" spans="1:14" s="3" customFormat="1" ht="12.2" customHeight="1" x14ac:dyDescent="0.15">
      <c r="A227" s="1" t="s">
        <v>449</v>
      </c>
      <c r="B227" s="2" t="s">
        <v>346</v>
      </c>
      <c r="C227" s="2" t="s">
        <v>343</v>
      </c>
      <c r="D227" s="2" t="s">
        <v>431</v>
      </c>
      <c r="E227" s="6">
        <v>2800</v>
      </c>
      <c r="F227" s="18">
        <v>31955</v>
      </c>
      <c r="G227" s="18">
        <v>13659</v>
      </c>
      <c r="H227" s="18">
        <f>13+65+807</f>
        <v>885</v>
      </c>
      <c r="I227" s="18">
        <v>6</v>
      </c>
      <c r="J227" s="18">
        <v>97</v>
      </c>
      <c r="K227" s="18">
        <v>2089</v>
      </c>
      <c r="L227" s="19">
        <f>SUM(F227:K227)</f>
        <v>48691</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1612989</v>
      </c>
      <c r="G229" s="41">
        <f>SUM(G215:G228)</f>
        <v>759213</v>
      </c>
      <c r="H229" s="41">
        <f>SUM(H215:H228)</f>
        <v>280988</v>
      </c>
      <c r="I229" s="41">
        <f>SUM(I215:I228)</f>
        <v>85877</v>
      </c>
      <c r="J229" s="41">
        <f>SUM(J215:J228)</f>
        <v>75515</v>
      </c>
      <c r="K229" s="41">
        <f t="shared" si="3"/>
        <v>11645</v>
      </c>
      <c r="L229" s="41">
        <f t="shared" si="3"/>
        <v>2826227</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1597896+28167</f>
        <v>1626063</v>
      </c>
      <c r="G233" s="18">
        <f>763530+6894+1</f>
        <v>770425</v>
      </c>
      <c r="H233" s="18">
        <f>7963+1170+5705</f>
        <v>14838</v>
      </c>
      <c r="I233" s="18">
        <f>27788+1811</f>
        <v>29599</v>
      </c>
      <c r="J233" s="18">
        <f>8848+3021</f>
        <v>11869</v>
      </c>
      <c r="K233" s="18">
        <f>520+542</f>
        <v>1062</v>
      </c>
      <c r="L233" s="19">
        <f>SUM(F233:K233)</f>
        <v>2453856</v>
      </c>
      <c r="M233" s="8"/>
      <c r="N233" s="266"/>
    </row>
    <row r="234" spans="1:14" s="3" customFormat="1" ht="12.2" customHeight="1" x14ac:dyDescent="0.15">
      <c r="A234" s="1" t="s">
        <v>439</v>
      </c>
      <c r="B234" s="2" t="s">
        <v>350</v>
      </c>
      <c r="C234" s="2" t="s">
        <v>291</v>
      </c>
      <c r="D234" s="2" t="s">
        <v>431</v>
      </c>
      <c r="E234" s="6">
        <v>1200</v>
      </c>
      <c r="F234" s="18">
        <f>320289+15440</f>
        <v>335729</v>
      </c>
      <c r="G234" s="18">
        <f>148414+4111</f>
        <v>152525</v>
      </c>
      <c r="H234" s="18">
        <f>1959+349102</f>
        <v>351061</v>
      </c>
      <c r="I234" s="18">
        <f>83+1923</f>
        <v>2006</v>
      </c>
      <c r="J234" s="18">
        <v>206</v>
      </c>
      <c r="K234" s="18">
        <v>177</v>
      </c>
      <c r="L234" s="19">
        <f>SUM(F234:K234)</f>
        <v>841704</v>
      </c>
      <c r="M234" s="8"/>
      <c r="N234" s="266"/>
    </row>
    <row r="235" spans="1:14" s="3" customFormat="1" ht="12.2" customHeight="1" x14ac:dyDescent="0.15">
      <c r="A235" s="1" t="s">
        <v>440</v>
      </c>
      <c r="B235" s="2" t="s">
        <v>350</v>
      </c>
      <c r="C235" s="2" t="s">
        <v>292</v>
      </c>
      <c r="D235" s="2" t="s">
        <v>431</v>
      </c>
      <c r="E235" s="6">
        <v>1300</v>
      </c>
      <c r="F235" s="18"/>
      <c r="G235" s="18"/>
      <c r="H235" s="18">
        <v>25823</v>
      </c>
      <c r="I235" s="18"/>
      <c r="J235" s="18"/>
      <c r="K235" s="18"/>
      <c r="L235" s="19">
        <f>SUM(F235:K235)</f>
        <v>25823</v>
      </c>
      <c r="M235" s="8"/>
      <c r="N235" s="266"/>
    </row>
    <row r="236" spans="1:14" s="3" customFormat="1" ht="12.2" customHeight="1" x14ac:dyDescent="0.15">
      <c r="A236" s="1" t="s">
        <v>441</v>
      </c>
      <c r="B236" s="2" t="s">
        <v>350</v>
      </c>
      <c r="C236" s="2" t="s">
        <v>293</v>
      </c>
      <c r="D236" s="2" t="s">
        <v>431</v>
      </c>
      <c r="E236" s="6">
        <v>1400</v>
      </c>
      <c r="F236" s="18">
        <v>181822</v>
      </c>
      <c r="G236" s="18">
        <v>28998</v>
      </c>
      <c r="H236" s="18">
        <v>87417</v>
      </c>
      <c r="I236" s="18">
        <v>8230</v>
      </c>
      <c r="J236" s="18">
        <v>4845</v>
      </c>
      <c r="K236" s="18">
        <f>11170-1</f>
        <v>11169</v>
      </c>
      <c r="L236" s="19">
        <f>SUM(F236:K236)</f>
        <v>322481</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256992+23505</f>
        <v>280497</v>
      </c>
      <c r="G238" s="18">
        <f>113974+7091</f>
        <v>121065</v>
      </c>
      <c r="H238" s="18">
        <f>31540+89</f>
        <v>31629</v>
      </c>
      <c r="I238" s="18">
        <f>3027+354</f>
        <v>3381</v>
      </c>
      <c r="J238" s="18">
        <v>670</v>
      </c>
      <c r="K238" s="18">
        <v>1604</v>
      </c>
      <c r="L238" s="19">
        <f t="shared" ref="L238:L244" si="4">SUM(F238:K238)</f>
        <v>438846</v>
      </c>
      <c r="M238" s="8"/>
      <c r="N238" s="266"/>
    </row>
    <row r="239" spans="1:14" s="3" customFormat="1" ht="12.2" customHeight="1" x14ac:dyDescent="0.15">
      <c r="A239" s="1" t="s">
        <v>443</v>
      </c>
      <c r="B239" s="2" t="s">
        <v>350</v>
      </c>
      <c r="C239" s="2" t="s">
        <v>295</v>
      </c>
      <c r="D239" s="2" t="s">
        <v>431</v>
      </c>
      <c r="E239" s="6">
        <v>2200</v>
      </c>
      <c r="F239" s="18">
        <f>67223+9449</f>
        <v>76672</v>
      </c>
      <c r="G239" s="18">
        <f>34209+3539</f>
        <v>37748</v>
      </c>
      <c r="H239" s="18">
        <f>24818+879+4299+15058+1</f>
        <v>45055</v>
      </c>
      <c r="I239" s="18">
        <f>18539+7092</f>
        <v>25631</v>
      </c>
      <c r="J239" s="18">
        <f>14847+11965</f>
        <v>26812</v>
      </c>
      <c r="K239" s="18">
        <f>3334+5803</f>
        <v>9137</v>
      </c>
      <c r="L239" s="19">
        <f t="shared" si="4"/>
        <v>221055</v>
      </c>
      <c r="M239" s="8"/>
      <c r="N239" s="266"/>
    </row>
    <row r="240" spans="1:14" s="3" customFormat="1" ht="12.2" customHeight="1" x14ac:dyDescent="0.15">
      <c r="A240" s="1" t="s">
        <v>444</v>
      </c>
      <c r="B240" s="2" t="s">
        <v>350</v>
      </c>
      <c r="C240" s="2" t="s">
        <v>296</v>
      </c>
      <c r="D240" s="2" t="s">
        <v>431</v>
      </c>
      <c r="E240" s="6">
        <v>2300</v>
      </c>
      <c r="F240" s="18">
        <v>107359</v>
      </c>
      <c r="G240" s="18">
        <v>47796</v>
      </c>
      <c r="H240" s="18">
        <f>15653+507+5226</f>
        <v>21386</v>
      </c>
      <c r="I240" s="18">
        <v>5055</v>
      </c>
      <c r="J240" s="18"/>
      <c r="K240" s="18">
        <v>5736</v>
      </c>
      <c r="L240" s="19">
        <f t="shared" si="4"/>
        <v>187332</v>
      </c>
      <c r="M240" s="8"/>
      <c r="N240" s="266"/>
    </row>
    <row r="241" spans="1:14" s="3" customFormat="1" ht="12.2" customHeight="1" x14ac:dyDescent="0.15">
      <c r="A241" s="1" t="s">
        <v>445</v>
      </c>
      <c r="B241" s="2" t="s">
        <v>350</v>
      </c>
      <c r="C241" s="2" t="s">
        <v>297</v>
      </c>
      <c r="D241" s="2" t="s">
        <v>431</v>
      </c>
      <c r="E241" s="6">
        <v>2400</v>
      </c>
      <c r="F241" s="18">
        <v>197856</v>
      </c>
      <c r="G241" s="18">
        <v>90333</v>
      </c>
      <c r="H241" s="18">
        <v>10912</v>
      </c>
      <c r="I241" s="18">
        <v>12097</v>
      </c>
      <c r="J241" s="18">
        <v>663</v>
      </c>
      <c r="K241" s="18">
        <v>1620</v>
      </c>
      <c r="L241" s="19">
        <f t="shared" si="4"/>
        <v>313481</v>
      </c>
      <c r="M241" s="8"/>
      <c r="N241" s="266"/>
    </row>
    <row r="242" spans="1:14" s="3" customFormat="1" ht="12.2" customHeight="1" x14ac:dyDescent="0.15">
      <c r="A242" s="1" t="s">
        <v>446</v>
      </c>
      <c r="B242" s="2" t="s">
        <v>350</v>
      </c>
      <c r="C242" s="2" t="s">
        <v>298</v>
      </c>
      <c r="D242" s="2" t="s">
        <v>431</v>
      </c>
      <c r="E242" s="6">
        <v>2500</v>
      </c>
      <c r="F242" s="18">
        <v>65588</v>
      </c>
      <c r="G242" s="18">
        <v>28300</v>
      </c>
      <c r="H242" s="18">
        <v>2604</v>
      </c>
      <c r="I242" s="18">
        <v>6473</v>
      </c>
      <c r="J242" s="18"/>
      <c r="K242" s="18"/>
      <c r="L242" s="19">
        <f t="shared" si="4"/>
        <v>102965</v>
      </c>
      <c r="M242" s="8"/>
      <c r="N242" s="266"/>
    </row>
    <row r="243" spans="1:14" s="3" customFormat="1" ht="12.2" customHeight="1" x14ac:dyDescent="0.15">
      <c r="A243" s="1" t="s">
        <v>447</v>
      </c>
      <c r="B243" s="2" t="s">
        <v>350</v>
      </c>
      <c r="C243" s="2" t="s">
        <v>299</v>
      </c>
      <c r="D243" s="2" t="s">
        <v>431</v>
      </c>
      <c r="E243" s="6">
        <v>2600</v>
      </c>
      <c r="F243" s="18">
        <f>112784+29400</f>
        <v>142184</v>
      </c>
      <c r="G243" s="18">
        <f>52683+15036</f>
        <v>67719</v>
      </c>
      <c r="H243" s="18">
        <f>35403+4979+2922+15190</f>
        <v>58494</v>
      </c>
      <c r="I243" s="18">
        <f>102669+4699</f>
        <v>107368</v>
      </c>
      <c r="J243" s="18">
        <f>88000+36699</f>
        <v>124699</v>
      </c>
      <c r="K243" s="18"/>
      <c r="L243" s="19">
        <f t="shared" si="4"/>
        <v>500464</v>
      </c>
      <c r="M243" s="8"/>
      <c r="N243" s="266"/>
    </row>
    <row r="244" spans="1:14" s="3" customFormat="1" ht="12.2" customHeight="1" x14ac:dyDescent="0.15">
      <c r="A244" s="1" t="s">
        <v>448</v>
      </c>
      <c r="B244" s="2" t="s">
        <v>350</v>
      </c>
      <c r="C244" s="2" t="s">
        <v>300</v>
      </c>
      <c r="D244" s="2" t="s">
        <v>431</v>
      </c>
      <c r="E244" s="6">
        <v>2700</v>
      </c>
      <c r="F244" s="18">
        <v>5922</v>
      </c>
      <c r="G244" s="18">
        <v>4894</v>
      </c>
      <c r="H244" s="18">
        <f>56266+1759+363451</f>
        <v>421476</v>
      </c>
      <c r="I244" s="18">
        <v>1156</v>
      </c>
      <c r="J244" s="18">
        <v>318</v>
      </c>
      <c r="K244" s="18">
        <v>49</v>
      </c>
      <c r="L244" s="19">
        <f t="shared" si="4"/>
        <v>433815</v>
      </c>
      <c r="M244" s="8"/>
      <c r="N244" s="266"/>
    </row>
    <row r="245" spans="1:14" s="3" customFormat="1" ht="12.2" customHeight="1" x14ac:dyDescent="0.15">
      <c r="A245" s="1" t="s">
        <v>449</v>
      </c>
      <c r="B245" s="2" t="s">
        <v>350</v>
      </c>
      <c r="C245" s="2" t="s">
        <v>343</v>
      </c>
      <c r="D245" s="2" t="s">
        <v>431</v>
      </c>
      <c r="E245" s="6">
        <v>2800</v>
      </c>
      <c r="F245" s="18">
        <v>58270</v>
      </c>
      <c r="G245" s="18">
        <v>24908</v>
      </c>
      <c r="H245" s="18">
        <f>23+118+1472</f>
        <v>1613</v>
      </c>
      <c r="I245" s="18">
        <v>11</v>
      </c>
      <c r="J245" s="18">
        <v>176</v>
      </c>
      <c r="K245" s="18">
        <v>3809</v>
      </c>
      <c r="L245" s="19">
        <f>SUM(F245:K245)</f>
        <v>88787</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3077962</v>
      </c>
      <c r="G247" s="41">
        <f t="shared" si="5"/>
        <v>1374711</v>
      </c>
      <c r="H247" s="41">
        <f t="shared" si="5"/>
        <v>1072308</v>
      </c>
      <c r="I247" s="41">
        <f t="shared" si="5"/>
        <v>201007</v>
      </c>
      <c r="J247" s="41">
        <f t="shared" si="5"/>
        <v>170258</v>
      </c>
      <c r="K247" s="41">
        <f t="shared" si="5"/>
        <v>34363</v>
      </c>
      <c r="L247" s="41">
        <f t="shared" si="5"/>
        <v>5930609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14201</v>
      </c>
      <c r="I255" s="18"/>
      <c r="J255" s="18"/>
      <c r="K255" s="18"/>
      <c r="L255" s="19">
        <f t="shared" si="6"/>
        <v>14201</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14201</v>
      </c>
      <c r="I256" s="41">
        <f t="shared" si="7"/>
        <v>0</v>
      </c>
      <c r="J256" s="41">
        <f t="shared" si="7"/>
        <v>0</v>
      </c>
      <c r="K256" s="41">
        <f t="shared" si="7"/>
        <v>0</v>
      </c>
      <c r="L256" s="41">
        <f>SUM(F256:K256)</f>
        <v>14201</v>
      </c>
      <c r="M256" s="8"/>
      <c r="N256" s="266"/>
    </row>
    <row r="257" spans="1:14" s="3" customFormat="1" ht="12.2" customHeight="1" thickTop="1" x14ac:dyDescent="0.15">
      <c r="A257" s="38" t="s">
        <v>462</v>
      </c>
      <c r="B257" s="40">
        <v>10</v>
      </c>
      <c r="C257" s="40">
        <v>8</v>
      </c>
      <c r="D257" s="39" t="s">
        <v>431</v>
      </c>
      <c r="E257" s="40"/>
      <c r="F257" s="41">
        <f t="shared" ref="F257:L257" si="8">F211+F229+F247+F256</f>
        <v>10118496</v>
      </c>
      <c r="G257" s="41">
        <f t="shared" si="8"/>
        <v>4677574</v>
      </c>
      <c r="H257" s="41">
        <f t="shared" si="8"/>
        <v>2299951</v>
      </c>
      <c r="I257" s="41">
        <f t="shared" si="8"/>
        <v>571064</v>
      </c>
      <c r="J257" s="41">
        <f t="shared" si="8"/>
        <v>570914</v>
      </c>
      <c r="K257" s="41">
        <f t="shared" si="8"/>
        <v>78732</v>
      </c>
      <c r="L257" s="41">
        <f t="shared" si="8"/>
        <v>18316731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101471</v>
      </c>
      <c r="L263" s="19">
        <f>SUM(F263:K263)</f>
        <v>101471</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2568</v>
      </c>
      <c r="L264" s="19">
        <f t="shared" ref="L264:L270" si="9">SUM(F264:K264)</f>
        <v>2568</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10000</v>
      </c>
      <c r="L266" s="19">
        <f t="shared" si="9"/>
        <v>10000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114039</v>
      </c>
      <c r="L270" s="41">
        <f t="shared" si="9"/>
        <v>114039</v>
      </c>
      <c r="N270" s="264"/>
    </row>
    <row r="271" spans="1:14" s="3" customFormat="1" ht="12.2" customHeight="1" thickTop="1" x14ac:dyDescent="0.2">
      <c r="A271" s="43" t="s">
        <v>464</v>
      </c>
      <c r="B271" s="40">
        <v>10</v>
      </c>
      <c r="C271" s="40">
        <v>18</v>
      </c>
      <c r="D271" s="39" t="s">
        <v>431</v>
      </c>
      <c r="E271" s="40"/>
      <c r="F271" s="42">
        <f t="shared" ref="F271:L271" si="11">F257+F270</f>
        <v>10118496</v>
      </c>
      <c r="G271" s="42">
        <f t="shared" si="11"/>
        <v>4677574</v>
      </c>
      <c r="H271" s="42">
        <f t="shared" si="11"/>
        <v>2299951</v>
      </c>
      <c r="I271" s="42">
        <f t="shared" si="11"/>
        <v>571064</v>
      </c>
      <c r="J271" s="42">
        <f t="shared" si="11"/>
        <v>570914</v>
      </c>
      <c r="K271" s="42">
        <f t="shared" si="11"/>
        <v>192771</v>
      </c>
      <c r="L271" s="42">
        <f t="shared" si="11"/>
        <v>18430770</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29268+1468</f>
        <v>30736</v>
      </c>
      <c r="G276" s="18">
        <f>17478+372</f>
        <v>17850</v>
      </c>
      <c r="H276" s="18">
        <v>3850</v>
      </c>
      <c r="I276" s="18">
        <v>4479</v>
      </c>
      <c r="J276" s="18">
        <f>935+2083</f>
        <v>3018</v>
      </c>
      <c r="K276" s="18">
        <v>6262</v>
      </c>
      <c r="L276" s="19">
        <f>SUM(F276:K276)</f>
        <v>66195</v>
      </c>
      <c r="M276" s="8"/>
      <c r="N276" s="266"/>
    </row>
    <row r="277" spans="1:14" s="3" customFormat="1" ht="12.2" customHeight="1" x14ac:dyDescent="0.15">
      <c r="A277" s="1" t="s">
        <v>439</v>
      </c>
      <c r="B277" s="2" t="s">
        <v>357</v>
      </c>
      <c r="C277" s="2" t="s">
        <v>291</v>
      </c>
      <c r="D277" s="2" t="s">
        <v>431</v>
      </c>
      <c r="E277" s="6">
        <v>1200</v>
      </c>
      <c r="F277" s="18">
        <v>81620</v>
      </c>
      <c r="G277" s="18">
        <v>43811</v>
      </c>
      <c r="H277" s="18">
        <v>20702</v>
      </c>
      <c r="I277" s="18">
        <f>2546+478</f>
        <v>3024</v>
      </c>
      <c r="J277" s="18">
        <f>6878+259</f>
        <v>7137</v>
      </c>
      <c r="K277" s="18"/>
      <c r="L277" s="19">
        <f>SUM(F277:K277)</f>
        <v>156294</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578</v>
      </c>
      <c r="I281" s="18">
        <f>128+954</f>
        <v>1082</v>
      </c>
      <c r="J281" s="18">
        <v>454</v>
      </c>
      <c r="K281" s="18"/>
      <c r="L281" s="19">
        <f t="shared" ref="L281:L287" si="12">SUM(F281:K281)</f>
        <v>2114</v>
      </c>
      <c r="M281" s="8"/>
      <c r="N281" s="266"/>
    </row>
    <row r="282" spans="1:14" s="3" customFormat="1" ht="12.2" customHeight="1" x14ac:dyDescent="0.15">
      <c r="A282" s="1" t="s">
        <v>443</v>
      </c>
      <c r="B282" s="2" t="s">
        <v>357</v>
      </c>
      <c r="C282" s="2" t="s">
        <v>295</v>
      </c>
      <c r="D282" s="2" t="s">
        <v>431</v>
      </c>
      <c r="E282" s="6">
        <v>2200</v>
      </c>
      <c r="F282" s="18">
        <v>6442</v>
      </c>
      <c r="G282" s="18">
        <v>1514</v>
      </c>
      <c r="H282" s="18">
        <f>43482+3396+1</f>
        <v>46879</v>
      </c>
      <c r="I282" s="18">
        <f>2944+579</f>
        <v>3523</v>
      </c>
      <c r="J282" s="18"/>
      <c r="K282" s="18">
        <v>519</v>
      </c>
      <c r="L282" s="19">
        <f t="shared" si="12"/>
        <v>58877</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118798</v>
      </c>
      <c r="G290" s="42">
        <f t="shared" si="13"/>
        <v>63175</v>
      </c>
      <c r="H290" s="42">
        <f t="shared" si="13"/>
        <v>72009</v>
      </c>
      <c r="I290" s="42">
        <f t="shared" si="13"/>
        <v>12108</v>
      </c>
      <c r="J290" s="42">
        <f t="shared" si="13"/>
        <v>10609</v>
      </c>
      <c r="K290" s="42">
        <f t="shared" si="13"/>
        <v>6781</v>
      </c>
      <c r="L290" s="41">
        <f t="shared" si="13"/>
        <v>283480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v>40</v>
      </c>
      <c r="J295" s="18"/>
      <c r="K295" s="18"/>
      <c r="L295" s="19">
        <f>SUM(F295:K295)</f>
        <v>40</v>
      </c>
      <c r="M295" s="8"/>
      <c r="N295" s="266"/>
    </row>
    <row r="296" spans="1:14" s="3" customFormat="1" ht="12.2" customHeight="1" x14ac:dyDescent="0.15">
      <c r="A296" s="1" t="s">
        <v>439</v>
      </c>
      <c r="B296" s="2" t="s">
        <v>358</v>
      </c>
      <c r="C296" s="2" t="s">
        <v>291</v>
      </c>
      <c r="D296" s="2" t="s">
        <v>431</v>
      </c>
      <c r="E296" s="6">
        <v>1200</v>
      </c>
      <c r="F296" s="18">
        <v>17764</v>
      </c>
      <c r="G296" s="18">
        <v>9890</v>
      </c>
      <c r="H296" s="18">
        <v>4705</v>
      </c>
      <c r="I296" s="18">
        <v>442</v>
      </c>
      <c r="J296" s="18">
        <v>1563</v>
      </c>
      <c r="K296" s="18"/>
      <c r="L296" s="19">
        <f>SUM(F296:K296)</f>
        <v>34364</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v>190</v>
      </c>
      <c r="I300" s="18">
        <f>42+313</f>
        <v>355</v>
      </c>
      <c r="J300" s="18">
        <v>149</v>
      </c>
      <c r="K300" s="18"/>
      <c r="L300" s="19">
        <f t="shared" ref="L300:L306" si="14">SUM(F300:K300)</f>
        <v>694</v>
      </c>
      <c r="M300" s="8"/>
      <c r="N300" s="266"/>
    </row>
    <row r="301" spans="1:14" s="3" customFormat="1" ht="12.2" customHeight="1" x14ac:dyDescent="0.15">
      <c r="A301" s="1" t="s">
        <v>443</v>
      </c>
      <c r="B301" s="2" t="s">
        <v>358</v>
      </c>
      <c r="C301" s="2" t="s">
        <v>295</v>
      </c>
      <c r="D301" s="2" t="s">
        <v>431</v>
      </c>
      <c r="E301" s="6">
        <v>2200</v>
      </c>
      <c r="F301" s="18">
        <v>2116</v>
      </c>
      <c r="G301" s="18">
        <v>497</v>
      </c>
      <c r="H301" s="18">
        <f>14285+1111</f>
        <v>15396</v>
      </c>
      <c r="I301" s="18">
        <f>963+18</f>
        <v>981</v>
      </c>
      <c r="J301" s="18">
        <v>461</v>
      </c>
      <c r="K301" s="18">
        <v>170</v>
      </c>
      <c r="L301" s="19">
        <f t="shared" si="14"/>
        <v>19621</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19880</v>
      </c>
      <c r="G309" s="42">
        <f t="shared" si="15"/>
        <v>10387</v>
      </c>
      <c r="H309" s="42">
        <f t="shared" si="15"/>
        <v>20291</v>
      </c>
      <c r="I309" s="42">
        <f t="shared" si="15"/>
        <v>1818</v>
      </c>
      <c r="J309" s="42">
        <f t="shared" si="15"/>
        <v>2173</v>
      </c>
      <c r="K309" s="42">
        <f t="shared" si="15"/>
        <v>170</v>
      </c>
      <c r="L309" s="41">
        <f t="shared" si="15"/>
        <v>54719</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v>11917</v>
      </c>
      <c r="I314" s="18">
        <v>5017</v>
      </c>
      <c r="J314" s="18"/>
      <c r="K314" s="18">
        <v>18401</v>
      </c>
      <c r="L314" s="19">
        <f>SUM(F314:K314)</f>
        <v>35335</v>
      </c>
      <c r="M314" s="8"/>
      <c r="N314" s="266"/>
    </row>
    <row r="315" spans="1:14" s="3" customFormat="1" ht="12.2" customHeight="1" x14ac:dyDescent="0.15">
      <c r="A315" s="1" t="s">
        <v>439</v>
      </c>
      <c r="B315" s="2" t="s">
        <v>359</v>
      </c>
      <c r="C315" s="2" t="s">
        <v>291</v>
      </c>
      <c r="D315" s="2" t="s">
        <v>431</v>
      </c>
      <c r="E315" s="6">
        <v>1200</v>
      </c>
      <c r="F315" s="18">
        <v>22501</v>
      </c>
      <c r="G315" s="18">
        <v>12527</v>
      </c>
      <c r="H315" s="18">
        <v>5960</v>
      </c>
      <c r="I315" s="18">
        <v>560</v>
      </c>
      <c r="J315" s="18">
        <v>1979</v>
      </c>
      <c r="K315" s="18"/>
      <c r="L315" s="19">
        <f>SUM(F315:K315)</f>
        <v>43527</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v>347</v>
      </c>
      <c r="I319" s="18">
        <f>76+572</f>
        <v>648</v>
      </c>
      <c r="J319" s="18">
        <v>273</v>
      </c>
      <c r="K319" s="18"/>
      <c r="L319" s="19">
        <f t="shared" ref="L319:L325" si="16">SUM(F319:K319)</f>
        <v>1268</v>
      </c>
      <c r="M319" s="8"/>
      <c r="N319" s="266"/>
    </row>
    <row r="320" spans="1:14" s="3" customFormat="1" ht="12.2" customHeight="1" x14ac:dyDescent="0.15">
      <c r="A320" s="1" t="s">
        <v>443</v>
      </c>
      <c r="B320" s="2" t="s">
        <v>359</v>
      </c>
      <c r="C320" s="2" t="s">
        <v>295</v>
      </c>
      <c r="D320" s="2" t="s">
        <v>431</v>
      </c>
      <c r="E320" s="6">
        <v>2200</v>
      </c>
      <c r="F320" s="18">
        <v>3866</v>
      </c>
      <c r="G320" s="18">
        <v>909</v>
      </c>
      <c r="H320" s="18">
        <f>26094+2025+1</f>
        <v>28120</v>
      </c>
      <c r="I320" s="18">
        <f>1755+42</f>
        <v>1797</v>
      </c>
      <c r="J320" s="18">
        <v>1076</v>
      </c>
      <c r="K320" s="18">
        <v>311</v>
      </c>
      <c r="L320" s="19">
        <f t="shared" si="16"/>
        <v>36079</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26367</v>
      </c>
      <c r="G328" s="42">
        <f t="shared" si="17"/>
        <v>13436</v>
      </c>
      <c r="H328" s="42">
        <f t="shared" si="17"/>
        <v>46344</v>
      </c>
      <c r="I328" s="42">
        <f t="shared" si="17"/>
        <v>8022</v>
      </c>
      <c r="J328" s="42">
        <f t="shared" si="17"/>
        <v>3328</v>
      </c>
      <c r="K328" s="42">
        <f t="shared" si="17"/>
        <v>18712</v>
      </c>
      <c r="L328" s="41">
        <f t="shared" si="17"/>
        <v>116209</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v>273</v>
      </c>
      <c r="I332" s="18"/>
      <c r="J332" s="18"/>
      <c r="K332" s="18"/>
      <c r="L332" s="19">
        <f t="shared" ref="L332:L337" si="18">SUM(F332:K332)</f>
        <v>273</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v>100</v>
      </c>
      <c r="I335" s="18">
        <v>1876</v>
      </c>
      <c r="J335" s="18"/>
      <c r="K335" s="18">
        <v>1059</v>
      </c>
      <c r="L335" s="19">
        <f t="shared" si="18"/>
        <v>3035</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373</v>
      </c>
      <c r="I337" s="41">
        <f t="shared" si="19"/>
        <v>1876</v>
      </c>
      <c r="J337" s="41">
        <f t="shared" si="19"/>
        <v>0</v>
      </c>
      <c r="K337" s="41">
        <f t="shared" si="19"/>
        <v>1059</v>
      </c>
      <c r="L337" s="41">
        <f t="shared" si="18"/>
        <v>3308</v>
      </c>
      <c r="M337" s="8"/>
      <c r="N337" s="266"/>
    </row>
    <row r="338" spans="1:43" s="3" customFormat="1" ht="12.2" customHeight="1" thickTop="1" x14ac:dyDescent="0.15">
      <c r="A338" s="38" t="s">
        <v>468</v>
      </c>
      <c r="B338" s="40">
        <v>14</v>
      </c>
      <c r="C338" s="40">
        <v>7</v>
      </c>
      <c r="D338" s="39" t="s">
        <v>431</v>
      </c>
      <c r="E338" s="40"/>
      <c r="F338" s="41">
        <f t="shared" ref="F338:L338" si="20">F290+F309+F328+F337</f>
        <v>165045</v>
      </c>
      <c r="G338" s="41">
        <f t="shared" si="20"/>
        <v>86998</v>
      </c>
      <c r="H338" s="41">
        <f t="shared" si="20"/>
        <v>139017</v>
      </c>
      <c r="I338" s="41">
        <f t="shared" si="20"/>
        <v>23824</v>
      </c>
      <c r="J338" s="41">
        <f t="shared" si="20"/>
        <v>16110</v>
      </c>
      <c r="K338" s="41">
        <f t="shared" si="20"/>
        <v>26722</v>
      </c>
      <c r="L338" s="41">
        <f t="shared" si="20"/>
        <v>457716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405</v>
      </c>
      <c r="L344" s="19">
        <f t="shared" ref="L344:L350" si="21">SUM(F344:K344)</f>
        <v>405</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405</v>
      </c>
      <c r="L351" s="41">
        <f>SUM(L341:L350)</f>
        <v>405</v>
      </c>
      <c r="M351" s="8"/>
      <c r="N351" s="266"/>
    </row>
    <row r="352" spans="1:43" s="12" customFormat="1" ht="12.2" customHeight="1" thickTop="1" thickBot="1" x14ac:dyDescent="0.25">
      <c r="A352" s="38" t="s">
        <v>469</v>
      </c>
      <c r="B352" s="40">
        <v>14</v>
      </c>
      <c r="C352" s="40">
        <v>17</v>
      </c>
      <c r="D352" s="39" t="s">
        <v>431</v>
      </c>
      <c r="E352" s="40"/>
      <c r="F352" s="41">
        <f>F338</f>
        <v>165045</v>
      </c>
      <c r="G352" s="41">
        <f>G338</f>
        <v>86998</v>
      </c>
      <c r="H352" s="41">
        <f>H338</f>
        <v>139017</v>
      </c>
      <c r="I352" s="41">
        <f>I338</f>
        <v>23824</v>
      </c>
      <c r="J352" s="41">
        <f>J338</f>
        <v>16110</v>
      </c>
      <c r="K352" s="47">
        <f>K338+K351</f>
        <v>27127</v>
      </c>
      <c r="L352" s="41">
        <f>L338+L351</f>
        <v>458121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95514</v>
      </c>
      <c r="G358" s="18">
        <v>48712</v>
      </c>
      <c r="H358" s="18">
        <f>69+1180+191</f>
        <v>1440</v>
      </c>
      <c r="I358" s="18">
        <v>86923</v>
      </c>
      <c r="J358" s="18">
        <v>0</v>
      </c>
      <c r="K358" s="18">
        <v>1595</v>
      </c>
      <c r="L358" s="13">
        <f>SUM(F358:K358)</f>
        <v>234184</v>
      </c>
      <c r="N358" s="264"/>
      <c r="R358" s="3"/>
      <c r="S358" s="3"/>
      <c r="T358" s="3"/>
      <c r="U358" s="3"/>
      <c r="V358" s="3"/>
    </row>
    <row r="359" spans="1:22" s="3" customFormat="1" ht="12.2" customHeight="1" x14ac:dyDescent="0.15">
      <c r="A359" s="1" t="s">
        <v>542</v>
      </c>
      <c r="B359" s="2" t="s">
        <v>366</v>
      </c>
      <c r="C359" s="6">
        <v>2</v>
      </c>
      <c r="D359" s="2" t="s">
        <v>431</v>
      </c>
      <c r="E359" s="6"/>
      <c r="F359" s="18">
        <v>26064</v>
      </c>
      <c r="G359" s="18">
        <v>9501</v>
      </c>
      <c r="H359" s="18">
        <f>21+248+59</f>
        <v>328</v>
      </c>
      <c r="I359" s="18">
        <v>23221</v>
      </c>
      <c r="J359" s="18">
        <v>999</v>
      </c>
      <c r="K359" s="18">
        <v>253</v>
      </c>
      <c r="L359" s="19">
        <f>SUM(F359:K359)</f>
        <v>60366</v>
      </c>
      <c r="M359" s="8"/>
      <c r="N359" s="266"/>
    </row>
    <row r="360" spans="1:22" s="3" customFormat="1" ht="12.2" customHeight="1" x14ac:dyDescent="0.15">
      <c r="A360" s="3" t="s">
        <v>543</v>
      </c>
      <c r="B360" s="2" t="s">
        <v>366</v>
      </c>
      <c r="C360" s="6">
        <v>3</v>
      </c>
      <c r="D360" s="2" t="s">
        <v>431</v>
      </c>
      <c r="E360" s="6"/>
      <c r="F360" s="18">
        <v>57322</v>
      </c>
      <c r="G360" s="18">
        <v>20540</v>
      </c>
      <c r="H360" s="18">
        <f>40+578+110</f>
        <v>728</v>
      </c>
      <c r="I360" s="18">
        <v>52901</v>
      </c>
      <c r="J360" s="18">
        <v>2330</v>
      </c>
      <c r="K360" s="18">
        <v>572</v>
      </c>
      <c r="L360" s="19">
        <f>SUM(F360:K360)</f>
        <v>134393</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178900</v>
      </c>
      <c r="G362" s="47">
        <f t="shared" si="22"/>
        <v>78753</v>
      </c>
      <c r="H362" s="47">
        <f t="shared" si="22"/>
        <v>2496</v>
      </c>
      <c r="I362" s="47">
        <f t="shared" si="22"/>
        <v>163045</v>
      </c>
      <c r="J362" s="47">
        <f t="shared" si="22"/>
        <v>3329</v>
      </c>
      <c r="K362" s="47">
        <f t="shared" si="22"/>
        <v>2420</v>
      </c>
      <c r="L362" s="47">
        <f t="shared" si="22"/>
        <v>428943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67406</v>
      </c>
      <c r="G367" s="18">
        <v>20539</v>
      </c>
      <c r="H367" s="18">
        <v>46575</v>
      </c>
      <c r="I367" s="56">
        <f>SUM(F367:H367)</f>
        <v>134520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86923-67406</f>
        <v>19517</v>
      </c>
      <c r="G368" s="63">
        <f>23221-20539</f>
        <v>2682</v>
      </c>
      <c r="H368" s="63">
        <f>52901-46575</f>
        <v>6326</v>
      </c>
      <c r="I368" s="56">
        <f>SUM(F368:H368)</f>
        <v>28525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86923</v>
      </c>
      <c r="G369" s="47">
        <f>SUM(G367:G368)</f>
        <v>23221</v>
      </c>
      <c r="H369" s="47">
        <f>SUM(H367:H368)</f>
        <v>52901</v>
      </c>
      <c r="I369" s="47">
        <f>SUM(I367:I368)</f>
        <v>163045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v>935333</v>
      </c>
      <c r="K379" s="18"/>
      <c r="L379" s="13">
        <f t="shared" si="23"/>
        <v>935333</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935333</v>
      </c>
      <c r="K382" s="47">
        <f t="shared" si="24"/>
        <v>0</v>
      </c>
      <c r="L382" s="47">
        <f t="shared" si="24"/>
        <v>935333</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f>6038+284</f>
        <v>6322</v>
      </c>
      <c r="I389" s="18"/>
      <c r="J389" s="24" t="s">
        <v>288</v>
      </c>
      <c r="K389" s="24" t="s">
        <v>288</v>
      </c>
      <c r="L389" s="56">
        <f t="shared" si="25"/>
        <v>6322</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6322</v>
      </c>
      <c r="I393" s="65">
        <f>SUM(I387:I392)</f>
        <v>0</v>
      </c>
      <c r="J393" s="45" t="s">
        <v>288</v>
      </c>
      <c r="K393" s="45" t="s">
        <v>288</v>
      </c>
      <c r="L393" s="47">
        <f>SUM(L387:L392)</f>
        <v>6322</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v>12</v>
      </c>
      <c r="I395" s="18"/>
      <c r="J395" s="24" t="s">
        <v>288</v>
      </c>
      <c r="K395" s="24" t="s">
        <v>288</v>
      </c>
      <c r="L395" s="56">
        <f t="shared" ref="L395:L400" si="26">SUM(F395:K395)</f>
        <v>12</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v>465</v>
      </c>
      <c r="I397" s="18"/>
      <c r="J397" s="24" t="s">
        <v>288</v>
      </c>
      <c r="K397" s="24" t="s">
        <v>288</v>
      </c>
      <c r="L397" s="56">
        <f t="shared" si="26"/>
        <v>465</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v>10000</v>
      </c>
      <c r="H400" s="18">
        <v>659</v>
      </c>
      <c r="I400" s="18"/>
      <c r="J400" s="24" t="s">
        <v>288</v>
      </c>
      <c r="K400" s="24" t="s">
        <v>288</v>
      </c>
      <c r="L400" s="56">
        <f t="shared" si="26"/>
        <v>10659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10000</v>
      </c>
      <c r="H401" s="47">
        <f>SUM(H395:H400)</f>
        <v>1136</v>
      </c>
      <c r="I401" s="47">
        <f>SUM(I395:I400)</f>
        <v>0</v>
      </c>
      <c r="J401" s="45" t="s">
        <v>288</v>
      </c>
      <c r="K401" s="45" t="s">
        <v>288</v>
      </c>
      <c r="L401" s="47">
        <f>SUM(L395:L400)</f>
        <v>11136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10000</v>
      </c>
      <c r="H408" s="47">
        <f>H393+H401+H407</f>
        <v>7458</v>
      </c>
      <c r="I408" s="47">
        <f>I393+I401+I407</f>
        <v>0</v>
      </c>
      <c r="J408" s="24" t="s">
        <v>288</v>
      </c>
      <c r="K408" s="24" t="s">
        <v>288</v>
      </c>
      <c r="L408" s="47">
        <f>L393+L401+L407</f>
        <v>17458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f>33270+6398-35834</f>
        <v>3834</v>
      </c>
      <c r="J415" s="18">
        <f>2829+2366+2367+3569+6402+1009+14938+2354</f>
        <v>35834</v>
      </c>
      <c r="K415" s="18"/>
      <c r="L415" s="56">
        <f t="shared" si="27"/>
        <v>39668</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3834</v>
      </c>
      <c r="J419" s="139">
        <f t="shared" si="28"/>
        <v>35834</v>
      </c>
      <c r="K419" s="139">
        <f t="shared" si="28"/>
        <v>0</v>
      </c>
      <c r="L419" s="47">
        <f t="shared" si="28"/>
        <v>39668</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v>75462</v>
      </c>
      <c r="L421" s="56">
        <f t="shared" ref="L421:L426" si="29">SUM(F421:K421)</f>
        <v>75462</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v>40608</v>
      </c>
      <c r="L423" s="56">
        <f t="shared" si="29"/>
        <v>40608</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116070</v>
      </c>
      <c r="L427" s="47">
        <f t="shared" si="30"/>
        <v>116070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3834</v>
      </c>
      <c r="J434" s="47">
        <f t="shared" si="32"/>
        <v>35834</v>
      </c>
      <c r="K434" s="47">
        <f t="shared" si="32"/>
        <v>116070</v>
      </c>
      <c r="L434" s="47">
        <f t="shared" si="32"/>
        <v>155738</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267024</v>
      </c>
      <c r="G440" s="18">
        <f>467756-267024</f>
        <v>200732</v>
      </c>
      <c r="H440" s="18"/>
      <c r="I440" s="56">
        <f t="shared" si="33"/>
        <v>467756</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267024</v>
      </c>
      <c r="G446" s="13">
        <f>SUM(G439:G445)</f>
        <v>200732</v>
      </c>
      <c r="H446" s="13">
        <f>SUM(H439:H445)</f>
        <v>0</v>
      </c>
      <c r="I446" s="13">
        <f>SUM(I439:I445)</f>
        <v>467756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f>57941-G448</f>
        <v>17333</v>
      </c>
      <c r="G448" s="18">
        <v>40608</v>
      </c>
      <c r="H448" s="18"/>
      <c r="I448" s="56">
        <f>SUM(F448:H448)</f>
        <v>57941</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17333</v>
      </c>
      <c r="G452" s="72">
        <f>SUM(G448:G451)</f>
        <v>40608</v>
      </c>
      <c r="H452" s="72">
        <f>SUM(H448:H451)</f>
        <v>0</v>
      </c>
      <c r="I452" s="72">
        <f>SUM(I448:I451)</f>
        <v>57941</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f>F446-F452</f>
        <v>249691</v>
      </c>
      <c r="G459" s="18">
        <f>G446-G452</f>
        <v>160124</v>
      </c>
      <c r="H459" s="18"/>
      <c r="I459" s="56">
        <f t="shared" si="34"/>
        <v>409815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249691</v>
      </c>
      <c r="G460" s="83">
        <f>SUM(G454:G459)</f>
        <v>160124</v>
      </c>
      <c r="H460" s="83">
        <f>SUM(H454:H459)</f>
        <v>0</v>
      </c>
      <c r="I460" s="83">
        <f>SUM(I454:I459)</f>
        <v>409815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267024</v>
      </c>
      <c r="G461" s="42">
        <f>G452+G460</f>
        <v>200732</v>
      </c>
      <c r="H461" s="42">
        <f>H452+H460</f>
        <v>0</v>
      </c>
      <c r="I461" s="42">
        <f>I452+I460</f>
        <v>467756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910942</v>
      </c>
      <c r="G465" s="18">
        <v>0</v>
      </c>
      <c r="H465" s="18">
        <v>0</v>
      </c>
      <c r="I465" s="18">
        <v>840333</v>
      </c>
      <c r="J465" s="18">
        <v>548095</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18430462</v>
      </c>
      <c r="G468" s="18">
        <v>428943</v>
      </c>
      <c r="H468" s="18">
        <f>396205+61916</f>
        <v>458121</v>
      </c>
      <c r="I468" s="18">
        <v>95000</v>
      </c>
      <c r="J468" s="18">
        <v>17458</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18430462</v>
      </c>
      <c r="G470" s="53">
        <f>SUM(G468:G469)</f>
        <v>428943</v>
      </c>
      <c r="H470" s="53">
        <f>SUM(H468:H469)</f>
        <v>458121</v>
      </c>
      <c r="I470" s="53">
        <f>SUM(I468:I469)</f>
        <v>95000</v>
      </c>
      <c r="J470" s="53">
        <f>SUM(J468:J469)</f>
        <v>17458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18430770</v>
      </c>
      <c r="G472" s="18">
        <v>428943</v>
      </c>
      <c r="H472" s="18">
        <f>396205+61916</f>
        <v>458121</v>
      </c>
      <c r="I472" s="18">
        <f>840333+95000</f>
        <v>935333</v>
      </c>
      <c r="J472" s="18">
        <v>155738</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18430770</v>
      </c>
      <c r="G474" s="53">
        <f>SUM(G472:G473)</f>
        <v>428943</v>
      </c>
      <c r="H474" s="53">
        <f>SUM(H472:H473)</f>
        <v>458121</v>
      </c>
      <c r="I474" s="53">
        <f>SUM(I472:I473)</f>
        <v>935333</v>
      </c>
      <c r="J474" s="53">
        <f>SUM(J472:J473)</f>
        <v>155738</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910634</v>
      </c>
      <c r="G476" s="53">
        <f>(G465+G470)- G474</f>
        <v>0</v>
      </c>
      <c r="H476" s="53">
        <f>(H465+H470)- H474</f>
        <v>0</v>
      </c>
      <c r="I476" s="53">
        <f>(I465+I470)- I474</f>
        <v>0</v>
      </c>
      <c r="J476" s="53">
        <f>(J465+J470)- J474</f>
        <v>409815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t="s">
        <v>286</v>
      </c>
      <c r="G511" s="24" t="s">
        <v>288</v>
      </c>
      <c r="H511" s="18" t="s">
        <v>286</v>
      </c>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t="s">
        <v>286</v>
      </c>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t="s">
        <v>286</v>
      </c>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t="s">
        <v>286</v>
      </c>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t="s">
        <v>286</v>
      </c>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1459619</v>
      </c>
      <c r="G521" s="18">
        <v>581612</v>
      </c>
      <c r="H521" s="18">
        <f>84092+213673</f>
        <v>297765</v>
      </c>
      <c r="I521" s="18">
        <v>12625</v>
      </c>
      <c r="J521" s="18">
        <v>7176</v>
      </c>
      <c r="K521" s="18">
        <v>616</v>
      </c>
      <c r="L521" s="88">
        <f>SUM(F521:K521)</f>
        <v>2359413</v>
      </c>
      <c r="N521" s="265"/>
    </row>
    <row r="522" spans="1:14" s="52" customFormat="1" ht="12.2" customHeight="1" x14ac:dyDescent="0.2">
      <c r="A522" s="22" t="s">
        <v>634</v>
      </c>
      <c r="B522" s="105">
        <v>21</v>
      </c>
      <c r="C522" s="115">
        <v>2</v>
      </c>
      <c r="D522" s="2" t="s">
        <v>432</v>
      </c>
      <c r="E522" s="115"/>
      <c r="F522" s="18">
        <v>357119</v>
      </c>
      <c r="G522" s="18">
        <v>166121</v>
      </c>
      <c r="H522" s="18">
        <f>13610+60526</f>
        <v>74136</v>
      </c>
      <c r="I522" s="18">
        <v>2199</v>
      </c>
      <c r="J522" s="18">
        <v>1671</v>
      </c>
      <c r="K522" s="18">
        <v>140</v>
      </c>
      <c r="L522" s="88">
        <f>SUM(F522:K522)</f>
        <v>601386</v>
      </c>
      <c r="N522" s="265"/>
    </row>
    <row r="523" spans="1:14" s="52" customFormat="1" ht="12.2" customHeight="1" thickBot="1" x14ac:dyDescent="0.25">
      <c r="A523" s="22" t="s">
        <v>635</v>
      </c>
      <c r="B523" s="105">
        <v>21</v>
      </c>
      <c r="C523" s="115">
        <v>3</v>
      </c>
      <c r="D523" s="2" t="s">
        <v>432</v>
      </c>
      <c r="E523" s="115"/>
      <c r="F523" s="18">
        <v>358231</v>
      </c>
      <c r="G523" s="18">
        <v>165052</v>
      </c>
      <c r="H523" s="18">
        <v>357022</v>
      </c>
      <c r="I523" s="18">
        <v>2566</v>
      </c>
      <c r="J523" s="18">
        <v>2186</v>
      </c>
      <c r="K523" s="18">
        <v>177</v>
      </c>
      <c r="L523" s="88">
        <f>SUM(F523:K523)</f>
        <v>885234</v>
      </c>
      <c r="N523" s="265"/>
    </row>
    <row r="524" spans="1:14" s="52" customFormat="1" ht="12.2" customHeight="1" thickTop="1" x14ac:dyDescent="0.2">
      <c r="A524" s="139" t="s">
        <v>63</v>
      </c>
      <c r="B524" s="107">
        <v>21</v>
      </c>
      <c r="C524" s="195">
        <v>4</v>
      </c>
      <c r="D524" s="196" t="s">
        <v>432</v>
      </c>
      <c r="E524" s="195"/>
      <c r="F524" s="108">
        <f>SUM(F521:F523)</f>
        <v>2174969</v>
      </c>
      <c r="G524" s="108">
        <f t="shared" ref="G524:L524" si="36">SUM(G521:G523)</f>
        <v>912785</v>
      </c>
      <c r="H524" s="108">
        <f t="shared" si="36"/>
        <v>728923</v>
      </c>
      <c r="I524" s="108">
        <f t="shared" si="36"/>
        <v>17390</v>
      </c>
      <c r="J524" s="108">
        <f t="shared" si="36"/>
        <v>11033</v>
      </c>
      <c r="K524" s="108">
        <f t="shared" si="36"/>
        <v>933</v>
      </c>
      <c r="L524" s="89">
        <f t="shared" si="36"/>
        <v>3846033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366042</v>
      </c>
      <c r="G526" s="18">
        <v>160667</v>
      </c>
      <c r="H526" s="18">
        <v>130707</v>
      </c>
      <c r="I526" s="18">
        <v>4023</v>
      </c>
      <c r="J526" s="18">
        <v>299</v>
      </c>
      <c r="K526" s="18"/>
      <c r="L526" s="88">
        <f>SUM(F526:K526)</f>
        <v>661738</v>
      </c>
      <c r="M526" s="8"/>
      <c r="N526" s="266"/>
    </row>
    <row r="527" spans="1:14" s="3" customFormat="1" ht="12.2" customHeight="1" x14ac:dyDescent="0.15">
      <c r="A527" s="22" t="s">
        <v>634</v>
      </c>
      <c r="B527" s="105">
        <v>21</v>
      </c>
      <c r="C527" s="115">
        <v>6</v>
      </c>
      <c r="D527" s="2" t="s">
        <v>432</v>
      </c>
      <c r="E527" s="115"/>
      <c r="F527" s="18">
        <v>74251</v>
      </c>
      <c r="G527" s="18">
        <v>30725</v>
      </c>
      <c r="H527" s="18">
        <v>5341</v>
      </c>
      <c r="I527" s="18">
        <v>587</v>
      </c>
      <c r="J527" s="18">
        <v>700</v>
      </c>
      <c r="K527" s="18"/>
      <c r="L527" s="88">
        <f>SUM(F527:K527)</f>
        <v>111604</v>
      </c>
      <c r="M527" s="8"/>
      <c r="N527" s="266"/>
    </row>
    <row r="528" spans="1:14" s="3" customFormat="1" ht="12.2" customHeight="1" thickBot="1" x14ac:dyDescent="0.2">
      <c r="A528" s="22" t="s">
        <v>635</v>
      </c>
      <c r="B528" s="118">
        <v>21</v>
      </c>
      <c r="C528" s="118">
        <v>7</v>
      </c>
      <c r="D528" s="2" t="s">
        <v>432</v>
      </c>
      <c r="E528" s="118"/>
      <c r="F528" s="18">
        <v>189366</v>
      </c>
      <c r="G528" s="18">
        <v>82359</v>
      </c>
      <c r="H528" s="18">
        <v>41986</v>
      </c>
      <c r="I528" s="18">
        <v>2993</v>
      </c>
      <c r="J528" s="18"/>
      <c r="K528" s="18">
        <v>1604</v>
      </c>
      <c r="L528" s="88">
        <f>SUM(F528:K528)</f>
        <v>318308</v>
      </c>
      <c r="M528" s="8"/>
      <c r="N528" s="266"/>
    </row>
    <row r="529" spans="1:14" s="3" customFormat="1" ht="12.2" customHeight="1" thickTop="1" x14ac:dyDescent="0.15">
      <c r="A529" s="139" t="s">
        <v>65</v>
      </c>
      <c r="B529" s="107">
        <v>21</v>
      </c>
      <c r="C529" s="107">
        <v>8</v>
      </c>
      <c r="D529" s="158" t="s">
        <v>432</v>
      </c>
      <c r="E529" s="107"/>
      <c r="F529" s="89">
        <f>SUM(F526:F528)</f>
        <v>629659</v>
      </c>
      <c r="G529" s="89">
        <f t="shared" ref="G529:L529" si="37">SUM(G526:G528)</f>
        <v>273751</v>
      </c>
      <c r="H529" s="89">
        <f t="shared" si="37"/>
        <v>178034</v>
      </c>
      <c r="I529" s="89">
        <f t="shared" si="37"/>
        <v>7603</v>
      </c>
      <c r="J529" s="89">
        <f t="shared" si="37"/>
        <v>999</v>
      </c>
      <c r="K529" s="89">
        <f t="shared" si="37"/>
        <v>1604</v>
      </c>
      <c r="L529" s="89">
        <f t="shared" si="37"/>
        <v>1091650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71954</v>
      </c>
      <c r="G531" s="18">
        <v>38103</v>
      </c>
      <c r="H531" s="18"/>
      <c r="I531" s="18"/>
      <c r="J531" s="18"/>
      <c r="K531" s="18"/>
      <c r="L531" s="88">
        <f>SUM(F531:K531)</f>
        <v>110057</v>
      </c>
      <c r="M531" s="8"/>
      <c r="N531" s="266"/>
    </row>
    <row r="532" spans="1:14" s="3" customFormat="1" ht="12.2" customHeight="1" x14ac:dyDescent="0.15">
      <c r="A532" s="22" t="s">
        <v>634</v>
      </c>
      <c r="B532" s="105">
        <v>21</v>
      </c>
      <c r="C532" s="105">
        <v>10</v>
      </c>
      <c r="D532" s="2" t="s">
        <v>432</v>
      </c>
      <c r="E532" s="105"/>
      <c r="F532" s="18">
        <v>23524</v>
      </c>
      <c r="G532" s="18">
        <v>12457</v>
      </c>
      <c r="H532" s="18"/>
      <c r="I532" s="18"/>
      <c r="J532" s="18"/>
      <c r="K532" s="18"/>
      <c r="L532" s="88">
        <f>SUM(F532:K532)</f>
        <v>35981</v>
      </c>
      <c r="M532" s="8"/>
      <c r="N532" s="266"/>
    </row>
    <row r="533" spans="1:14" s="3" customFormat="1" ht="12.2" customHeight="1" thickBot="1" x14ac:dyDescent="0.2">
      <c r="A533" s="22" t="s">
        <v>635</v>
      </c>
      <c r="B533" s="105">
        <v>21</v>
      </c>
      <c r="C533" s="105">
        <v>11</v>
      </c>
      <c r="D533" s="2" t="s">
        <v>432</v>
      </c>
      <c r="E533" s="105"/>
      <c r="F533" s="18">
        <v>42896</v>
      </c>
      <c r="G533" s="18">
        <v>22716</v>
      </c>
      <c r="H533" s="18"/>
      <c r="I533" s="18"/>
      <c r="J533" s="18"/>
      <c r="K533" s="18"/>
      <c r="L533" s="88">
        <f>SUM(F533:K533)</f>
        <v>65612</v>
      </c>
      <c r="M533" s="8"/>
      <c r="N533" s="266"/>
    </row>
    <row r="534" spans="1:14" s="3" customFormat="1" ht="12.2" customHeight="1" thickTop="1" x14ac:dyDescent="0.15">
      <c r="A534" s="139" t="s">
        <v>67</v>
      </c>
      <c r="B534" s="107">
        <v>21</v>
      </c>
      <c r="C534" s="107">
        <v>12</v>
      </c>
      <c r="D534" s="158" t="s">
        <v>432</v>
      </c>
      <c r="E534" s="107"/>
      <c r="F534" s="89">
        <f>SUM(F531:F533)</f>
        <v>138374</v>
      </c>
      <c r="G534" s="89">
        <f t="shared" ref="G534:L534" si="38">SUM(G531:G533)</f>
        <v>73276</v>
      </c>
      <c r="H534" s="89">
        <f t="shared" si="38"/>
        <v>0</v>
      </c>
      <c r="I534" s="89">
        <f t="shared" si="38"/>
        <v>0</v>
      </c>
      <c r="J534" s="89">
        <f t="shared" si="38"/>
        <v>0</v>
      </c>
      <c r="K534" s="89">
        <f t="shared" si="38"/>
        <v>0</v>
      </c>
      <c r="L534" s="89">
        <f t="shared" si="38"/>
        <v>211650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2998</v>
      </c>
      <c r="I536" s="18"/>
      <c r="J536" s="18"/>
      <c r="K536" s="18"/>
      <c r="L536" s="88">
        <f>SUM(F536:K536)</f>
        <v>2998</v>
      </c>
      <c r="M536" s="8"/>
      <c r="N536" s="266"/>
    </row>
    <row r="537" spans="1:14" s="3" customFormat="1" ht="12.2" customHeight="1" x14ac:dyDescent="0.15">
      <c r="A537" s="22" t="s">
        <v>634</v>
      </c>
      <c r="B537" s="105">
        <v>21</v>
      </c>
      <c r="C537" s="105">
        <v>14</v>
      </c>
      <c r="D537" s="2" t="s">
        <v>432</v>
      </c>
      <c r="E537" s="105"/>
      <c r="F537" s="18"/>
      <c r="G537" s="18"/>
      <c r="H537" s="18">
        <v>980</v>
      </c>
      <c r="I537" s="18"/>
      <c r="J537" s="18"/>
      <c r="K537" s="18"/>
      <c r="L537" s="88">
        <f>SUM(F537:K537)</f>
        <v>980</v>
      </c>
      <c r="M537" s="8"/>
      <c r="N537" s="266"/>
    </row>
    <row r="538" spans="1:14" s="3" customFormat="1" ht="12.2" customHeight="1" thickBot="1" x14ac:dyDescent="0.2">
      <c r="A538" s="22" t="s">
        <v>635</v>
      </c>
      <c r="B538" s="105">
        <v>21</v>
      </c>
      <c r="C538" s="105">
        <v>15</v>
      </c>
      <c r="D538" s="2" t="s">
        <v>432</v>
      </c>
      <c r="E538" s="105"/>
      <c r="F538" s="18"/>
      <c r="G538" s="18"/>
      <c r="H538" s="18">
        <v>1788</v>
      </c>
      <c r="I538" s="18"/>
      <c r="J538" s="18"/>
      <c r="K538" s="18"/>
      <c r="L538" s="88">
        <f>SUM(F538:K538)</f>
        <v>1788</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5766</v>
      </c>
      <c r="I539" s="89">
        <f t="shared" si="39"/>
        <v>0</v>
      </c>
      <c r="J539" s="89">
        <f t="shared" si="39"/>
        <v>0</v>
      </c>
      <c r="K539" s="89">
        <f t="shared" si="39"/>
        <v>0</v>
      </c>
      <c r="L539" s="89">
        <f t="shared" si="39"/>
        <v>5766</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20484</v>
      </c>
      <c r="G541" s="18">
        <v>16982</v>
      </c>
      <c r="H541" s="18">
        <v>1557</v>
      </c>
      <c r="I541" s="18">
        <v>2876</v>
      </c>
      <c r="J541" s="18">
        <v>289</v>
      </c>
      <c r="K541" s="18">
        <v>170</v>
      </c>
      <c r="L541" s="88">
        <f>SUM(F541:K541)</f>
        <v>42358</v>
      </c>
      <c r="M541" s="8"/>
      <c r="N541" s="266"/>
    </row>
    <row r="542" spans="1:14" s="3" customFormat="1" ht="12.2" customHeight="1" x14ac:dyDescent="0.15">
      <c r="A542" s="22" t="s">
        <v>634</v>
      </c>
      <c r="B542" s="105">
        <v>21</v>
      </c>
      <c r="C542" s="105">
        <v>18</v>
      </c>
      <c r="D542" s="2" t="s">
        <v>432</v>
      </c>
      <c r="E542" s="105"/>
      <c r="F542" s="18">
        <v>4656</v>
      </c>
      <c r="G542" s="18">
        <v>3859</v>
      </c>
      <c r="H542" s="18">
        <v>8580</v>
      </c>
      <c r="I542" s="18">
        <v>654</v>
      </c>
      <c r="J542" s="18">
        <v>65</v>
      </c>
      <c r="K542" s="18">
        <v>38</v>
      </c>
      <c r="L542" s="88">
        <f>SUM(F542:K542)</f>
        <v>17852</v>
      </c>
      <c r="M542" s="8"/>
      <c r="N542" s="266"/>
    </row>
    <row r="543" spans="1:14" s="3" customFormat="1" ht="12.2" customHeight="1" thickBot="1" x14ac:dyDescent="0.2">
      <c r="A543" s="22" t="s">
        <v>635</v>
      </c>
      <c r="B543" s="105">
        <v>21</v>
      </c>
      <c r="C543" s="105">
        <v>19</v>
      </c>
      <c r="D543" s="2" t="s">
        <v>432</v>
      </c>
      <c r="E543" s="105"/>
      <c r="F543" s="18">
        <v>5897</v>
      </c>
      <c r="G543" s="18">
        <v>4889</v>
      </c>
      <c r="H543" s="18">
        <v>187769</v>
      </c>
      <c r="I543" s="18">
        <v>828</v>
      </c>
      <c r="J543" s="18">
        <v>265</v>
      </c>
      <c r="K543" s="18">
        <v>49</v>
      </c>
      <c r="L543" s="88">
        <f>SUM(F543:K543)</f>
        <v>199697</v>
      </c>
      <c r="M543" s="8"/>
      <c r="N543" s="266"/>
    </row>
    <row r="544" spans="1:14" s="3" customFormat="1" ht="12.2" customHeight="1" thickTop="1" thickBot="1" x14ac:dyDescent="0.2">
      <c r="A544" s="130" t="s">
        <v>71</v>
      </c>
      <c r="B544" s="191">
        <v>21</v>
      </c>
      <c r="C544" s="191">
        <v>20</v>
      </c>
      <c r="D544" s="192" t="s">
        <v>432</v>
      </c>
      <c r="E544" s="191"/>
      <c r="F544" s="193">
        <f>SUM(F541:F543)</f>
        <v>31037</v>
      </c>
      <c r="G544" s="193">
        <f t="shared" ref="G544:L544" si="40">SUM(G541:G543)</f>
        <v>25730</v>
      </c>
      <c r="H544" s="193">
        <f t="shared" si="40"/>
        <v>197906</v>
      </c>
      <c r="I544" s="193">
        <f t="shared" si="40"/>
        <v>4358</v>
      </c>
      <c r="J544" s="193">
        <f t="shared" si="40"/>
        <v>619</v>
      </c>
      <c r="K544" s="193">
        <f t="shared" si="40"/>
        <v>257</v>
      </c>
      <c r="L544" s="193">
        <f t="shared" si="40"/>
        <v>259907</v>
      </c>
      <c r="M544" s="8"/>
      <c r="N544" s="266"/>
    </row>
    <row r="545" spans="1:14" s="3" customFormat="1" ht="12.2" customHeight="1" thickTop="1" x14ac:dyDescent="0.15">
      <c r="A545" s="98" t="s">
        <v>72</v>
      </c>
      <c r="B545" s="107">
        <v>21</v>
      </c>
      <c r="C545" s="107">
        <v>21</v>
      </c>
      <c r="D545" s="158" t="s">
        <v>432</v>
      </c>
      <c r="E545" s="107"/>
      <c r="F545" s="89">
        <f>F524+F529+F534+F539+F544</f>
        <v>2974039</v>
      </c>
      <c r="G545" s="89">
        <f t="shared" ref="G545:L545" si="41">G524+G529+G534+G539+G544</f>
        <v>1285542</v>
      </c>
      <c r="H545" s="89">
        <f t="shared" si="41"/>
        <v>1110629</v>
      </c>
      <c r="I545" s="89">
        <f t="shared" si="41"/>
        <v>29351</v>
      </c>
      <c r="J545" s="89">
        <f t="shared" si="41"/>
        <v>12651</v>
      </c>
      <c r="K545" s="89">
        <f t="shared" si="41"/>
        <v>2794</v>
      </c>
      <c r="L545" s="89">
        <f t="shared" si="41"/>
        <v>5415006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2359413</v>
      </c>
      <c r="G549" s="87">
        <f>L526</f>
        <v>661738</v>
      </c>
      <c r="H549" s="87">
        <f>L531</f>
        <v>110057</v>
      </c>
      <c r="I549" s="87">
        <f>L536</f>
        <v>2998</v>
      </c>
      <c r="J549" s="87">
        <f>L541</f>
        <v>42358</v>
      </c>
      <c r="K549" s="87">
        <f>SUM(F549:J549)</f>
        <v>3176564</v>
      </c>
      <c r="L549" s="24" t="s">
        <v>288</v>
      </c>
      <c r="M549" s="8"/>
      <c r="N549" s="266"/>
    </row>
    <row r="550" spans="1:14" s="3" customFormat="1" ht="12.2" customHeight="1" x14ac:dyDescent="0.15">
      <c r="A550" s="22" t="s">
        <v>634</v>
      </c>
      <c r="B550" s="75">
        <v>21</v>
      </c>
      <c r="C550" s="75">
        <v>23</v>
      </c>
      <c r="D550" s="2" t="s">
        <v>432</v>
      </c>
      <c r="E550" s="75"/>
      <c r="F550" s="87">
        <f>L522</f>
        <v>601386</v>
      </c>
      <c r="G550" s="87">
        <f>L527</f>
        <v>111604</v>
      </c>
      <c r="H550" s="87">
        <f>L532</f>
        <v>35981</v>
      </c>
      <c r="I550" s="87">
        <f>L537</f>
        <v>980</v>
      </c>
      <c r="J550" s="87">
        <f>L542</f>
        <v>17852</v>
      </c>
      <c r="K550" s="87">
        <f>SUM(F550:J550)</f>
        <v>767803</v>
      </c>
      <c r="L550" s="24" t="s">
        <v>288</v>
      </c>
      <c r="M550" s="8"/>
      <c r="N550" s="266"/>
    </row>
    <row r="551" spans="1:14" s="3" customFormat="1" ht="12.2" customHeight="1" thickBot="1" x14ac:dyDescent="0.2">
      <c r="A551" s="22" t="s">
        <v>635</v>
      </c>
      <c r="B551" s="75">
        <v>21</v>
      </c>
      <c r="C551" s="75">
        <v>24</v>
      </c>
      <c r="D551" s="2" t="s">
        <v>432</v>
      </c>
      <c r="E551" s="75"/>
      <c r="F551" s="87">
        <f>L523</f>
        <v>885234</v>
      </c>
      <c r="G551" s="87">
        <f>L528</f>
        <v>318308</v>
      </c>
      <c r="H551" s="87">
        <f>L533</f>
        <v>65612</v>
      </c>
      <c r="I551" s="87">
        <f>L538</f>
        <v>1788</v>
      </c>
      <c r="J551" s="87">
        <f>L543</f>
        <v>199697</v>
      </c>
      <c r="K551" s="87">
        <f>SUM(F551:J551)</f>
        <v>1470639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3846033</v>
      </c>
      <c r="G552" s="89">
        <f t="shared" si="42"/>
        <v>1091650</v>
      </c>
      <c r="H552" s="89">
        <f t="shared" si="42"/>
        <v>211650</v>
      </c>
      <c r="I552" s="89">
        <f t="shared" si="42"/>
        <v>5766</v>
      </c>
      <c r="J552" s="89">
        <f t="shared" si="42"/>
        <v>259907</v>
      </c>
      <c r="K552" s="89">
        <f t="shared" si="42"/>
        <v>5415006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v>10105</v>
      </c>
      <c r="H579" s="18">
        <v>3970</v>
      </c>
      <c r="I579" s="87">
        <f t="shared" si="47"/>
        <v>14075</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f>202708+10800</f>
        <v>213508</v>
      </c>
      <c r="G580" s="18">
        <f>47210+3174</f>
        <v>50384</v>
      </c>
      <c r="H580" s="18">
        <f>318893+26192</f>
        <v>345085</v>
      </c>
      <c r="I580" s="87">
        <f t="shared" si="47"/>
        <v>608977</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25823</v>
      </c>
      <c r="I584" s="87">
        <f t="shared" si="47"/>
        <v>25823</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271330</v>
      </c>
      <c r="I591" s="18">
        <v>88132</v>
      </c>
      <c r="J591" s="18">
        <v>161016</v>
      </c>
      <c r="K591" s="104">
        <f t="shared" ref="K591:K597" si="48">SUM(H591:J591)</f>
        <v>520478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42358</v>
      </c>
      <c r="I592" s="18">
        <v>17853</v>
      </c>
      <c r="J592" s="18">
        <v>199696</v>
      </c>
      <c r="K592" s="104">
        <f t="shared" si="48"/>
        <v>259907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16836</v>
      </c>
      <c r="K593" s="104">
        <f t="shared" si="48"/>
        <v>16836</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17175</v>
      </c>
      <c r="J594" s="18">
        <v>52930</v>
      </c>
      <c r="K594" s="104">
        <f t="shared" si="48"/>
        <v>70105</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3140</v>
      </c>
      <c r="I595" s="18">
        <v>402</v>
      </c>
      <c r="J595" s="18">
        <v>3337</v>
      </c>
      <c r="K595" s="104">
        <f t="shared" si="48"/>
        <v>6879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316828</v>
      </c>
      <c r="I598" s="108">
        <f>SUM(I591:I597)</f>
        <v>123562</v>
      </c>
      <c r="J598" s="108">
        <f>SUM(J591:J597)</f>
        <v>433815</v>
      </c>
      <c r="K598" s="108">
        <f>SUM(K591:K597)</f>
        <v>874205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f>294</f>
        <v>294</v>
      </c>
      <c r="J603" s="18">
        <f>685</f>
        <v>685</v>
      </c>
      <c r="K603" s="104">
        <f>SUM(H603:J603)</f>
        <v>979</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325141+10609</f>
        <v>335750</v>
      </c>
      <c r="I604" s="18">
        <f>75515+2173-294</f>
        <v>77394</v>
      </c>
      <c r="J604" s="18">
        <f>170258+3328-685</f>
        <v>172901</v>
      </c>
      <c r="K604" s="104">
        <f>SUM(H604:J604)</f>
        <v>586045</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335750</v>
      </c>
      <c r="I605" s="108">
        <f>SUM(I602:I604)</f>
        <v>77688</v>
      </c>
      <c r="J605" s="108">
        <f>SUM(J602:J604)</f>
        <v>173586</v>
      </c>
      <c r="K605" s="108">
        <f>SUM(K602:K604)</f>
        <v>587024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34265+785+1445+1554+1442</f>
        <v>39491</v>
      </c>
      <c r="G611" s="18">
        <f>6801+63+366+124+188+1</f>
        <v>7543</v>
      </c>
      <c r="H611" s="18">
        <f>11730+799+2488+1637+1209</f>
        <v>17863</v>
      </c>
      <c r="I611" s="18"/>
      <c r="J611" s="18"/>
      <c r="K611" s="18"/>
      <c r="L611" s="88">
        <f>SUM(F611:K611)</f>
        <v>64897</v>
      </c>
      <c r="M611" s="8"/>
      <c r="N611" s="266"/>
    </row>
    <row r="612" spans="1:14" s="3" customFormat="1" ht="12.2" customHeight="1" x14ac:dyDescent="0.15">
      <c r="A612" s="22" t="s">
        <v>634</v>
      </c>
      <c r="B612" s="75">
        <v>23</v>
      </c>
      <c r="C612" s="75">
        <v>14</v>
      </c>
      <c r="D612" s="2" t="s">
        <v>432</v>
      </c>
      <c r="E612" s="75"/>
      <c r="F612" s="18">
        <f>7787+178+328+353+328+1830</f>
        <v>10804</v>
      </c>
      <c r="G612" s="18">
        <f>1546+14+83+28+43+445</f>
        <v>2159</v>
      </c>
      <c r="H612" s="18">
        <f>3385+181</f>
        <v>3566</v>
      </c>
      <c r="I612" s="18"/>
      <c r="J612" s="18"/>
      <c r="K612" s="18"/>
      <c r="L612" s="88">
        <f>SUM(F612:K612)</f>
        <v>16529</v>
      </c>
      <c r="M612" s="8"/>
      <c r="N612" s="266"/>
    </row>
    <row r="613" spans="1:14" s="3" customFormat="1" ht="12.2" customHeight="1" thickBot="1" x14ac:dyDescent="0.2">
      <c r="A613" s="22" t="s">
        <v>645</v>
      </c>
      <c r="B613" s="75">
        <v>23</v>
      </c>
      <c r="C613" s="75">
        <v>15</v>
      </c>
      <c r="D613" s="2" t="s">
        <v>432</v>
      </c>
      <c r="E613" s="75"/>
      <c r="F613" s="18">
        <f>9864+226+416+447+415+4269</f>
        <v>15637</v>
      </c>
      <c r="G613" s="18">
        <f>1958+18+105+36+54+1040</f>
        <v>3211</v>
      </c>
      <c r="H613" s="18">
        <f>26460+230+466+11920+905</f>
        <v>39981</v>
      </c>
      <c r="I613" s="18"/>
      <c r="J613" s="18"/>
      <c r="K613" s="18"/>
      <c r="L613" s="88">
        <f>SUM(F613:K613)</f>
        <v>58829</v>
      </c>
      <c r="M613" s="8"/>
      <c r="N613" s="266"/>
    </row>
    <row r="614" spans="1:14" s="3" customFormat="1" ht="12.2" customHeight="1" thickTop="1" x14ac:dyDescent="0.15">
      <c r="A614" s="98" t="s">
        <v>340</v>
      </c>
      <c r="B614" s="107">
        <v>23</v>
      </c>
      <c r="C614" s="107">
        <v>16</v>
      </c>
      <c r="D614" s="39" t="s">
        <v>432</v>
      </c>
      <c r="E614" s="107"/>
      <c r="F614" s="108">
        <f t="shared" ref="F614:L614" si="49">SUM(F611:F613)</f>
        <v>65932</v>
      </c>
      <c r="G614" s="108">
        <f t="shared" si="49"/>
        <v>12913</v>
      </c>
      <c r="H614" s="108">
        <f t="shared" si="49"/>
        <v>61410</v>
      </c>
      <c r="I614" s="108">
        <f t="shared" si="49"/>
        <v>0</v>
      </c>
      <c r="J614" s="108">
        <f t="shared" si="49"/>
        <v>0</v>
      </c>
      <c r="K614" s="108">
        <f t="shared" si="49"/>
        <v>0</v>
      </c>
      <c r="L614" s="89">
        <f t="shared" si="49"/>
        <v>140255</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1117000</v>
      </c>
      <c r="H617" s="109">
        <f>SUM(F52)</f>
        <v>1117000</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18305</v>
      </c>
      <c r="H618" s="109">
        <f>SUM(G52)</f>
        <v>18305</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113621</v>
      </c>
      <c r="H619" s="109">
        <f>SUM(H52)</f>
        <v>113621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467756</v>
      </c>
      <c r="H621" s="109">
        <f>SUM(J52)</f>
        <v>467756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910634</v>
      </c>
      <c r="H622" s="109">
        <f>F476</f>
        <v>910634</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409815</v>
      </c>
      <c r="H626" s="109">
        <f>J476</f>
        <v>409815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18430462</v>
      </c>
      <c r="H627" s="104">
        <f>SUM(F468)</f>
        <v>18430462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428943</v>
      </c>
      <c r="H628" s="104">
        <f>SUM(G468)</f>
        <v>428943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458121</v>
      </c>
      <c r="H629" s="104">
        <f>SUM(H468)</f>
        <v>458121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95000</v>
      </c>
      <c r="H630" s="104">
        <f>SUM(I468)</f>
        <v>95000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17458</v>
      </c>
      <c r="H631" s="104">
        <f>SUM(J468)</f>
        <v>17458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18430770</v>
      </c>
      <c r="H632" s="104">
        <f>SUM(F472)</f>
        <v>18430770</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458121</v>
      </c>
      <c r="H633" s="104">
        <f>SUM(H472)</f>
        <v>458121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163045</v>
      </c>
      <c r="H634" s="104">
        <f>I369</f>
        <v>163045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428943</v>
      </c>
      <c r="H635" s="104">
        <f>SUM(G472)</f>
        <v>428943</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935333</v>
      </c>
      <c r="H636" s="104">
        <f>SUM(I472)</f>
        <v>935333</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17458</v>
      </c>
      <c r="H637" s="164">
        <f>SUM(J468)</f>
        <v>17458</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155738</v>
      </c>
      <c r="H638" s="164">
        <f>SUM(J472)</f>
        <v>155738</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267024</v>
      </c>
      <c r="H639" s="104">
        <f>SUM(F461)</f>
        <v>267024</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200732</v>
      </c>
      <c r="H640" s="104">
        <f>SUM(G461)</f>
        <v>200732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467756</v>
      </c>
      <c r="H642" s="104">
        <f>SUM(I461)</f>
        <v>467756</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7458</v>
      </c>
      <c r="H644" s="104">
        <f>H408</f>
        <v>7458</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10000</v>
      </c>
      <c r="H645" s="104">
        <f>G408</f>
        <v>10000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17458</v>
      </c>
      <c r="H646" s="104">
        <f>L408</f>
        <v>17458</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874205</v>
      </c>
      <c r="H647" s="104">
        <f>L208+L226+L244</f>
        <v>874205</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587024</v>
      </c>
      <c r="H648" s="104">
        <f>(J257+J338)-(J255+J336)</f>
        <v>587024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316828</v>
      </c>
      <c r="H649" s="104">
        <f>H598</f>
        <v>316828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123562</v>
      </c>
      <c r="H650" s="104">
        <f>I598</f>
        <v>123562</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433815</v>
      </c>
      <c r="H651" s="104">
        <f>J598</f>
        <v>433815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101471</v>
      </c>
      <c r="H652" s="104">
        <f>K263+K345</f>
        <v>101471</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2568</v>
      </c>
      <c r="H653" s="104">
        <f>K264</f>
        <v>2568</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10000</v>
      </c>
      <c r="H655" s="104">
        <f>K266+K347</f>
        <v>10000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10063358</v>
      </c>
      <c r="G660" s="19">
        <f>(L229+L309+L359)</f>
        <v>2941312</v>
      </c>
      <c r="H660" s="19">
        <f>(L247+L328+L360)</f>
        <v>6181211</v>
      </c>
      <c r="I660" s="19">
        <f>SUM(F660:H660)</f>
        <v>19185881</v>
      </c>
      <c r="J660" s="13"/>
      <c r="K660" s="13"/>
      <c r="L660" s="13"/>
      <c r="M660" s="9"/>
    </row>
    <row r="661" spans="1:13" s="3" customFormat="1" ht="12.2" customHeight="1" x14ac:dyDescent="0.2">
      <c r="A661" s="1" t="s">
        <v>127</v>
      </c>
      <c r="F661" s="19">
        <f>(L358/IF(SUM(L358:L360)=0,1,SUM(L358:L360))*(SUM(G97:G110)))</f>
        <v>136490.08928459027</v>
      </c>
      <c r="G661" s="19">
        <f>(L359/IF(SUM(L358:L360)=0,1,SUM(L358:L360))*(SUM(G97:G110)))</f>
        <v>35183.277806142069</v>
      </c>
      <c r="H661" s="19">
        <f>(L360/IF(SUM(L358:L360)=0,1,SUM(L358:L360))*(SUM(G97:G110)))</f>
        <v>78328.632909267661</v>
      </c>
      <c r="I661" s="19">
        <f>SUM(F661:H661)</f>
        <v>250002</v>
      </c>
      <c r="J661"/>
      <c r="K661" s="13"/>
      <c r="L661" s="13"/>
      <c r="M661" s="9"/>
    </row>
    <row r="662" spans="1:13" s="3" customFormat="1" ht="12.2" customHeight="1" x14ac:dyDescent="0.2">
      <c r="A662" s="1" t="s">
        <v>128</v>
      </c>
      <c r="F662" s="19">
        <f>(L208+L287)-(J208+J287)</f>
        <v>316601</v>
      </c>
      <c r="G662" s="19">
        <f>(L226+L306)-(J226+J306)</f>
        <v>123488</v>
      </c>
      <c r="H662" s="19">
        <f>(L244+L325)-(J244+J325)</f>
        <v>433497</v>
      </c>
      <c r="I662" s="19">
        <f>SUM(F662:H662)</f>
        <v>873586</v>
      </c>
      <c r="J662"/>
      <c r="K662" s="13"/>
      <c r="L662" s="13"/>
      <c r="M662" s="8"/>
    </row>
    <row r="663" spans="1:13" s="3" customFormat="1" ht="12.2" customHeight="1" x14ac:dyDescent="0.15">
      <c r="A663" s="198" t="s">
        <v>129</v>
      </c>
      <c r="B663" s="169"/>
      <c r="C663" s="169"/>
      <c r="D663" s="169"/>
      <c r="E663" s="169"/>
      <c r="F663" s="199">
        <f>SUM(F575:F587)+SUM(H602:H604)+SUM(L611)</f>
        <v>614155</v>
      </c>
      <c r="G663" s="199">
        <f>SUM(G575:G587)+SUM(I602:I604)+L612</f>
        <v>154706</v>
      </c>
      <c r="H663" s="199">
        <f>SUM(H575:H587)+SUM(J602:J604)+L613</f>
        <v>607293</v>
      </c>
      <c r="I663" s="19">
        <f>SUM(F663:H663)</f>
        <v>1376154</v>
      </c>
      <c r="J663" s="13"/>
      <c r="K663" s="13"/>
      <c r="L663" s="13"/>
      <c r="M663" s="9"/>
    </row>
    <row r="664" spans="1:13" s="3" customFormat="1" ht="12.2" customHeight="1" x14ac:dyDescent="0.15">
      <c r="A664" s="1" t="s">
        <v>130</v>
      </c>
      <c r="F664" s="19">
        <f>F660-SUM(F661:F663)</f>
        <v>8996111.9107154105</v>
      </c>
      <c r="G664" s="19">
        <f>G660-SUM(G661:G663)</f>
        <v>2627934.7221938581</v>
      </c>
      <c r="H664" s="19">
        <f>H660-SUM(H661:H663)</f>
        <v>5062092.3670907319</v>
      </c>
      <c r="I664" s="19">
        <f>I660-SUM(I661:I663)</f>
        <v>16686139</v>
      </c>
      <c r="J664" s="13"/>
      <c r="K664" s="13"/>
      <c r="L664" s="13"/>
      <c r="M664" s="9"/>
    </row>
    <row r="665" spans="1:13" s="3" customFormat="1" ht="12.2" customHeight="1" x14ac:dyDescent="0.2">
      <c r="A665" s="1" t="s">
        <v>131</v>
      </c>
      <c r="F665" s="246">
        <v>506.67</v>
      </c>
      <c r="G665" s="247">
        <v>166.45</v>
      </c>
      <c r="H665" s="247">
        <v>304.06</v>
      </c>
      <c r="I665" s="19">
        <f>SUM(F665:H665)</f>
        <v>977.18000000000006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17755.37</v>
      </c>
      <c r="G667" s="19">
        <f>ROUND(G664/G665,2)</f>
        <v>15788.13</v>
      </c>
      <c r="H667" s="19">
        <f>ROUND(H664/H665,2)</f>
        <v>16648.330000000002</v>
      </c>
      <c r="I667" s="19">
        <f>ROUND(I664/I665,2)</f>
        <v>17075.810000000001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-5.67</v>
      </c>
      <c r="I670" s="19">
        <f>SUM(F670:H670)</f>
        <v>-5.67</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17755.37</v>
      </c>
      <c r="G672" s="19">
        <f>ROUND((G664+G669)/(G665+G670),2)</f>
        <v>15788.13</v>
      </c>
      <c r="H672" s="19">
        <f>ROUND((H664+H669)/(H665+H670),2)</f>
        <v>16964.689999999999</v>
      </c>
      <c r="I672" s="19">
        <f>ROUND((I664+I669)/(I665+I670),2)</f>
        <v>17175.47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HOPKINTON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4941654</v>
      </c>
      <c r="C9" s="229">
        <f>'DOE25'!G197+'DOE25'!G215+'DOE25'!G233+'DOE25'!G276+'DOE25'!G295+'DOE25'!G314</f>
        <v>2441849</v>
      </c>
    </row>
    <row r="10" spans="1:3" x14ac:dyDescent="0.2">
      <c r="A10" t="s">
        <v>775</v>
      </c>
      <c r="B10" s="240">
        <f>+B9-B11</f>
        <v>4918791</v>
      </c>
      <c r="C10" s="240">
        <f>+C9-C11</f>
        <v>2438855</v>
      </c>
    </row>
    <row r="11" spans="1:3" x14ac:dyDescent="0.2">
      <c r="A11" t="s">
        <v>776</v>
      </c>
      <c r="B11" s="240">
        <f>2947+4200+1716+14000</f>
        <v>22863</v>
      </c>
      <c r="C11" s="240">
        <f>246+132+298+5+813+1500</f>
        <v>2994</v>
      </c>
    </row>
    <row r="12" spans="1:3" x14ac:dyDescent="0.2">
      <c r="A12" t="s">
        <v>777</v>
      </c>
      <c r="B12" s="240"/>
      <c r="C12" s="240"/>
    </row>
    <row r="13" spans="1:3" x14ac:dyDescent="0.2">
      <c r="A13" t="str">
        <f>IF(B9=B13,IF(C9=C13,"Check Total OK","Check Total Error"),"Check Total Error")</f>
        <v>Check Total OK</v>
      </c>
      <c r="B13" s="231">
        <f>SUM(B10:B12)</f>
        <v>4941654</v>
      </c>
      <c r="C13" s="231">
        <f>SUM(C10:C12)</f>
        <v>2441849</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2174969</v>
      </c>
      <c r="C18" s="229">
        <f>'DOE25'!G198+'DOE25'!G216+'DOE25'!G234+'DOE25'!G277+'DOE25'!G296+'DOE25'!G315</f>
        <v>912786</v>
      </c>
    </row>
    <row r="19" spans="1:3" x14ac:dyDescent="0.2">
      <c r="A19" t="s">
        <v>775</v>
      </c>
      <c r="B19" s="240">
        <f>981668+44282-14000</f>
        <v>1011950</v>
      </c>
      <c r="C19" s="240">
        <f>492017+32613-1500</f>
        <v>523130</v>
      </c>
    </row>
    <row r="20" spans="1:3" x14ac:dyDescent="0.2">
      <c r="A20" t="s">
        <v>776</v>
      </c>
      <c r="B20" s="240">
        <f>+B18-B19</f>
        <v>1163019</v>
      </c>
      <c r="C20" s="240">
        <f>+C18-C19</f>
        <v>389656</v>
      </c>
    </row>
    <row r="21" spans="1:3" x14ac:dyDescent="0.2">
      <c r="A21" t="s">
        <v>777</v>
      </c>
      <c r="B21" s="240"/>
      <c r="C21" s="240"/>
    </row>
    <row r="22" spans="1:3" x14ac:dyDescent="0.2">
      <c r="A22" t="str">
        <f>IF(B18=B22,IF(C18=C22,"Check Total OK","Check Total Error"),"Check Total Error")</f>
        <v>Check Total OK</v>
      </c>
      <c r="B22" s="231">
        <f>SUM(B19:B21)</f>
        <v>2174969</v>
      </c>
      <c r="C22" s="231">
        <f>SUM(C19:C21)</f>
        <v>912786</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238682</v>
      </c>
      <c r="C36" s="235">
        <f>'DOE25'!G200+'DOE25'!G218+'DOE25'!G236+'DOE25'!G279+'DOE25'!G298+'DOE25'!G317</f>
        <v>38240</v>
      </c>
    </row>
    <row r="37" spans="1:3" x14ac:dyDescent="0.2">
      <c r="A37" t="s">
        <v>775</v>
      </c>
      <c r="B37" s="240">
        <f>+B36-B39</f>
        <v>181347</v>
      </c>
      <c r="C37" s="240">
        <f>+C36-C39</f>
        <v>27131</v>
      </c>
    </row>
    <row r="38" spans="1:3" x14ac:dyDescent="0.2">
      <c r="A38" t="s">
        <v>776</v>
      </c>
      <c r="B38" s="240"/>
      <c r="C38" s="240"/>
    </row>
    <row r="39" spans="1:3" x14ac:dyDescent="0.2">
      <c r="A39" t="s">
        <v>777</v>
      </c>
      <c r="B39" s="240">
        <v>57335</v>
      </c>
      <c r="C39" s="240">
        <v>11109</v>
      </c>
    </row>
    <row r="40" spans="1:3" x14ac:dyDescent="0.2">
      <c r="A40" t="str">
        <f>IF(B36=B40,IF(C36=C40,"Check Total OK","Check Total Error"),"Check Total Error")</f>
        <v>Check Total OK</v>
      </c>
      <c r="B40" s="231">
        <f>SUM(B37:B39)</f>
        <v>238682</v>
      </c>
      <c r="C40" s="231">
        <f>SUM(C37:C39)</f>
        <v>38240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HOPKINTON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11535596</v>
      </c>
      <c r="D5" s="20">
        <f>SUM('DOE25'!L197:L200)+SUM('DOE25'!L215:L218)+SUM('DOE25'!L233:L236)-F5-G5-H5</f>
        <v>11487924</v>
      </c>
      <c r="E5" s="243"/>
      <c r="F5" s="244">
        <v>0</v>
      </c>
      <c r="G5" s="53">
        <f>SUM('DOE25'!J197:J200)+SUM('DOE25'!J215:J218)+SUM('DOE25'!J233:J236)</f>
        <v>31873</v>
      </c>
      <c r="H5" s="53">
        <f>SUM('DOE25'!K197:K200)+SUM('DOE25'!K215:K218)+SUM('DOE25'!K233:K236)</f>
        <v>15799</v>
      </c>
      <c r="I5" s="256"/>
    </row>
    <row r="6" spans="1:9" x14ac:dyDescent="0.2">
      <c r="A6" s="32">
        <v>2100</v>
      </c>
      <c r="B6" t="s">
        <v>796</v>
      </c>
      <c r="C6" s="276">
        <f t="shared" si="0"/>
        <v>1439541</v>
      </c>
      <c r="D6" s="20">
        <f>'DOE25'!L202+'DOE25'!L220+'DOE25'!L238-F6-G6-H6</f>
        <v>1337688</v>
      </c>
      <c r="E6" s="243"/>
      <c r="F6" s="244">
        <v>99053</v>
      </c>
      <c r="G6" s="53">
        <f>'DOE25'!J202+'DOE25'!J220+'DOE25'!J238</f>
        <v>1196</v>
      </c>
      <c r="H6" s="53">
        <f>'DOE25'!K202+'DOE25'!K220+'DOE25'!K238</f>
        <v>1604</v>
      </c>
      <c r="I6" s="256"/>
    </row>
    <row r="7" spans="1:9" x14ac:dyDescent="0.2">
      <c r="A7" s="32">
        <v>2200</v>
      </c>
      <c r="B7" t="s">
        <v>821</v>
      </c>
      <c r="C7" s="276">
        <f t="shared" si="0"/>
        <v>763438</v>
      </c>
      <c r="D7" s="20">
        <f>'DOE25'!L203+'DOE25'!L221+'DOE25'!L239-F7-G7-H7</f>
        <v>648501</v>
      </c>
      <c r="E7" s="243"/>
      <c r="F7" s="244">
        <v>0</v>
      </c>
      <c r="G7" s="53">
        <f>'DOE25'!J203+'DOE25'!J221+'DOE25'!J239</f>
        <v>89104</v>
      </c>
      <c r="H7" s="53">
        <f>'DOE25'!K203+'DOE25'!K221+'DOE25'!K239</f>
        <v>25833</v>
      </c>
      <c r="I7" s="256"/>
    </row>
    <row r="8" spans="1:9" x14ac:dyDescent="0.2">
      <c r="A8" s="32">
        <v>2300</v>
      </c>
      <c r="B8" t="s">
        <v>797</v>
      </c>
      <c r="C8" s="276">
        <f t="shared" si="0"/>
        <v>275740.7</v>
      </c>
      <c r="D8" s="243"/>
      <c r="E8" s="20">
        <f>'DOE25'!L204+'DOE25'!L222+'DOE25'!L240-F8-G8-H8-D9-D11</f>
        <v>257306.7</v>
      </c>
      <c r="F8" s="244">
        <v>0</v>
      </c>
      <c r="G8" s="53">
        <f>'DOE25'!J204+'DOE25'!J222+'DOE25'!J240</f>
        <v>0</v>
      </c>
      <c r="H8" s="53">
        <f>'DOE25'!K204+'DOE25'!K222+'DOE25'!K240</f>
        <v>18434</v>
      </c>
      <c r="I8" s="256"/>
    </row>
    <row r="9" spans="1:9" ht="14.25" x14ac:dyDescent="0.2">
      <c r="A9" s="32">
        <v>2310</v>
      </c>
      <c r="B9" s="185" t="s">
        <v>890</v>
      </c>
      <c r="C9" s="276">
        <f t="shared" si="0"/>
        <v>13712</v>
      </c>
      <c r="D9" s="244">
        <v>13712</v>
      </c>
      <c r="E9" s="243"/>
      <c r="F9" s="253"/>
      <c r="G9" s="253"/>
      <c r="H9" s="253"/>
      <c r="I9" s="256"/>
    </row>
    <row r="10" spans="1:9" ht="14.25" x14ac:dyDescent="0.2">
      <c r="A10" s="32">
        <v>2317</v>
      </c>
      <c r="B10" s="185" t="s">
        <v>891</v>
      </c>
      <c r="C10" s="276">
        <f t="shared" si="0"/>
        <v>12600</v>
      </c>
      <c r="D10" s="243"/>
      <c r="E10" s="244">
        <v>12600</v>
      </c>
      <c r="F10" s="253"/>
      <c r="G10" s="253"/>
      <c r="H10" s="253"/>
      <c r="I10" s="256"/>
    </row>
    <row r="11" spans="1:9" ht="14.25" x14ac:dyDescent="0.2">
      <c r="A11" s="32">
        <v>2321</v>
      </c>
      <c r="B11" s="185" t="s">
        <v>892</v>
      </c>
      <c r="C11" s="276">
        <f t="shared" si="0"/>
        <v>312590.3</v>
      </c>
      <c r="D11" s="244">
        <v>312590.3</v>
      </c>
      <c r="E11" s="243"/>
      <c r="F11" s="253"/>
      <c r="G11" s="253"/>
      <c r="H11" s="253"/>
      <c r="I11" s="256"/>
    </row>
    <row r="12" spans="1:9" x14ac:dyDescent="0.2">
      <c r="A12" s="32">
        <v>2400</v>
      </c>
      <c r="B12" t="s">
        <v>711</v>
      </c>
      <c r="C12" s="276">
        <f t="shared" si="0"/>
        <v>896465</v>
      </c>
      <c r="D12" s="20">
        <f>'DOE25'!L205+'DOE25'!L223+'DOE25'!L241-F12-G12-H12</f>
        <v>891002</v>
      </c>
      <c r="E12" s="243"/>
      <c r="F12" s="244">
        <v>0</v>
      </c>
      <c r="G12" s="53">
        <f>'DOE25'!J205+'DOE25'!J223+'DOE25'!J241</f>
        <v>947</v>
      </c>
      <c r="H12" s="53">
        <f>'DOE25'!K205+'DOE25'!K223+'DOE25'!K241</f>
        <v>4516</v>
      </c>
      <c r="I12" s="256"/>
    </row>
    <row r="13" spans="1:9" x14ac:dyDescent="0.2">
      <c r="A13" s="32">
        <v>2500</v>
      </c>
      <c r="B13" t="s">
        <v>798</v>
      </c>
      <c r="C13" s="276">
        <f t="shared" si="0"/>
        <v>332147</v>
      </c>
      <c r="D13" s="243"/>
      <c r="E13" s="20">
        <f>'DOE25'!L206+'DOE25'!L224+'DOE25'!L242-F13-G13-H13</f>
        <v>332147</v>
      </c>
      <c r="F13" s="244">
        <v>0</v>
      </c>
      <c r="G13" s="53">
        <f>'DOE25'!J206+'DOE25'!J224+'DOE25'!J242</f>
        <v>0</v>
      </c>
      <c r="H13" s="53">
        <f>'DOE25'!K206+'DOE25'!K224+'DOE25'!K242</f>
        <v>0</v>
      </c>
      <c r="I13" s="256"/>
    </row>
    <row r="14" spans="1:9" x14ac:dyDescent="0.2">
      <c r="A14" s="32">
        <v>2600</v>
      </c>
      <c r="B14" t="s">
        <v>819</v>
      </c>
      <c r="C14" s="276">
        <f t="shared" si="0"/>
        <v>1572678</v>
      </c>
      <c r="D14" s="20">
        <f>'DOE25'!L207+'DOE25'!L225+'DOE25'!L243-F14-G14-H14</f>
        <v>954619</v>
      </c>
      <c r="E14" s="243"/>
      <c r="F14" s="244">
        <f>48118+28930+67414+26990</f>
        <v>171452</v>
      </c>
      <c r="G14" s="53">
        <f>'DOE25'!J207+'DOE25'!J225+'DOE25'!J243</f>
        <v>446607</v>
      </c>
      <c r="H14" s="53">
        <f>'DOE25'!K207+'DOE25'!K225+'DOE25'!K243</f>
        <v>0</v>
      </c>
      <c r="I14" s="256"/>
    </row>
    <row r="15" spans="1:9" x14ac:dyDescent="0.2">
      <c r="A15" s="32">
        <v>2700</v>
      </c>
      <c r="B15" t="s">
        <v>799</v>
      </c>
      <c r="C15" s="276">
        <f t="shared" si="0"/>
        <v>874205</v>
      </c>
      <c r="D15" s="20">
        <f>'DOE25'!L208+'DOE25'!L226+'DOE25'!L244-F15-G15-H15</f>
        <v>106899</v>
      </c>
      <c r="E15" s="243"/>
      <c r="F15" s="244">
        <f>526460+52890+92655+94424</f>
        <v>766429</v>
      </c>
      <c r="G15" s="53">
        <f>'DOE25'!J208+'DOE25'!J226+'DOE25'!J244</f>
        <v>619</v>
      </c>
      <c r="H15" s="53">
        <f>'DOE25'!K208+'DOE25'!K226+'DOE25'!K244</f>
        <v>258</v>
      </c>
      <c r="I15" s="256"/>
    </row>
    <row r="16" spans="1:9" x14ac:dyDescent="0.2">
      <c r="A16" s="32">
        <v>2800</v>
      </c>
      <c r="B16" t="s">
        <v>800</v>
      </c>
      <c r="C16" s="276">
        <f t="shared" si="0"/>
        <v>286417</v>
      </c>
      <c r="D16" s="243"/>
      <c r="E16" s="20">
        <f>'DOE25'!L209+'DOE25'!L227+'DOE25'!L245-F16-G16-H16</f>
        <v>273561</v>
      </c>
      <c r="F16" s="244">
        <v>0</v>
      </c>
      <c r="G16" s="53">
        <f>'DOE25'!J209+'DOE25'!J227+'DOE25'!J245</f>
        <v>568</v>
      </c>
      <c r="H16" s="53">
        <f>'DOE25'!K209+'DOE25'!K227+'DOE25'!K245</f>
        <v>12288</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14201</v>
      </c>
      <c r="D22" s="243"/>
      <c r="E22" s="243"/>
      <c r="F22" s="243"/>
      <c r="G22" s="53">
        <f>'DOE25'!L255+'DOE25'!L336</f>
        <v>14201</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294423</v>
      </c>
      <c r="D29" s="284">
        <f>'DOE25'!L358+'DOE25'!L359+'DOE25'!L360-'DOE25'!I367-F29-G29-H29</f>
        <v>154153</v>
      </c>
      <c r="E29" s="243"/>
      <c r="F29" s="244">
        <v>134521</v>
      </c>
      <c r="G29" s="53">
        <f>'DOE25'!J358+'DOE25'!J359+'DOE25'!J360</f>
        <v>3329</v>
      </c>
      <c r="H29" s="53">
        <f>'DOE25'!K358+'DOE25'!K359+'DOE25'!K360</f>
        <v>2420</v>
      </c>
      <c r="I29" s="256"/>
    </row>
    <row r="30" spans="1:9" x14ac:dyDescent="0.2">
      <c r="A30" s="32"/>
      <c r="C30" s="277"/>
      <c r="D30" s="20"/>
      <c r="E30" s="281"/>
      <c r="F30" s="271"/>
      <c r="G30" s="53"/>
      <c r="H30" s="53"/>
      <c r="I30" s="256"/>
    </row>
    <row r="31" spans="1:9" x14ac:dyDescent="0.2">
      <c r="A31" s="32" t="s">
        <v>818</v>
      </c>
      <c r="B31" t="s">
        <v>817</v>
      </c>
      <c r="C31" s="276">
        <f>SUM(D31:I31)</f>
        <v>457443</v>
      </c>
      <c r="D31" s="20">
        <f>'DOE25'!L290+'DOE25'!L309+'DOE25'!L328+'DOE25'!L333+'DOE25'!L334+'DOE25'!L335-F31-G31-H31</f>
        <v>414611</v>
      </c>
      <c r="E31" s="243"/>
      <c r="F31" s="244">
        <v>0</v>
      </c>
      <c r="G31" s="53">
        <f>'DOE25'!J290+'DOE25'!J309+'DOE25'!J328+'DOE25'!J333+'DOE25'!J334+'DOE25'!J335</f>
        <v>16110</v>
      </c>
      <c r="H31" s="53">
        <f>'DOE25'!K290+'DOE25'!K309+'DOE25'!K328+'DOE25'!K333+'DOE25'!K334+'DOE25'!K335</f>
        <v>26722</v>
      </c>
      <c r="I31" s="256"/>
    </row>
    <row r="32" spans="1:9" ht="12" thickBot="1" x14ac:dyDescent="0.25">
      <c r="C32" s="277"/>
      <c r="G32" s="251"/>
      <c r="H32" s="251"/>
      <c r="I32" s="258"/>
    </row>
    <row r="33" spans="1:9" ht="12" thickTop="1" x14ac:dyDescent="0.2">
      <c r="B33" t="s">
        <v>809</v>
      </c>
      <c r="D33" s="245">
        <f t="shared" ref="D33:I33" si="1">SUM(D5:D31)</f>
        <v>16321699.300000001</v>
      </c>
      <c r="E33" s="245">
        <f t="shared" si="1"/>
        <v>875614.7</v>
      </c>
      <c r="F33" s="245">
        <f t="shared" si="1"/>
        <v>1171455</v>
      </c>
      <c r="G33" s="245">
        <f t="shared" si="1"/>
        <v>604554</v>
      </c>
      <c r="H33" s="245">
        <f t="shared" si="1"/>
        <v>107874</v>
      </c>
      <c r="I33" s="245">
        <f t="shared" si="1"/>
        <v>0</v>
      </c>
    </row>
    <row r="35" spans="1:9" ht="12" thickBot="1" x14ac:dyDescent="0.25">
      <c r="B35" s="251" t="s">
        <v>831</v>
      </c>
      <c r="D35" s="252">
        <f>E33</f>
        <v>875614.7</v>
      </c>
      <c r="E35" s="248"/>
    </row>
    <row r="36" spans="1:9" ht="12" thickTop="1" x14ac:dyDescent="0.2">
      <c r="B36" t="s">
        <v>810</v>
      </c>
      <c r="D36" s="20">
        <f>D33</f>
        <v>16321699.300000001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HOPKINTON SCHOOL DISTRICT</v>
      </c>
      <c r="B2" s="126">
        <f>'DOE25'!B2</f>
        <v>263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9829174</v>
      </c>
      <c r="G4" s="303">
        <f>'DOE25'!L211+'DOE25'!L290</f>
        <v>9829174</v>
      </c>
      <c r="H4" s="304">
        <f>F4-G4</f>
        <v>0</v>
      </c>
      <c r="I4" s="310" t="str">
        <f>IF(H4=0,"","Does not match DOE25 page 7 and 11 Totals!!")</f>
        <v/>
      </c>
      <c r="N4"/>
    </row>
    <row r="5" spans="1:18" x14ac:dyDescent="0.2">
      <c r="A5" s="21" t="s">
        <v>1146</v>
      </c>
      <c r="B5" s="305">
        <f>IFERROR(VLOOKUP(A5,'School Tables'!$C$3:$D$368,2,FALSE),"")</f>
        <v>20975</v>
      </c>
      <c r="C5" s="297" t="str">
        <f>IFERROR(INDEX('School Tables'!$B$3:$B$368,MATCH('School Level Expenditures'!B5,'School Tables'!$D$3:$D$368,0)),"")</f>
        <v>Hopkinton</v>
      </c>
      <c r="D5" s="294">
        <f>5393746-58599</f>
        <v>5335147</v>
      </c>
      <c r="E5" s="294">
        <f>47680+214446-85778+58599</f>
        <v>234947</v>
      </c>
      <c r="F5" s="313">
        <f>D5+E5</f>
        <v>5570094</v>
      </c>
      <c r="G5" s="297"/>
      <c r="H5" s="297"/>
      <c r="I5" s="126"/>
      <c r="N5"/>
    </row>
    <row r="6" spans="1:18" x14ac:dyDescent="0.2">
      <c r="A6" s="21" t="s">
        <v>1144</v>
      </c>
      <c r="B6" s="305">
        <f>IFERROR(VLOOKUP(A6,'School Tables'!$C$3:$D$368,2,FALSE),"")</f>
        <v>20965</v>
      </c>
      <c r="C6" s="297" t="str">
        <f>IFERROR(INDEX('School Tables'!$B$3:$B$368,MATCH('School Level Expenditures'!B6,'School Tables'!$D$3:$D$368,0)),"")</f>
        <v>Hopkinton</v>
      </c>
      <c r="D6" s="294">
        <f>3410990+762312-38455</f>
        <v>4134847</v>
      </c>
      <c r="E6" s="294">
        <f>85778+38455</f>
        <v>124233</v>
      </c>
      <c r="F6" s="308">
        <f t="shared" ref="F6:F20" si="0">D6+E6</f>
        <v>4259080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2880946</v>
      </c>
      <c r="G24" s="303">
        <f>'DOE25'!L229+'DOE25'!L309</f>
        <v>2880946</v>
      </c>
      <c r="H24" s="304">
        <f>F24-G24</f>
        <v>0</v>
      </c>
      <c r="I24" s="310" t="str">
        <f>IF(H24=0,"","Does not match DOE25 page 8 and 12 Totals!!")</f>
        <v/>
      </c>
      <c r="N24"/>
    </row>
    <row r="25" spans="1:14" x14ac:dyDescent="0.2">
      <c r="A25" s="21" t="s">
        <v>1143</v>
      </c>
      <c r="B25" s="305">
        <f>IFERROR(VLOOKUP(A25,'School Tables'!$I$3:$J$80,2,FALSE),"")</f>
        <v>27000</v>
      </c>
      <c r="C25" s="297" t="str">
        <f t="array" ref="C25">IFERROR(INDEX('School Tables'!$H$3:$H$80,MATCH('School Level Expenditures'!B25,'School Tables'!$J$3:$J$80,0)),"")</f>
        <v>Hopkinton</v>
      </c>
      <c r="D25" s="294">
        <f>2880946-E25</f>
        <v>2795717</v>
      </c>
      <c r="E25" s="294">
        <f>34364+19433+232+69+31131</f>
        <v>85229</v>
      </c>
      <c r="F25" s="308">
        <f>D25+E25</f>
        <v>2880946</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6046818</v>
      </c>
      <c r="G36" s="303">
        <f>'DOE25'!L247+'DOE25'!L328</f>
        <v>6046818</v>
      </c>
      <c r="H36" s="304">
        <f>F36-G36</f>
        <v>0</v>
      </c>
      <c r="I36" s="310" t="str">
        <f>IF(H36=0,"","Does not match DOE25 page 9 and 13 Totals!!")</f>
        <v/>
      </c>
      <c r="N36"/>
    </row>
    <row r="37" spans="1:14" x14ac:dyDescent="0.2">
      <c r="A37" s="21" t="s">
        <v>1145</v>
      </c>
      <c r="B37" s="305">
        <f>IFERROR(VLOOKUP(A37,'School Tables'!$O$3:$P$122,2,FALSE),"")</f>
        <v>20970</v>
      </c>
      <c r="C37" s="297" t="str">
        <f t="array" ref="C37">IFERROR(INDEX('School Tables'!$N$3:$N$122,MATCH('School Level Expenditures'!B37,'School Tables'!$P$3:$P$122,0)),"")</f>
        <v>Hopkinton</v>
      </c>
      <c r="D37" s="294">
        <f>6046818-E37</f>
        <v>5912080</v>
      </c>
      <c r="E37" s="294">
        <f>43528+423+35725+126+54936</f>
        <v>134738</v>
      </c>
      <c r="F37" s="308">
        <f>D37+E37</f>
        <v>6046818</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5" activePane="bottomLeft" state="frozen"/>
      <selection activeCell="F46" sqref="F46"/>
      <selection pane="bottomLeft" activeCell="D146" sqref="D14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HOPKINTON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706466</v>
      </c>
      <c r="D8" s="95">
        <f>'DOE25'!G9</f>
        <v>100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467756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112117</v>
      </c>
      <c r="D11" s="95">
        <f>'DOE25'!G12</f>
        <v>14936</v>
      </c>
      <c r="E11" s="95">
        <f>'DOE25'!H12</f>
        <v>46087</v>
      </c>
      <c r="F11" s="95">
        <f>'DOE25'!I12</f>
        <v>0</v>
      </c>
      <c r="G11" s="95">
        <f>'DOE25'!J12</f>
        <v>0</v>
      </c>
      <c r="H11" s="124"/>
      <c r="I11" s="124"/>
    </row>
    <row r="12" spans="1:9" x14ac:dyDescent="0.2">
      <c r="A12" s="1" t="s">
        <v>143</v>
      </c>
      <c r="B12" s="6">
        <v>140</v>
      </c>
      <c r="C12" s="95">
        <f>'DOE25'!F13</f>
        <v>241390</v>
      </c>
      <c r="D12" s="95">
        <f>'DOE25'!G13</f>
        <v>3269</v>
      </c>
      <c r="E12" s="95">
        <f>'DOE25'!H13</f>
        <v>67534</v>
      </c>
      <c r="F12" s="95">
        <f>'DOE25'!I13</f>
        <v>0</v>
      </c>
      <c r="G12" s="95">
        <f>'DOE25'!J13</f>
        <v>0</v>
      </c>
      <c r="H12" s="124"/>
      <c r="I12" s="124"/>
    </row>
    <row r="13" spans="1:9" x14ac:dyDescent="0.2">
      <c r="A13" s="1" t="s">
        <v>144</v>
      </c>
      <c r="B13" s="6">
        <v>150</v>
      </c>
      <c r="C13" s="95">
        <f>'DOE25'!F14</f>
        <v>25305</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31722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1117000</v>
      </c>
      <c r="D18" s="41">
        <f>SUM(D8:D17)</f>
        <v>18305</v>
      </c>
      <c r="E18" s="41">
        <f>SUM(E8:E17)</f>
        <v>113621</v>
      </c>
      <c r="F18" s="41">
        <f>SUM(F8:F17)</f>
        <v>0</v>
      </c>
      <c r="G18" s="41">
        <f>SUM(G8:G17)</f>
        <v>467756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61024</v>
      </c>
      <c r="D21" s="95">
        <f>'DOE25'!G22</f>
        <v>0</v>
      </c>
      <c r="E21" s="95">
        <f>'DOE25'!H22</f>
        <v>54177</v>
      </c>
      <c r="F21" s="95">
        <f>'DOE25'!I22</f>
        <v>0</v>
      </c>
      <c r="G21" s="95">
        <f>'DOE25'!J22</f>
        <v>57941</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99813</v>
      </c>
      <c r="D23" s="95">
        <f>'DOE25'!G24</f>
        <v>1284</v>
      </c>
      <c r="E23" s="95">
        <f>'DOE25'!H24</f>
        <v>11074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38871</v>
      </c>
      <c r="D27" s="95">
        <f>'DOE25'!G28</f>
        <v>0</v>
      </c>
      <c r="E27" s="95">
        <f>'DOE25'!H28</f>
        <v>4149</v>
      </c>
      <c r="F27" s="95">
        <f>'DOE25'!I28</f>
        <v>0</v>
      </c>
      <c r="G27" s="24" t="s">
        <v>288</v>
      </c>
      <c r="H27" s="124"/>
      <c r="I27" s="124"/>
    </row>
    <row r="28" spans="1:9" x14ac:dyDescent="0.2">
      <c r="A28" s="1" t="s">
        <v>157</v>
      </c>
      <c r="B28" s="6">
        <v>470</v>
      </c>
      <c r="C28" s="95">
        <f>'DOE25'!F29</f>
        <v>2756</v>
      </c>
      <c r="D28" s="95">
        <f>'DOE25'!G29</f>
        <v>0</v>
      </c>
      <c r="E28" s="95">
        <f>'DOE25'!H29</f>
        <v>0</v>
      </c>
      <c r="F28" s="95">
        <f>'DOE25'!I29</f>
        <v>0</v>
      </c>
      <c r="G28" s="24" t="s">
        <v>288</v>
      </c>
      <c r="H28" s="124"/>
      <c r="I28" s="124"/>
    </row>
    <row r="29" spans="1:9" x14ac:dyDescent="0.2">
      <c r="A29" s="1" t="s">
        <v>158</v>
      </c>
      <c r="B29" s="6">
        <v>480</v>
      </c>
      <c r="C29" s="95">
        <f>'DOE25'!F30</f>
        <v>3902</v>
      </c>
      <c r="D29" s="95">
        <f>'DOE25'!G30</f>
        <v>17021</v>
      </c>
      <c r="E29" s="95">
        <f>'DOE25'!H30</f>
        <v>44221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206366</v>
      </c>
      <c r="D31" s="41">
        <f>SUM(D21:D30)</f>
        <v>18305</v>
      </c>
      <c r="E31" s="41">
        <f>SUM(E21:E30)</f>
        <v>113621</v>
      </c>
      <c r="F31" s="41">
        <f>SUM(F21:F30)</f>
        <v>0</v>
      </c>
      <c r="G31" s="41">
        <f>SUM(G21:G30)</f>
        <v>57941</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31722</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55562</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156383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3728</v>
      </c>
      <c r="D47" s="95">
        <f>'DOE25'!G48</f>
        <v>0</v>
      </c>
      <c r="E47" s="95">
        <f>'DOE25'!H48</f>
        <v>0</v>
      </c>
      <c r="F47" s="95">
        <f>'DOE25'!I48</f>
        <v>0</v>
      </c>
      <c r="G47" s="95">
        <f>'DOE25'!J48</f>
        <v>409815</v>
      </c>
      <c r="H47" s="124"/>
      <c r="I47" s="124"/>
    </row>
    <row r="48" spans="1:9" x14ac:dyDescent="0.2">
      <c r="A48" s="1" t="s">
        <v>882</v>
      </c>
      <c r="B48" s="6">
        <v>753</v>
      </c>
      <c r="C48" s="95">
        <f>'DOE25'!F49</f>
        <v>23604</v>
      </c>
      <c r="D48" s="95">
        <f>'DOE25'!G49</f>
        <v>0</v>
      </c>
      <c r="E48" s="95">
        <f>'DOE25'!H49</f>
        <v>0</v>
      </c>
      <c r="F48" s="95">
        <f>'DOE25'!I49</f>
        <v>0</v>
      </c>
      <c r="G48" s="95">
        <f>'DOE25'!J49</f>
        <v>0</v>
      </c>
      <c r="H48" s="124"/>
      <c r="I48" s="124"/>
    </row>
    <row r="49" spans="1:9" ht="12" thickBot="1" x14ac:dyDescent="0.25">
      <c r="A49" s="29" t="s">
        <v>883</v>
      </c>
      <c r="B49" s="71">
        <v>770</v>
      </c>
      <c r="C49" s="95">
        <f>'DOE25'!F50</f>
        <v>639635</v>
      </c>
      <c r="D49" s="24" t="s">
        <v>288</v>
      </c>
      <c r="E49" s="24" t="s">
        <v>288</v>
      </c>
      <c r="F49" s="24" t="s">
        <v>288</v>
      </c>
      <c r="G49" s="24" t="s">
        <v>288</v>
      </c>
      <c r="H49" s="124"/>
      <c r="I49" s="124"/>
    </row>
    <row r="50" spans="1:9" ht="12.75" thickTop="1" thickBot="1" x14ac:dyDescent="0.25">
      <c r="A50" s="38" t="s">
        <v>884</v>
      </c>
      <c r="B50" s="48"/>
      <c r="C50" s="41">
        <f>SUM(C34:C49)</f>
        <v>910634</v>
      </c>
      <c r="D50" s="41">
        <f>SUM(D34:D49)</f>
        <v>0</v>
      </c>
      <c r="E50" s="41">
        <f>SUM(E34:E49)</f>
        <v>0</v>
      </c>
      <c r="F50" s="41">
        <f>SUM(F34:F49)</f>
        <v>0</v>
      </c>
      <c r="G50" s="41">
        <f>SUM(G34:G49)</f>
        <v>409815</v>
      </c>
      <c r="H50" s="124"/>
      <c r="I50" s="124"/>
    </row>
    <row r="51" spans="1:9" ht="12" thickTop="1" x14ac:dyDescent="0.2">
      <c r="A51" s="38" t="s">
        <v>885</v>
      </c>
      <c r="B51" s="2"/>
      <c r="C51" s="41">
        <f>C50+C31</f>
        <v>1117000</v>
      </c>
      <c r="D51" s="41">
        <f>D50+D31</f>
        <v>18305</v>
      </c>
      <c r="E51" s="41">
        <f>E50+E31</f>
        <v>113621</v>
      </c>
      <c r="F51" s="41">
        <f>F50+F31</f>
        <v>0</v>
      </c>
      <c r="G51" s="41">
        <f>G50+G31</f>
        <v>467756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13646801</v>
      </c>
      <c r="D56" s="95">
        <f>'DOE25'!G60</f>
        <v>0</v>
      </c>
      <c r="E56" s="95">
        <f>'DOE25'!H60</f>
        <v>0</v>
      </c>
      <c r="F56" s="95">
        <f>'DOE25'!I60</f>
        <v>0</v>
      </c>
      <c r="G56" s="95">
        <f>'DOE25'!J60</f>
        <v>0</v>
      </c>
      <c r="H56"/>
      <c r="I56"/>
    </row>
    <row r="57" spans="1:9" x14ac:dyDescent="0.2">
      <c r="A57" s="1" t="s">
        <v>164</v>
      </c>
      <c r="B57" s="6" t="s">
        <v>165</v>
      </c>
      <c r="C57" s="95">
        <f>'DOE25'!F79</f>
        <v>78689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12227</v>
      </c>
      <c r="D59" s="95">
        <f>'DOE25'!G96</f>
        <v>0</v>
      </c>
      <c r="E59" s="95">
        <f>'DOE25'!H96</f>
        <v>0</v>
      </c>
      <c r="F59" s="95">
        <f>'DOE25'!I96</f>
        <v>0</v>
      </c>
      <c r="G59" s="95">
        <f>'DOE25'!J96</f>
        <v>7458</v>
      </c>
      <c r="H59"/>
      <c r="I59"/>
    </row>
    <row r="60" spans="1:9" x14ac:dyDescent="0.2">
      <c r="A60" s="1" t="s">
        <v>170</v>
      </c>
      <c r="B60" s="118" t="s">
        <v>171</v>
      </c>
      <c r="C60" s="24" t="s">
        <v>288</v>
      </c>
      <c r="D60" s="95">
        <f>'DOE25'!G97</f>
        <v>243083</v>
      </c>
      <c r="E60" s="24" t="s">
        <v>288</v>
      </c>
      <c r="F60" s="24" t="s">
        <v>288</v>
      </c>
      <c r="G60" s="24" t="s">
        <v>288</v>
      </c>
      <c r="H60"/>
      <c r="I60"/>
    </row>
    <row r="61" spans="1:9" ht="12" thickBot="1" x14ac:dyDescent="0.25">
      <c r="A61" s="1" t="s">
        <v>172</v>
      </c>
      <c r="B61" s="118" t="s">
        <v>173</v>
      </c>
      <c r="C61" s="95">
        <f>SUM('DOE25'!F98:F110)</f>
        <v>113267</v>
      </c>
      <c r="D61" s="95">
        <f>SUM('DOE25'!G98:G110)</f>
        <v>6919</v>
      </c>
      <c r="E61" s="95">
        <f>SUM('DOE25'!H98:H110)</f>
        <v>56924</v>
      </c>
      <c r="F61" s="95">
        <f>SUM('DOE25'!I98:I110)</f>
        <v>95000</v>
      </c>
      <c r="G61" s="95">
        <f>SUM('DOE25'!J98:J110)</f>
        <v>0</v>
      </c>
      <c r="H61"/>
      <c r="I61"/>
    </row>
    <row r="62" spans="1:9" ht="12.75" thickTop="1" thickBot="1" x14ac:dyDescent="0.25">
      <c r="A62" s="29" t="s">
        <v>174</v>
      </c>
      <c r="B62" s="6"/>
      <c r="C62" s="130">
        <f>SUM(C57:C61)</f>
        <v>204183</v>
      </c>
      <c r="D62" s="130">
        <f>SUM(D57:D61)</f>
        <v>250002</v>
      </c>
      <c r="E62" s="130">
        <f>SUM(E57:E61)</f>
        <v>56924</v>
      </c>
      <c r="F62" s="130">
        <f>SUM(F57:F61)</f>
        <v>95000</v>
      </c>
      <c r="G62" s="130">
        <f>SUM(G57:G61)</f>
        <v>7458</v>
      </c>
      <c r="H62"/>
      <c r="I62"/>
    </row>
    <row r="63" spans="1:9" ht="12" thickTop="1" x14ac:dyDescent="0.2">
      <c r="A63" s="29" t="s">
        <v>175</v>
      </c>
      <c r="B63" s="6"/>
      <c r="C63" s="22">
        <f>C56+C62</f>
        <v>13850984</v>
      </c>
      <c r="D63" s="22">
        <f>D56+D62</f>
        <v>250002</v>
      </c>
      <c r="E63" s="22">
        <f>E56+E62</f>
        <v>56924</v>
      </c>
      <c r="F63" s="22">
        <f>F56+F62</f>
        <v>95000</v>
      </c>
      <c r="G63" s="22">
        <f>G56+G62</f>
        <v>7458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2363545</v>
      </c>
      <c r="D66" s="24" t="s">
        <v>288</v>
      </c>
      <c r="E66" s="24" t="s">
        <v>288</v>
      </c>
      <c r="F66" s="24" t="s">
        <v>288</v>
      </c>
      <c r="G66" s="24" t="s">
        <v>288</v>
      </c>
      <c r="H66"/>
      <c r="I66"/>
    </row>
    <row r="67" spans="1:9" x14ac:dyDescent="0.2">
      <c r="A67" s="1" t="s">
        <v>770</v>
      </c>
      <c r="B67" s="6">
        <v>3112</v>
      </c>
      <c r="C67" s="95">
        <f>'DOE25'!F118</f>
        <v>1410714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7020</v>
      </c>
      <c r="D69" s="95">
        <f>'DOE25'!G120</f>
        <v>0</v>
      </c>
      <c r="E69" s="95">
        <f>'DOE25'!H120</f>
        <v>0</v>
      </c>
      <c r="F69" s="95">
        <f>'DOE25'!I120</f>
        <v>0</v>
      </c>
      <c r="G69" s="95">
        <f>'DOE25'!J120</f>
        <v>0</v>
      </c>
      <c r="H69"/>
      <c r="I69"/>
    </row>
    <row r="70" spans="1:9" ht="12" thickTop="1" x14ac:dyDescent="0.2">
      <c r="A70" s="29" t="s">
        <v>252</v>
      </c>
      <c r="B70" s="2"/>
      <c r="C70" s="139">
        <f>SUM(C66:C69)</f>
        <v>3781279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71229</v>
      </c>
      <c r="D74" s="24"/>
      <c r="E74" s="24"/>
      <c r="F74" s="24"/>
      <c r="G74" s="24"/>
      <c r="H74"/>
      <c r="I74"/>
    </row>
    <row r="75" spans="1:9" x14ac:dyDescent="0.2">
      <c r="A75" s="1" t="s">
        <v>256</v>
      </c>
      <c r="B75" s="6">
        <v>3230</v>
      </c>
      <c r="C75" s="95">
        <f>'DOE25'!F126</f>
        <v>163830</v>
      </c>
      <c r="D75" s="24" t="s">
        <v>288</v>
      </c>
      <c r="E75" s="24" t="s">
        <v>288</v>
      </c>
      <c r="F75" s="24" t="s">
        <v>288</v>
      </c>
      <c r="G75" s="24" t="s">
        <v>288</v>
      </c>
      <c r="H75"/>
      <c r="I75"/>
    </row>
    <row r="76" spans="1:9" x14ac:dyDescent="0.2">
      <c r="A76" s="1" t="s">
        <v>257</v>
      </c>
      <c r="B76" s="6" t="s">
        <v>179</v>
      </c>
      <c r="C76" s="95">
        <f>SUM('DOE25'!F127:F130)</f>
        <v>5024</v>
      </c>
      <c r="D76" s="24" t="s">
        <v>288</v>
      </c>
      <c r="E76" s="95">
        <f>SUM('DOE25'!H127:H130)</f>
        <v>0</v>
      </c>
      <c r="F76" s="95">
        <f>SUM('DOE25'!I127:I130)</f>
        <v>0</v>
      </c>
      <c r="G76" s="24" t="s">
        <v>288</v>
      </c>
      <c r="H76"/>
      <c r="I76"/>
    </row>
    <row r="77" spans="1:9" ht="12" thickBot="1" x14ac:dyDescent="0.25">
      <c r="A77" s="1" t="s">
        <v>258</v>
      </c>
      <c r="B77" s="6" t="s">
        <v>180</v>
      </c>
      <c r="C77" s="95">
        <f>SUM('DOE25'!F131:F135)</f>
        <v>299128</v>
      </c>
      <c r="D77" s="95">
        <f>SUM('DOE25'!G131:G135)</f>
        <v>3831</v>
      </c>
      <c r="E77" s="95">
        <f>SUM('DOE25'!H131:H135)</f>
        <v>2424</v>
      </c>
      <c r="F77" s="95">
        <f>SUM('DOE25'!I131:I135)</f>
        <v>0</v>
      </c>
      <c r="G77" s="95">
        <f>SUM('DOE25'!J131:J135)</f>
        <v>0</v>
      </c>
      <c r="H77"/>
      <c r="I77"/>
    </row>
    <row r="78" spans="1:9" ht="12.75" thickTop="1" thickBot="1" x14ac:dyDescent="0.25">
      <c r="A78" s="29" t="s">
        <v>259</v>
      </c>
      <c r="B78" s="6"/>
      <c r="C78" s="130">
        <f>SUM(C72:C77)</f>
        <v>539211</v>
      </c>
      <c r="D78" s="130">
        <f>SUM(D72:D77)</f>
        <v>3831</v>
      </c>
      <c r="E78" s="130">
        <f>SUM(E72:E77)</f>
        <v>2424</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4320490</v>
      </c>
      <c r="D81" s="130">
        <f>SUM(D79:D80)+D78+D70</f>
        <v>3831</v>
      </c>
      <c r="E81" s="130">
        <f>SUM(E79:E80)+E78+E70</f>
        <v>2424</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183121</v>
      </c>
      <c r="D88" s="95">
        <f>SUM('DOE25'!G153:G161)</f>
        <v>73639</v>
      </c>
      <c r="E88" s="95">
        <f>SUM('DOE25'!H153:H161)</f>
        <v>396205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183121</v>
      </c>
      <c r="D91" s="131">
        <f>SUM(D85:D90)</f>
        <v>73639</v>
      </c>
      <c r="E91" s="131">
        <f>SUM(E85:E90)</f>
        <v>396205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101471</v>
      </c>
      <c r="E96" s="95">
        <f>'DOE25'!H179</f>
        <v>2568</v>
      </c>
      <c r="F96" s="95">
        <f>'DOE25'!I179</f>
        <v>0</v>
      </c>
      <c r="G96" s="95">
        <f>'DOE25'!J179</f>
        <v>10000</v>
      </c>
    </row>
    <row r="97" spans="1:7" x14ac:dyDescent="0.2">
      <c r="A97" t="s">
        <v>754</v>
      </c>
      <c r="B97" s="32" t="s">
        <v>188</v>
      </c>
      <c r="C97" s="95">
        <f>SUM('DOE25'!F180:F181)</f>
        <v>405</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75462</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75867</v>
      </c>
      <c r="D103" s="86">
        <f>SUM(D93:D102)</f>
        <v>101471</v>
      </c>
      <c r="E103" s="86">
        <f>SUM(E93:E102)</f>
        <v>2568</v>
      </c>
      <c r="F103" s="86">
        <f>SUM(F93:F102)</f>
        <v>0</v>
      </c>
      <c r="G103" s="86">
        <f>SUM(G93:G102)</f>
        <v>10000</v>
      </c>
    </row>
    <row r="104" spans="1:7" ht="12.75" thickTop="1" thickBot="1" x14ac:dyDescent="0.25">
      <c r="A104" s="33" t="s">
        <v>761</v>
      </c>
      <c r="C104" s="86">
        <f>C63+C81+C91+C103</f>
        <v>18430462</v>
      </c>
      <c r="D104" s="86">
        <f>D63+D81+D91+D103</f>
        <v>428943</v>
      </c>
      <c r="E104" s="86">
        <f>E63+E81+E91+E103</f>
        <v>458121</v>
      </c>
      <c r="F104" s="86">
        <f>F63+F81+F91+F103</f>
        <v>95000</v>
      </c>
      <c r="G104" s="86">
        <f>G63+G81+G103</f>
        <v>17458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7494573</v>
      </c>
      <c r="D109" s="24" t="s">
        <v>288</v>
      </c>
      <c r="E109" s="95">
        <f>('DOE25'!L276)+('DOE25'!L295)+('DOE25'!L314)</f>
        <v>101570</v>
      </c>
      <c r="F109" s="24" t="s">
        <v>288</v>
      </c>
      <c r="G109" s="24" t="s">
        <v>288</v>
      </c>
    </row>
    <row r="110" spans="1:7" x14ac:dyDescent="0.2">
      <c r="A110" t="s">
        <v>198</v>
      </c>
      <c r="B110" s="32" t="s">
        <v>199</v>
      </c>
      <c r="C110" s="95">
        <f>('DOE25'!L198)+('DOE25'!L216)+('DOE25'!L234)</f>
        <v>3611847</v>
      </c>
      <c r="D110" s="24" t="s">
        <v>288</v>
      </c>
      <c r="E110" s="95">
        <f>('DOE25'!L277)+('DOE25'!L296)+('DOE25'!L315)</f>
        <v>234185</v>
      </c>
      <c r="F110" s="24" t="s">
        <v>288</v>
      </c>
      <c r="G110" s="24" t="s">
        <v>288</v>
      </c>
    </row>
    <row r="111" spans="1:7" x14ac:dyDescent="0.2">
      <c r="A111" t="s">
        <v>200</v>
      </c>
      <c r="B111" s="32" t="s">
        <v>165</v>
      </c>
      <c r="C111" s="95">
        <f>('DOE25'!L199)+('DOE25'!L217)+('DOE25'!L235)</f>
        <v>25823</v>
      </c>
      <c r="D111" s="24" t="s">
        <v>288</v>
      </c>
      <c r="E111" s="95">
        <f>('DOE25'!L278)+('DOE25'!L297)+('DOE25'!L316)</f>
        <v>0</v>
      </c>
      <c r="F111" s="24" t="s">
        <v>288</v>
      </c>
      <c r="G111" s="24" t="s">
        <v>288</v>
      </c>
    </row>
    <row r="112" spans="1:7" x14ac:dyDescent="0.2">
      <c r="A112" t="s">
        <v>201</v>
      </c>
      <c r="B112" s="32" t="s">
        <v>167</v>
      </c>
      <c r="C112" s="95">
        <f>('DOE25'!L200)+('DOE25'!L218)+('DOE25'!L236)</f>
        <v>403353</v>
      </c>
      <c r="D112" s="24" t="s">
        <v>288</v>
      </c>
      <c r="E112" s="95">
        <f>+('DOE25'!L279)+('DOE25'!L298)+('DOE25'!L317)</f>
        <v>0</v>
      </c>
      <c r="F112" s="24" t="s">
        <v>288</v>
      </c>
      <c r="G112" s="24" t="s">
        <v>288</v>
      </c>
    </row>
    <row r="113" spans="1:7" x14ac:dyDescent="0.2">
      <c r="A113" t="s">
        <v>202</v>
      </c>
      <c r="B113" s="32" t="s">
        <v>169</v>
      </c>
      <c r="C113" s="95">
        <f>'DOE25'!L250</f>
        <v>0</v>
      </c>
      <c r="D113" s="24" t="s">
        <v>288</v>
      </c>
      <c r="E113" s="95">
        <f>+'DOE25'!L332</f>
        <v>273</v>
      </c>
      <c r="F113" s="24" t="s">
        <v>288</v>
      </c>
      <c r="G113" s="24" t="s">
        <v>288</v>
      </c>
    </row>
    <row r="114" spans="1:7" ht="12" thickBot="1" x14ac:dyDescent="0.25">
      <c r="A114" t="s">
        <v>203</v>
      </c>
      <c r="B114" s="32" t="s">
        <v>204</v>
      </c>
      <c r="C114" s="95">
        <f>SUM('DOE25'!L251:L253)</f>
        <v>0</v>
      </c>
      <c r="D114" s="24" t="s">
        <v>288</v>
      </c>
      <c r="E114" s="95">
        <f>+ SUM('DOE25'!L333:L335)</f>
        <v>3035</v>
      </c>
      <c r="F114" s="24" t="s">
        <v>288</v>
      </c>
      <c r="G114" s="24" t="s">
        <v>288</v>
      </c>
    </row>
    <row r="115" spans="1:7" ht="12.75" thickTop="1" thickBot="1" x14ac:dyDescent="0.25">
      <c r="A115" s="33" t="s">
        <v>205</v>
      </c>
      <c r="C115" s="86">
        <f>SUM(C109:C114)</f>
        <v>11535596</v>
      </c>
      <c r="D115" s="86">
        <f>SUM(D109:D114)</f>
        <v>0</v>
      </c>
      <c r="E115" s="86">
        <f>SUM(E109:E114)</f>
        <v>339063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1439541</v>
      </c>
      <c r="D118" s="24" t="s">
        <v>288</v>
      </c>
      <c r="E118" s="95">
        <f>+('DOE25'!L281)+('DOE25'!L300)+('DOE25'!L319)</f>
        <v>4076</v>
      </c>
      <c r="F118" s="24" t="s">
        <v>288</v>
      </c>
      <c r="G118" s="24" t="s">
        <v>288</v>
      </c>
    </row>
    <row r="119" spans="1:7" x14ac:dyDescent="0.2">
      <c r="A119" t="s">
        <v>208</v>
      </c>
      <c r="B119" s="32" t="s">
        <v>209</v>
      </c>
      <c r="C119" s="95">
        <f>('DOE25'!L203)+('DOE25'!L221)+('DOE25'!L239)</f>
        <v>763438</v>
      </c>
      <c r="D119" s="24" t="s">
        <v>288</v>
      </c>
      <c r="E119" s="95">
        <f>+('DOE25'!L282)+('DOE25'!L301)+('DOE25'!L320)</f>
        <v>114577</v>
      </c>
      <c r="F119" s="24" t="s">
        <v>288</v>
      </c>
      <c r="G119" s="24" t="s">
        <v>288</v>
      </c>
    </row>
    <row r="120" spans="1:7" x14ac:dyDescent="0.2">
      <c r="A120" t="s">
        <v>210</v>
      </c>
      <c r="B120" s="32" t="s">
        <v>211</v>
      </c>
      <c r="C120" s="95">
        <f>('DOE25'!L204)+('DOE25'!L222)+('DOE25'!L240)</f>
        <v>602043</v>
      </c>
      <c r="D120" s="24" t="s">
        <v>288</v>
      </c>
      <c r="E120" s="95">
        <f>+('DOE25'!L283)+('DOE25'!L302)+('DOE25'!L321)</f>
        <v>0</v>
      </c>
      <c r="F120" s="24" t="s">
        <v>288</v>
      </c>
      <c r="G120" s="24" t="s">
        <v>288</v>
      </c>
    </row>
    <row r="121" spans="1:7" x14ac:dyDescent="0.2">
      <c r="A121" t="s">
        <v>212</v>
      </c>
      <c r="B121" s="32" t="s">
        <v>213</v>
      </c>
      <c r="C121" s="95">
        <f>('DOE25'!L205)+('DOE25'!L223)+('DOE25'!L241)</f>
        <v>896465</v>
      </c>
      <c r="D121" s="24" t="s">
        <v>288</v>
      </c>
      <c r="E121" s="95">
        <f>+('DOE25'!L284)+('DOE25'!L303)+('DOE25'!L322)</f>
        <v>0</v>
      </c>
      <c r="F121" s="24" t="s">
        <v>288</v>
      </c>
      <c r="G121" s="24" t="s">
        <v>288</v>
      </c>
    </row>
    <row r="122" spans="1:7" x14ac:dyDescent="0.2">
      <c r="A122" t="s">
        <v>214</v>
      </c>
      <c r="B122" s="32" t="s">
        <v>215</v>
      </c>
      <c r="C122" s="95">
        <f>('DOE25'!L206)+('DOE25'!L224)+('DOE25'!L242)</f>
        <v>332147</v>
      </c>
      <c r="D122" s="24" t="s">
        <v>288</v>
      </c>
      <c r="E122" s="95">
        <f>+('DOE25'!L285)+('DOE25'!L304)+('DOE25'!L323)</f>
        <v>0</v>
      </c>
      <c r="F122" s="24" t="s">
        <v>288</v>
      </c>
      <c r="G122" s="24" t="s">
        <v>288</v>
      </c>
    </row>
    <row r="123" spans="1:7" x14ac:dyDescent="0.2">
      <c r="A123" t="s">
        <v>216</v>
      </c>
      <c r="B123" s="32" t="s">
        <v>217</v>
      </c>
      <c r="C123" s="95">
        <f>('DOE25'!L207)+('DOE25'!L225)+('DOE25'!L243)</f>
        <v>1572678</v>
      </c>
      <c r="D123" s="24" t="s">
        <v>288</v>
      </c>
      <c r="E123" s="95">
        <f>+('DOE25'!L286)+('DOE25'!L305)+('DOE25'!L324)</f>
        <v>0</v>
      </c>
      <c r="F123" s="24" t="s">
        <v>288</v>
      </c>
      <c r="G123" s="24" t="s">
        <v>288</v>
      </c>
    </row>
    <row r="124" spans="1:7" x14ac:dyDescent="0.2">
      <c r="A124" t="s">
        <v>218</v>
      </c>
      <c r="B124" s="32" t="s">
        <v>219</v>
      </c>
      <c r="C124" s="95">
        <f>('DOE25'!L208)+('DOE25'!L226)+('DOE25'!L244+'DOE25'!L254)</f>
        <v>874205</v>
      </c>
      <c r="D124" s="24" t="s">
        <v>288</v>
      </c>
      <c r="E124" s="95">
        <f>+('DOE25'!L287)+('DOE25'!L306)+('DOE25'!L325)</f>
        <v>0</v>
      </c>
      <c r="F124" s="24" t="s">
        <v>288</v>
      </c>
      <c r="G124" s="24" t="s">
        <v>288</v>
      </c>
    </row>
    <row r="125" spans="1:7" x14ac:dyDescent="0.2">
      <c r="A125" t="s">
        <v>220</v>
      </c>
      <c r="B125" s="32" t="s">
        <v>221</v>
      </c>
      <c r="C125" s="95">
        <f>('DOE25'!L209)+('DOE25'!L227)+('DOE25'!L245)</f>
        <v>286417</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428943</v>
      </c>
      <c r="E127" s="24" t="s">
        <v>288</v>
      </c>
      <c r="F127" s="24" t="s">
        <v>288</v>
      </c>
      <c r="G127" s="24" t="s">
        <v>288</v>
      </c>
    </row>
    <row r="128" spans="1:7" ht="12.75" thickTop="1" thickBot="1" x14ac:dyDescent="0.25">
      <c r="A128" s="33" t="s">
        <v>226</v>
      </c>
      <c r="C128" s="86">
        <f>SUM(C118:C127)</f>
        <v>6766934</v>
      </c>
      <c r="D128" s="86">
        <f>SUM(D118:D127)</f>
        <v>428943</v>
      </c>
      <c r="E128" s="86">
        <f>SUM(E118:E127)</f>
        <v>118653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14201</v>
      </c>
      <c r="D130" s="24" t="s">
        <v>288</v>
      </c>
      <c r="E130" s="129">
        <f>'DOE25'!L336</f>
        <v>0</v>
      </c>
      <c r="F130" s="129">
        <f>SUM('DOE25'!L374:'DOE25'!L380)</f>
        <v>935333</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405</v>
      </c>
      <c r="F134" s="95">
        <f>'DOE25'!K381</f>
        <v>0</v>
      </c>
      <c r="G134" s="95">
        <f>'DOE25'!K434</f>
        <v>116070</v>
      </c>
    </row>
    <row r="135" spans="1:7" x14ac:dyDescent="0.2">
      <c r="A135" t="s">
        <v>233</v>
      </c>
      <c r="B135" s="32" t="s">
        <v>234</v>
      </c>
      <c r="C135" s="95">
        <f>'DOE25'!L263</f>
        <v>101471</v>
      </c>
      <c r="D135" s="24" t="s">
        <v>288</v>
      </c>
      <c r="E135" s="129">
        <f>'DOE25'!L345</f>
        <v>0</v>
      </c>
      <c r="F135" s="24" t="s">
        <v>288</v>
      </c>
      <c r="G135" s="24" t="s">
        <v>288</v>
      </c>
    </row>
    <row r="136" spans="1:7" x14ac:dyDescent="0.2">
      <c r="A136" t="s">
        <v>235</v>
      </c>
      <c r="B136" s="32" t="s">
        <v>236</v>
      </c>
      <c r="C136" s="95">
        <f>'DOE25'!L264</f>
        <v>2568</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6322</v>
      </c>
      <c r="D138" s="24" t="s">
        <v>288</v>
      </c>
      <c r="E138" s="24" t="s">
        <v>288</v>
      </c>
      <c r="F138" s="24" t="s">
        <v>288</v>
      </c>
      <c r="G138" s="24" t="s">
        <v>288</v>
      </c>
    </row>
    <row r="139" spans="1:7" x14ac:dyDescent="0.2">
      <c r="A139" t="s">
        <v>239</v>
      </c>
      <c r="B139" s="32">
        <v>5252</v>
      </c>
      <c r="C139" s="95">
        <f>'DOE25'!L401</f>
        <v>11136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-7458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128240</v>
      </c>
      <c r="D144" s="141">
        <f>SUM(D130:D143)</f>
        <v>0</v>
      </c>
      <c r="E144" s="141">
        <f>SUM(E130:E143)</f>
        <v>405</v>
      </c>
      <c r="F144" s="141">
        <f>SUM(F130:F143)</f>
        <v>935333</v>
      </c>
      <c r="G144" s="141">
        <f>SUM(G130:G143)</f>
        <v>116070</v>
      </c>
    </row>
    <row r="145" spans="1:9" ht="12.75" thickTop="1" thickBot="1" x14ac:dyDescent="0.25">
      <c r="A145" s="33" t="s">
        <v>244</v>
      </c>
      <c r="C145" s="86">
        <f>(C115+C128+C144)</f>
        <v>18430770</v>
      </c>
      <c r="D145" s="86">
        <f>(D115+D128+D144)</f>
        <v>428943</v>
      </c>
      <c r="E145" s="86">
        <f>(E115+E128+E144)</f>
        <v>458121</v>
      </c>
      <c r="F145" s="86">
        <f>(F115+F128+F144)</f>
        <v>935333</v>
      </c>
      <c r="G145" s="86">
        <f>(G115+G128+G144)</f>
        <v>116070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HOPKINTON SCHOOL DISTRICT</v>
      </c>
    </row>
    <row r="3" spans="1:4" x14ac:dyDescent="0.2">
      <c r="B3" s="188" t="s">
        <v>1602</v>
      </c>
    </row>
    <row r="4" spans="1:4" x14ac:dyDescent="0.2">
      <c r="B4" t="s">
        <v>61</v>
      </c>
      <c r="C4" s="179">
        <f>IF('DOE25'!F665+'DOE25'!F670=0,0,ROUND('DOE25'!F672,0))</f>
        <v>17755</v>
      </c>
    </row>
    <row r="5" spans="1:4" x14ac:dyDescent="0.2">
      <c r="B5" t="s">
        <v>700</v>
      </c>
      <c r="C5" s="179">
        <f>IF('DOE25'!G665+'DOE25'!G670=0,0,ROUND('DOE25'!G672,0))</f>
        <v>15788</v>
      </c>
    </row>
    <row r="6" spans="1:4" x14ac:dyDescent="0.2">
      <c r="B6" t="s">
        <v>62</v>
      </c>
      <c r="C6" s="179">
        <f>IF('DOE25'!H665+'DOE25'!H670=0,0,ROUND('DOE25'!H672,0))</f>
        <v>16965</v>
      </c>
    </row>
    <row r="7" spans="1:4" x14ac:dyDescent="0.2">
      <c r="B7" t="s">
        <v>701</v>
      </c>
      <c r="C7" s="179">
        <f>IF('DOE25'!I665+'DOE25'!I670=0,0,ROUND('DOE25'!I672,0))</f>
        <v>17175</v>
      </c>
    </row>
    <row r="9" spans="1:4" x14ac:dyDescent="0.2">
      <c r="A9" s="187" t="s">
        <v>94</v>
      </c>
      <c r="B9" s="188" t="s">
        <v>1603</v>
      </c>
      <c r="C9" s="181" t="s">
        <v>720</v>
      </c>
      <c r="D9" s="181" t="s">
        <v>721</v>
      </c>
    </row>
    <row r="10" spans="1:4" x14ac:dyDescent="0.2">
      <c r="A10">
        <v>1100</v>
      </c>
      <c r="B10" t="s">
        <v>702</v>
      </c>
      <c r="C10" s="179">
        <f>ROUND('DOE25'!L197+'DOE25'!L215+'DOE25'!L233+'DOE25'!L276+'DOE25'!L295+'DOE25'!L314,0)</f>
        <v>7596143</v>
      </c>
      <c r="D10" s="182">
        <f>ROUND((C10/$C$28)*100,1)</f>
        <v>40.1</v>
      </c>
    </row>
    <row r="11" spans="1:4" x14ac:dyDescent="0.2">
      <c r="A11">
        <v>1200</v>
      </c>
      <c r="B11" t="s">
        <v>703</v>
      </c>
      <c r="C11" s="179">
        <f>ROUND('DOE25'!L198+'DOE25'!L216+'DOE25'!L234+'DOE25'!L277+'DOE25'!L296+'DOE25'!L315,0)</f>
        <v>3846032</v>
      </c>
      <c r="D11" s="182">
        <f>ROUND((C11/$C$28)*100,1)</f>
        <v>20.3</v>
      </c>
    </row>
    <row r="12" spans="1:4" x14ac:dyDescent="0.2">
      <c r="A12">
        <v>1300</v>
      </c>
      <c r="B12" t="s">
        <v>704</v>
      </c>
      <c r="C12" s="179">
        <f>ROUND('DOE25'!L199+'DOE25'!L217+'DOE25'!L235+'DOE25'!L278+'DOE25'!L297+'DOE25'!L316,0)</f>
        <v>25823</v>
      </c>
      <c r="D12" s="182">
        <f>ROUND((C12/$C$28)*100,1)</f>
        <v>0.1</v>
      </c>
    </row>
    <row r="13" spans="1:4" x14ac:dyDescent="0.2">
      <c r="A13">
        <v>1400</v>
      </c>
      <c r="B13" t="s">
        <v>705</v>
      </c>
      <c r="C13" s="179">
        <f>ROUND('DOE25'!L200+'DOE25'!L218+'DOE25'!L236+'DOE25'!L279+'DOE25'!L298+'DOE25'!L317,0)</f>
        <v>403353</v>
      </c>
      <c r="D13" s="182">
        <f>ROUND((C13/$C$28)*100,1)</f>
        <v>2.1</v>
      </c>
    </row>
    <row r="14" spans="1:4" x14ac:dyDescent="0.2">
      <c r="D14" s="182"/>
    </row>
    <row r="15" spans="1:4" x14ac:dyDescent="0.2">
      <c r="A15">
        <v>2100</v>
      </c>
      <c r="B15" t="s">
        <v>706</v>
      </c>
      <c r="C15" s="179">
        <f>ROUND('DOE25'!L202+'DOE25'!L220+'DOE25'!L238+'DOE25'!L281+'DOE25'!L300+'DOE25'!L319,0)</f>
        <v>1443617</v>
      </c>
      <c r="D15" s="182">
        <f t="shared" ref="D15:D27" si="0">ROUND((C15/$C$28)*100,1)</f>
        <v>7.6</v>
      </c>
    </row>
    <row r="16" spans="1:4" x14ac:dyDescent="0.2">
      <c r="A16">
        <v>2200</v>
      </c>
      <c r="B16" t="s">
        <v>707</v>
      </c>
      <c r="C16" s="179">
        <f>ROUND('DOE25'!L203+'DOE25'!L221+'DOE25'!L239+'DOE25'!L282+'DOE25'!L301+'DOE25'!L320,0)</f>
        <v>878015</v>
      </c>
      <c r="D16" s="182">
        <f t="shared" si="0"/>
        <v>4.5999999999999996</v>
      </c>
    </row>
    <row r="17" spans="1:4" x14ac:dyDescent="0.2">
      <c r="A17" s="183" t="s">
        <v>723</v>
      </c>
      <c r="B17" t="s">
        <v>738</v>
      </c>
      <c r="C17" s="179">
        <f>ROUND('DOE25'!L204+'DOE25'!L209+'DOE25'!L222+'DOE25'!L227+'DOE25'!L240+'DOE25'!L245+'DOE25'!L283+'DOE25'!L288+'DOE25'!L302+'DOE25'!L307+'DOE25'!L321+'DOE25'!L326,0)</f>
        <v>888460</v>
      </c>
      <c r="D17" s="182">
        <f t="shared" si="0"/>
        <v>4.7</v>
      </c>
    </row>
    <row r="18" spans="1:4" x14ac:dyDescent="0.2">
      <c r="A18">
        <v>2400</v>
      </c>
      <c r="B18" t="s">
        <v>711</v>
      </c>
      <c r="C18" s="179">
        <f>ROUND('DOE25'!L205+'DOE25'!L223+'DOE25'!L241+'DOE25'!L284+'DOE25'!L303+'DOE25'!L322,0)</f>
        <v>896465</v>
      </c>
      <c r="D18" s="182">
        <f t="shared" si="0"/>
        <v>4.7</v>
      </c>
    </row>
    <row r="19" spans="1:4" x14ac:dyDescent="0.2">
      <c r="A19">
        <v>2500</v>
      </c>
      <c r="B19" t="s">
        <v>708</v>
      </c>
      <c r="C19" s="179">
        <f>ROUND('DOE25'!L206+'DOE25'!L224+'DOE25'!L242+'DOE25'!L285+'DOE25'!L304+'DOE25'!L323,0)</f>
        <v>332147</v>
      </c>
      <c r="D19" s="182">
        <f t="shared" si="0"/>
        <v>1.8</v>
      </c>
    </row>
    <row r="20" spans="1:4" x14ac:dyDescent="0.2">
      <c r="A20">
        <v>2600</v>
      </c>
      <c r="B20" t="s">
        <v>709</v>
      </c>
      <c r="C20" s="179">
        <f>ROUND('DOE25'!L207+'DOE25'!L225+'DOE25'!L243+'DOE25'!L286+'DOE25'!L305+'DOE25'!L324,0)</f>
        <v>1572678</v>
      </c>
      <c r="D20" s="182">
        <f t="shared" si="0"/>
        <v>8.3000000000000007</v>
      </c>
    </row>
    <row r="21" spans="1:4" x14ac:dyDescent="0.2">
      <c r="A21">
        <v>2700</v>
      </c>
      <c r="B21" t="s">
        <v>710</v>
      </c>
      <c r="C21" s="179">
        <f>ROUND('DOE25'!L208+'DOE25'!L226+'DOE25'!L244+'DOE25'!L287+'DOE25'!L306+'DOE25'!L325,0)</f>
        <v>874205</v>
      </c>
      <c r="D21" s="182">
        <f t="shared" si="0"/>
        <v>4.5999999999999996</v>
      </c>
    </row>
    <row r="22" spans="1:4" x14ac:dyDescent="0.2">
      <c r="A22">
        <v>2900</v>
      </c>
      <c r="B22" t="s">
        <v>712</v>
      </c>
      <c r="C22" s="179">
        <v>0</v>
      </c>
      <c r="D22" s="182">
        <f t="shared" si="0"/>
        <v>0</v>
      </c>
    </row>
    <row r="23" spans="1:4" x14ac:dyDescent="0.2">
      <c r="A23">
        <v>1500</v>
      </c>
      <c r="B23" t="s">
        <v>714</v>
      </c>
      <c r="C23" s="179">
        <f>ROUND('DOE25'!L250+'DOE25'!L332,0)</f>
        <v>273</v>
      </c>
      <c r="D23" s="182">
        <f t="shared" si="0"/>
        <v>0</v>
      </c>
    </row>
    <row r="24" spans="1:4" x14ac:dyDescent="0.2">
      <c r="A24" s="183" t="s">
        <v>722</v>
      </c>
      <c r="B24" t="s">
        <v>715</v>
      </c>
      <c r="C24" s="179">
        <f>ROUND('DOE25'!L251+'DOE25'!L252+'DOE25'!L253+'DOE25'!L254+'DOE25'!L333+'DOE25'!L334+'DOE25'!L335,0)</f>
        <v>3035</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178941</v>
      </c>
      <c r="D27" s="182">
        <f t="shared" si="0"/>
        <v>0.9</v>
      </c>
    </row>
    <row r="28" spans="1:4" x14ac:dyDescent="0.2">
      <c r="B28" s="187" t="s">
        <v>719</v>
      </c>
      <c r="C28" s="180">
        <f>SUM(C10:C27)</f>
        <v>18939187</v>
      </c>
      <c r="D28" s="184">
        <f>ROUND(SUM(D10:D27),0)</f>
        <v>100</v>
      </c>
    </row>
    <row r="29" spans="1:4" x14ac:dyDescent="0.2">
      <c r="A29">
        <v>4000</v>
      </c>
      <c r="B29" t="s">
        <v>724</v>
      </c>
      <c r="C29" s="179">
        <f>ROUND('DOE25'!L255+'DOE25'!L336+'DOE25'!L374+'DOE25'!L375+'DOE25'!L376+'DOE25'!L377+'DOE25'!L378+'DOE25'!L379+'DOE25'!L380,0)</f>
        <v>949534</v>
      </c>
    </row>
    <row r="30" spans="1:4" x14ac:dyDescent="0.2">
      <c r="B30" s="187" t="s">
        <v>725</v>
      </c>
      <c r="C30" s="180">
        <f>SUM(C28:C29)</f>
        <v>19888721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13646801</v>
      </c>
      <c r="D35" s="182">
        <f t="shared" ref="D35:D40" si="1">ROUND((C35/$C$41)*100,1)</f>
        <v>71.900000000000006</v>
      </c>
    </row>
    <row r="36" spans="1:4" x14ac:dyDescent="0.2">
      <c r="B36" s="185" t="s">
        <v>739</v>
      </c>
      <c r="C36" s="179">
        <f>SUM('DOE25'!F112:J112)-SUM('DOE25'!G97:G110)+('DOE25'!F174+'DOE25'!F175+'DOE25'!I174+'DOE25'!I175)-C35</f>
        <v>363565</v>
      </c>
      <c r="D36" s="182">
        <f t="shared" si="1"/>
        <v>1.9</v>
      </c>
    </row>
    <row r="37" spans="1:4" x14ac:dyDescent="0.2">
      <c r="A37" s="183" t="s">
        <v>835</v>
      </c>
      <c r="B37" s="185" t="s">
        <v>728</v>
      </c>
      <c r="C37" s="179">
        <f>ROUND('DOE25'!F117+'DOE25'!F118,0)</f>
        <v>3774259</v>
      </c>
      <c r="D37" s="182">
        <f t="shared" si="1"/>
        <v>19.899999999999999</v>
      </c>
    </row>
    <row r="38" spans="1:4" x14ac:dyDescent="0.2">
      <c r="A38" s="183" t="s">
        <v>734</v>
      </c>
      <c r="B38" s="185" t="s">
        <v>729</v>
      </c>
      <c r="C38" s="179">
        <f>ROUND(SUM('DOE25'!F140:J140)-SUM('DOE25'!F117:F119),0)</f>
        <v>552486</v>
      </c>
      <c r="D38" s="182">
        <f t="shared" si="1"/>
        <v>2.9</v>
      </c>
    </row>
    <row r="39" spans="1:4" x14ac:dyDescent="0.2">
      <c r="A39">
        <v>4000</v>
      </c>
      <c r="B39" s="185" t="s">
        <v>730</v>
      </c>
      <c r="C39" s="179">
        <f>ROUND('DOE25'!F169+'DOE25'!G169+'DOE25'!H169+'DOE25'!I169,0)</f>
        <v>652965</v>
      </c>
      <c r="D39" s="182">
        <f t="shared" si="1"/>
        <v>3.4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18990076</v>
      </c>
      <c r="D41" s="184">
        <f>SUM(D35:D40)</f>
        <v>100.00000000000003</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HOPKINTON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2019-08-14T13:41:51Z</cp:lastPrinted>
  <dcterms:created xsi:type="dcterms:W3CDTF">1997-12-04T19:04:30Z</dcterms:created>
  <dcterms:modified xsi:type="dcterms:W3CDTF">2019-11-22T15:53:58Z</dcterms:modified>
</cp:coreProperties>
</file>