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26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26" i="1" l="1"/>
  <c r="F110" i="1" l="1"/>
  <c r="G367" i="1" l="1"/>
  <c r="H367" i="1" l="1"/>
  <c r="F367" i="1"/>
  <c r="G507" i="1" l="1"/>
  <c r="I507" i="1"/>
  <c r="F498" i="1" l="1"/>
  <c r="H389" i="1" l="1"/>
  <c r="H378" i="1"/>
  <c r="G13" i="1" l="1"/>
  <c r="G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G650" i="1" s="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E119" i="2" s="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132" i="2" s="1"/>
  <c r="L341" i="1"/>
  <c r="E131" i="2" s="1"/>
  <c r="L342" i="1"/>
  <c r="L255" i="1"/>
  <c r="C130" i="2" s="1"/>
  <c r="L336" i="1"/>
  <c r="E130" i="2" s="1"/>
  <c r="C11" i="13"/>
  <c r="C10" i="13"/>
  <c r="C9" i="13"/>
  <c r="L361" i="1"/>
  <c r="L362" i="1" s="1"/>
  <c r="G472" i="1" s="1"/>
  <c r="H635"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C58" i="2" s="1"/>
  <c r="F111" i="1"/>
  <c r="G111" i="1"/>
  <c r="H79" i="1"/>
  <c r="H94" i="1"/>
  <c r="E58" i="2" s="1"/>
  <c r="H111" i="1"/>
  <c r="I111" i="1"/>
  <c r="I112" i="1" s="1"/>
  <c r="J111" i="1"/>
  <c r="J112" i="1" s="1"/>
  <c r="F121" i="1"/>
  <c r="F136" i="1"/>
  <c r="G121" i="1"/>
  <c r="G136" i="1"/>
  <c r="H121" i="1"/>
  <c r="H136" i="1"/>
  <c r="I121" i="1"/>
  <c r="I136" i="1"/>
  <c r="J121" i="1"/>
  <c r="J140" i="1" s="1"/>
  <c r="J136" i="1"/>
  <c r="F147" i="1"/>
  <c r="F162" i="1"/>
  <c r="F169" i="1" s="1"/>
  <c r="G147" i="1"/>
  <c r="G162" i="1"/>
  <c r="H147" i="1"/>
  <c r="E85" i="2" s="1"/>
  <c r="H162" i="1"/>
  <c r="H169" i="1" s="1"/>
  <c r="I147" i="1"/>
  <c r="F85" i="2" s="1"/>
  <c r="I162" i="1"/>
  <c r="L250" i="1"/>
  <c r="C113" i="2" s="1"/>
  <c r="L332" i="1"/>
  <c r="E113" i="2" s="1"/>
  <c r="L254" i="1"/>
  <c r="L268" i="1"/>
  <c r="L269" i="1"/>
  <c r="C143" i="2" s="1"/>
  <c r="L349" i="1"/>
  <c r="E142" i="2" s="1"/>
  <c r="L350" i="1"/>
  <c r="E143" i="2" s="1"/>
  <c r="I665" i="1"/>
  <c r="I670" i="1"/>
  <c r="F661" i="1"/>
  <c r="G662" i="1"/>
  <c r="H662" i="1"/>
  <c r="I669" i="1"/>
  <c r="C42" i="10"/>
  <c r="L374" i="1"/>
  <c r="L375" i="1"/>
  <c r="L376" i="1"/>
  <c r="L377" i="1"/>
  <c r="L378" i="1"/>
  <c r="L379" i="1"/>
  <c r="L380" i="1"/>
  <c r="B2" i="10"/>
  <c r="L344" i="1"/>
  <c r="E134" i="2" s="1"/>
  <c r="L345" i="1"/>
  <c r="E135" i="2" s="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K270" i="1"/>
  <c r="J270" i="1"/>
  <c r="I270" i="1"/>
  <c r="H270" i="1"/>
  <c r="G270" i="1"/>
  <c r="F270" i="1"/>
  <c r="A1" i="2"/>
  <c r="A2" i="2"/>
  <c r="C8" i="2"/>
  <c r="D8" i="2"/>
  <c r="E8" i="2"/>
  <c r="F8" i="2"/>
  <c r="I439" i="1"/>
  <c r="J9" i="1" s="1"/>
  <c r="G8" i="2" s="1"/>
  <c r="C9" i="2"/>
  <c r="D9" i="2"/>
  <c r="D18" i="2" s="1"/>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3" i="2"/>
  <c r="E124" i="2"/>
  <c r="F128" i="2"/>
  <c r="G128" i="2"/>
  <c r="D134" i="2"/>
  <c r="D144" i="2" s="1"/>
  <c r="F134" i="2"/>
  <c r="K419" i="1"/>
  <c r="K427" i="1"/>
  <c r="K433" i="1"/>
  <c r="L263" i="1"/>
  <c r="C135" i="2" s="1"/>
  <c r="L264" i="1"/>
  <c r="C136" i="2" s="1"/>
  <c r="L265"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G620" i="1" s="1"/>
  <c r="F32" i="1"/>
  <c r="F52" i="1" s="1"/>
  <c r="H617" i="1" s="1"/>
  <c r="G32" i="1"/>
  <c r="G52" i="1" s="1"/>
  <c r="H618" i="1" s="1"/>
  <c r="H32" i="1"/>
  <c r="I32" i="1"/>
  <c r="H51" i="1"/>
  <c r="I51" i="1"/>
  <c r="F177" i="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G408" i="1" s="1"/>
  <c r="H645" i="1" s="1"/>
  <c r="H401" i="1"/>
  <c r="I401" i="1"/>
  <c r="F407" i="1"/>
  <c r="G407" i="1"/>
  <c r="H407" i="1"/>
  <c r="I407" i="1"/>
  <c r="F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J641" i="1" s="1"/>
  <c r="F452" i="1"/>
  <c r="G452" i="1"/>
  <c r="H452" i="1"/>
  <c r="F460" i="1"/>
  <c r="G460" i="1"/>
  <c r="H460" i="1"/>
  <c r="H461" i="1"/>
  <c r="H641" i="1" s="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L560" i="1" s="1"/>
  <c r="F560" i="1"/>
  <c r="G560" i="1"/>
  <c r="H560" i="1"/>
  <c r="I560" i="1"/>
  <c r="J560" i="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2" i="1"/>
  <c r="G623" i="1"/>
  <c r="G643" i="1"/>
  <c r="H643" i="1"/>
  <c r="G644" i="1"/>
  <c r="G651" i="1"/>
  <c r="G652" i="1"/>
  <c r="H652" i="1"/>
  <c r="G653" i="1"/>
  <c r="H653" i="1"/>
  <c r="G654" i="1"/>
  <c r="H654" i="1"/>
  <c r="H655" i="1"/>
  <c r="G62" i="2"/>
  <c r="H140" i="1"/>
  <c r="H408" i="1" l="1"/>
  <c r="H644" i="1" s="1"/>
  <c r="E103" i="2"/>
  <c r="E78" i="2"/>
  <c r="I408" i="1"/>
  <c r="H112" i="1"/>
  <c r="H193" i="1" s="1"/>
  <c r="L401" i="1"/>
  <c r="C139" i="2" s="1"/>
  <c r="E114" i="2"/>
  <c r="J643" i="1"/>
  <c r="J571" i="1"/>
  <c r="C32" i="10"/>
  <c r="E121" i="2"/>
  <c r="G112" i="1"/>
  <c r="E125" i="2"/>
  <c r="I169" i="1"/>
  <c r="G461" i="1"/>
  <c r="H640" i="1" s="1"/>
  <c r="F461" i="1"/>
  <c r="H639" i="1" s="1"/>
  <c r="C91" i="2"/>
  <c r="G552" i="1"/>
  <c r="A31" i="12"/>
  <c r="D91" i="2"/>
  <c r="D81" i="2"/>
  <c r="E31" i="2"/>
  <c r="F18" i="2"/>
  <c r="D50" i="2"/>
  <c r="D31" i="2"/>
  <c r="D51" i="2" s="1"/>
  <c r="H552" i="1"/>
  <c r="I369" i="1"/>
  <c r="H634" i="1" s="1"/>
  <c r="G338" i="1"/>
  <c r="G352" i="1" s="1"/>
  <c r="E110" i="2"/>
  <c r="J651" i="1"/>
  <c r="D15" i="13"/>
  <c r="C15" i="13" s="1"/>
  <c r="G474" i="1"/>
  <c r="F571" i="1"/>
  <c r="I545" i="1"/>
  <c r="G545" i="1"/>
  <c r="K605" i="1"/>
  <c r="G648" i="1" s="1"/>
  <c r="E111" i="2"/>
  <c r="K338" i="1"/>
  <c r="K352" i="1" s="1"/>
  <c r="F338" i="1"/>
  <c r="F352" i="1" s="1"/>
  <c r="J634" i="1"/>
  <c r="L270" i="1"/>
  <c r="C125" i="2"/>
  <c r="C18" i="10"/>
  <c r="C119" i="2"/>
  <c r="C112" i="2"/>
  <c r="C12" i="10"/>
  <c r="C110" i="2"/>
  <c r="J257" i="1"/>
  <c r="J271" i="1" s="1"/>
  <c r="F257" i="1"/>
  <c r="F271" i="1" s="1"/>
  <c r="A40" i="12"/>
  <c r="C20" i="10"/>
  <c r="C121" i="2"/>
  <c r="D6" i="13"/>
  <c r="C6" i="13" s="1"/>
  <c r="E13" i="13"/>
  <c r="C13" i="13" s="1"/>
  <c r="C120" i="2"/>
  <c r="C13" i="10"/>
  <c r="C11" i="10"/>
  <c r="H257" i="1"/>
  <c r="H271" i="1" s="1"/>
  <c r="G645" i="1"/>
  <c r="J645" i="1" s="1"/>
  <c r="I52" i="1"/>
  <c r="H620" i="1" s="1"/>
  <c r="J620" i="1" s="1"/>
  <c r="C18" i="2"/>
  <c r="J640" i="1"/>
  <c r="L328" i="1"/>
  <c r="L309" i="1"/>
  <c r="E122" i="2"/>
  <c r="E118" i="2"/>
  <c r="L290" i="1"/>
  <c r="L247" i="1"/>
  <c r="H660" i="1" s="1"/>
  <c r="L211" i="1"/>
  <c r="L614" i="1"/>
  <c r="L570" i="1"/>
  <c r="L565" i="1"/>
  <c r="L571" i="1" s="1"/>
  <c r="H52" i="1"/>
  <c r="H619" i="1" s="1"/>
  <c r="C114" i="2"/>
  <c r="H647" i="1"/>
  <c r="J644" i="1"/>
  <c r="G625" i="1"/>
  <c r="L529" i="1"/>
  <c r="H545" i="1"/>
  <c r="G164" i="2"/>
  <c r="G161" i="2"/>
  <c r="G157" i="2"/>
  <c r="G156" i="2"/>
  <c r="G81" i="2"/>
  <c r="C78" i="2"/>
  <c r="F78" i="2"/>
  <c r="F81" i="2" s="1"/>
  <c r="C70" i="2"/>
  <c r="D62" i="2"/>
  <c r="D63" i="2" s="1"/>
  <c r="E57" i="2"/>
  <c r="E62" i="2" s="1"/>
  <c r="E63" i="2" s="1"/>
  <c r="C131" i="2"/>
  <c r="C26" i="10"/>
  <c r="F112" i="1"/>
  <c r="L393" i="1"/>
  <c r="C138" i="2" s="1"/>
  <c r="K598" i="1"/>
  <c r="G647" i="1" s="1"/>
  <c r="H571" i="1"/>
  <c r="I571" i="1"/>
  <c r="K545" i="1"/>
  <c r="G624" i="1"/>
  <c r="J545" i="1"/>
  <c r="L433" i="1"/>
  <c r="L427" i="1"/>
  <c r="I257" i="1"/>
  <c r="I271" i="1" s="1"/>
  <c r="K257" i="1"/>
  <c r="K271" i="1" s="1"/>
  <c r="G192" i="1"/>
  <c r="F192" i="1"/>
  <c r="E112" i="2"/>
  <c r="J552" i="1"/>
  <c r="I552" i="1"/>
  <c r="K549" i="1"/>
  <c r="F552" i="1"/>
  <c r="L351" i="1"/>
  <c r="F130" i="2"/>
  <c r="F144" i="2" s="1"/>
  <c r="F145" i="2" s="1"/>
  <c r="J617" i="1"/>
  <c r="J639" i="1"/>
  <c r="K551" i="1"/>
  <c r="I25" i="13"/>
  <c r="K550" i="1"/>
  <c r="L534" i="1"/>
  <c r="K500" i="1"/>
  <c r="I460" i="1"/>
  <c r="I452" i="1"/>
  <c r="I446" i="1"/>
  <c r="G642" i="1" s="1"/>
  <c r="H338" i="1"/>
  <c r="H352" i="1" s="1"/>
  <c r="C123" i="2"/>
  <c r="E109" i="2"/>
  <c r="C56" i="2"/>
  <c r="F662" i="1"/>
  <c r="I662" i="1" s="1"/>
  <c r="C25" i="10"/>
  <c r="C21" i="10"/>
  <c r="C17" i="10"/>
  <c r="D19" i="13"/>
  <c r="C19" i="13" s="1"/>
  <c r="D14" i="13"/>
  <c r="C14" i="13" s="1"/>
  <c r="C62" i="2"/>
  <c r="G22" i="13"/>
  <c r="C22" i="13" s="1"/>
  <c r="L539" i="1"/>
  <c r="K503" i="1"/>
  <c r="L382" i="1"/>
  <c r="G257" i="1"/>
  <c r="G271" i="1" s="1"/>
  <c r="C142" i="2"/>
  <c r="C111" i="2"/>
  <c r="H661" i="1"/>
  <c r="I661" i="1" s="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I192" i="1"/>
  <c r="E91" i="2"/>
  <c r="J654" i="1"/>
  <c r="J653" i="1"/>
  <c r="G21" i="2"/>
  <c r="G31" i="2" s="1"/>
  <c r="J32" i="1"/>
  <c r="L434" i="1"/>
  <c r="J434" i="1"/>
  <c r="F434" i="1"/>
  <c r="K434" i="1"/>
  <c r="G134" i="2" s="1"/>
  <c r="G144" i="2" s="1"/>
  <c r="G145" i="2" s="1"/>
  <c r="G31" i="13"/>
  <c r="J193" i="1"/>
  <c r="G169" i="1"/>
  <c r="C39" i="10" s="1"/>
  <c r="G140" i="1"/>
  <c r="F140" i="1"/>
  <c r="G63" i="2"/>
  <c r="J618" i="1"/>
  <c r="G42" i="2"/>
  <c r="G50" i="2" s="1"/>
  <c r="G51" i="2" s="1"/>
  <c r="J51" i="1"/>
  <c r="G16" i="2"/>
  <c r="G18" i="2" s="1"/>
  <c r="J19" i="1"/>
  <c r="G621" i="1" s="1"/>
  <c r="F545" i="1"/>
  <c r="H434" i="1"/>
  <c r="J619" i="1"/>
  <c r="D103" i="2"/>
  <c r="I140" i="1"/>
  <c r="A22" i="12"/>
  <c r="J652" i="1"/>
  <c r="G571" i="1"/>
  <c r="I434" i="1"/>
  <c r="G434" i="1"/>
  <c r="I663" i="1"/>
  <c r="C27" i="10"/>
  <c r="G635" i="1"/>
  <c r="J635" i="1" s="1"/>
  <c r="G629" i="1" l="1"/>
  <c r="H468" i="1"/>
  <c r="L408" i="1"/>
  <c r="G637" i="1" s="1"/>
  <c r="G636" i="1"/>
  <c r="I472" i="1"/>
  <c r="E128" i="2"/>
  <c r="G638" i="1"/>
  <c r="J472" i="1"/>
  <c r="I193" i="1"/>
  <c r="G646" i="1"/>
  <c r="J468" i="1"/>
  <c r="E51" i="2"/>
  <c r="C141" i="2"/>
  <c r="L545" i="1"/>
  <c r="E115" i="2"/>
  <c r="E145" i="2" s="1"/>
  <c r="H646" i="1"/>
  <c r="J646" i="1" s="1"/>
  <c r="L338" i="1"/>
  <c r="L352" i="1" s="1"/>
  <c r="G4" i="14"/>
  <c r="H4" i="14" s="1"/>
  <c r="I4" i="14" s="1"/>
  <c r="G36" i="14"/>
  <c r="H36" i="14" s="1"/>
  <c r="I36" i="14" s="1"/>
  <c r="H648" i="1"/>
  <c r="J648" i="1" s="1"/>
  <c r="C115" i="2"/>
  <c r="J647" i="1"/>
  <c r="L257" i="1"/>
  <c r="L271" i="1" s="1"/>
  <c r="F472" i="1" s="1"/>
  <c r="F660" i="1"/>
  <c r="F664" i="1" s="1"/>
  <c r="F672" i="1" s="1"/>
  <c r="C4" i="10" s="1"/>
  <c r="F104" i="2"/>
  <c r="E104" i="2"/>
  <c r="H664" i="1"/>
  <c r="H667" i="1" s="1"/>
  <c r="C36" i="10"/>
  <c r="F51" i="2"/>
  <c r="D104" i="2"/>
  <c r="F193" i="1"/>
  <c r="E33" i="13"/>
  <c r="D35" i="13" s="1"/>
  <c r="C63" i="2"/>
  <c r="G24" i="14"/>
  <c r="H24" i="14" s="1"/>
  <c r="I24" i="14" s="1"/>
  <c r="G104" i="2"/>
  <c r="G33" i="13"/>
  <c r="C144" i="2"/>
  <c r="C128" i="2"/>
  <c r="C81" i="2"/>
  <c r="D31" i="13"/>
  <c r="C31" i="13" s="1"/>
  <c r="I461" i="1"/>
  <c r="H642" i="1" s="1"/>
  <c r="J642" i="1" s="1"/>
  <c r="G660" i="1"/>
  <c r="G664" i="1" s="1"/>
  <c r="G667" i="1" s="1"/>
  <c r="C25" i="13"/>
  <c r="I33" i="13"/>
  <c r="K552" i="1"/>
  <c r="C28" i="10"/>
  <c r="D23" i="10" s="1"/>
  <c r="C51" i="2"/>
  <c r="G631" i="1"/>
  <c r="G193" i="1"/>
  <c r="G626" i="1"/>
  <c r="J52" i="1"/>
  <c r="H621" i="1" s="1"/>
  <c r="J621" i="1" s="1"/>
  <c r="C38" i="10"/>
  <c r="J474" i="1" l="1"/>
  <c r="H638" i="1"/>
  <c r="H631" i="1"/>
  <c r="J470" i="1"/>
  <c r="J476" i="1" s="1"/>
  <c r="H626" i="1" s="1"/>
  <c r="J626" i="1" s="1"/>
  <c r="H637" i="1"/>
  <c r="J638" i="1"/>
  <c r="J637" i="1"/>
  <c r="J631" i="1"/>
  <c r="H470" i="1"/>
  <c r="H629" i="1"/>
  <c r="J629" i="1" s="1"/>
  <c r="G630" i="1"/>
  <c r="I468" i="1"/>
  <c r="H636" i="1"/>
  <c r="J636" i="1" s="1"/>
  <c r="I474" i="1"/>
  <c r="G627" i="1"/>
  <c r="F468" i="1"/>
  <c r="G632" i="1"/>
  <c r="G633" i="1"/>
  <c r="H472" i="1"/>
  <c r="G628" i="1"/>
  <c r="G468" i="1"/>
  <c r="H672" i="1"/>
  <c r="C6" i="10" s="1"/>
  <c r="C145" i="2"/>
  <c r="F667" i="1"/>
  <c r="I660" i="1"/>
  <c r="I664" i="1" s="1"/>
  <c r="I672" i="1" s="1"/>
  <c r="C7" i="10" s="1"/>
  <c r="G672" i="1"/>
  <c r="C5" i="10" s="1"/>
  <c r="C104" i="2"/>
  <c r="D25" i="10"/>
  <c r="D22" i="10"/>
  <c r="D18" i="10"/>
  <c r="D27" i="10"/>
  <c r="D15" i="10"/>
  <c r="D21" i="10"/>
  <c r="D24" i="10"/>
  <c r="D20" i="10"/>
  <c r="D11" i="10"/>
  <c r="D12" i="10"/>
  <c r="D13" i="10"/>
  <c r="D17" i="10"/>
  <c r="D19" i="10"/>
  <c r="D10" i="10"/>
  <c r="D26" i="10"/>
  <c r="C30" i="10"/>
  <c r="D16" i="10"/>
  <c r="D33" i="13"/>
  <c r="D36" i="13" s="1"/>
  <c r="C41" i="10"/>
  <c r="D38" i="10" s="1"/>
  <c r="I470" i="1" l="1"/>
  <c r="I476" i="1" s="1"/>
  <c r="H625" i="1" s="1"/>
  <c r="J625" i="1" s="1"/>
  <c r="H630" i="1"/>
  <c r="J630" i="1"/>
  <c r="F470" i="1"/>
  <c r="H627" i="1"/>
  <c r="J627" i="1" s="1"/>
  <c r="H632" i="1"/>
  <c r="J632" i="1" s="1"/>
  <c r="F474" i="1"/>
  <c r="H474" i="1"/>
  <c r="H476" i="1" s="1"/>
  <c r="H624" i="1" s="1"/>
  <c r="J624" i="1" s="1"/>
  <c r="H633" i="1"/>
  <c r="J633" i="1" s="1"/>
  <c r="H628" i="1"/>
  <c r="G470" i="1"/>
  <c r="G476" i="1" s="1"/>
  <c r="H623" i="1" s="1"/>
  <c r="J628" i="1"/>
  <c r="I667" i="1"/>
  <c r="D28" i="10"/>
  <c r="D37" i="10"/>
  <c r="D36" i="10"/>
  <c r="D35" i="10"/>
  <c r="D40" i="10"/>
  <c r="D39" i="10"/>
  <c r="F476" i="1" l="1"/>
  <c r="H622" i="1" s="1"/>
  <c r="J622" i="1" s="1"/>
  <c r="J623" i="1"/>
  <c r="D41" i="10"/>
  <c r="H656"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<sst xmlns="http://schemas.openxmlformats.org/spreadsheetml/2006/main" count="5514" uniqueCount="1616">
  <si>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</si>
  <si>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</si>
  <si>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</si>
  <si>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</si>
  <si>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</si>
  <si>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</si>
  <si>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</si>
  <si>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</si>
  <si>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</si>
  <si>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</si>
  <si>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</si>
  <si>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</si>
  <si>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</si>
  <si>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</si>
  <si>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</si>
  <si>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</si>
  <si>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</si>
  <si>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</si>
  <si>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</si>
  <si>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</si>
  <si>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</si>
  <si>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</si>
  <si>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</si>
  <si>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</si>
  <si>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</si>
  <si>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</si>
  <si>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</si>
  <si>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</si>
  <si>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</si>
  <si>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</si>
  <si>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</si>
  <si>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</si>
  <si>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</si>
  <si>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</si>
  <si>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</si>
  <si>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</si>
  <si>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</si>
  <si>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</si>
  <si>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</si>
  <si>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</si>
  <si>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</si>
  <si>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</si>
  <si>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</si>
  <si>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</si>
  <si>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</si>
  <si>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</si>
  <si>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</si>
  <si>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</si>
  <si>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</si>
  <si>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</si>
  <si>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</si>
  <si>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</si>
  <si>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</si>
  <si>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</si>
  <si>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</si>
  <si>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</si>
  <si>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</si>
  <si>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</si>
  <si>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</si>
  <si>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</si>
  <si>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</si>
  <si>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</si>
  <si>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</si>
  <si>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</si>
  <si>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</si>
  <si>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</si>
  <si>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</si>
  <si>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</si>
  <si>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</si>
  <si>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</si>
  <si>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</si>
  <si>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</si>
  <si>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</si>
  <si>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</si>
  <si>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</si>
  <si>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</si>
  <si>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</si>
  <si>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</si>
  <si>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</si>
  <si>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</si>
  <si>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</si>
  <si>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</si>
  <si>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</si>
  <si>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</si>
  <si>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</si>
  <si>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</si>
  <si>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</si>
  <si>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</si>
  <si>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</si>
  <si>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</si>
  <si>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</si>
  <si>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</si>
  <si>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</si>
  <si>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</si>
  <si>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</si>
  <si>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</si>
  <si>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</si>
  <si>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</si>
  <si>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</si>
  <si>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</si>
  <si>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</si>
  <si>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</si>
  <si>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</si>
  <si>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</si>
  <si>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</si>
  <si>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</si>
  <si>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</si>
  <si>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</si>
  <si>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</si>
  <si>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</si>
  <si>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</si>
  <si>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</si>
  <si>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</si>
  <si>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</si>
  <si>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</si>
  <si>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</si>
  <si>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</si>
  <si>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</si>
  <si>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</si>
  <si>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</si>
  <si>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</si>
  <si>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</si>
  <si>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</si>
  <si>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</si>
  <si>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</si>
  <si>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</si>
  <si>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</si>
  <si>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</si>
  <si>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</si>
  <si>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</si>
  <si>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</si>
  <si>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</si>
  <si>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</si>
  <si>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</si>
  <si>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</si>
  <si>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</si>
  <si>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</si>
  <si>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</si>
  <si>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</si>
  <si>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</si>
  <si>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</si>
  <si>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</si>
  <si>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</si>
  <si>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</si>
  <si>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</si>
  <si>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</si>
  <si>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</si>
  <si>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</si>
  <si>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</si>
  <si>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</si>
  <si>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</si>
  <si>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</si>
  <si>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</si>
  <si>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</si>
  <si>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</si>
  <si>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</si>
  <si>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</si>
  <si>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</si>
  <si>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</si>
  <si>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</si>
  <si>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</si>
  <si>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</si>
  <si>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</si>
  <si>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</si>
  <si>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</si>
  <si>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</si>
  <si>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</si>
  <si>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</si>
  <si>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</si>
  <si>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</si>
  <si>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</si>
  <si>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</si>
  <si>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</si>
  <si>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</si>
  <si>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</si>
  <si>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</si>
  <si>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</si>
  <si>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</si>
  <si>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</si>
  <si>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</si>
  <si>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</si>
  <si>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</si>
  <si>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</si>
  <si>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</si>
  <si>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</si>
  <si>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</si>
  <si>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</si>
  <si>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</si>
  <si>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</si>
  <si>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</si>
  <si>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</si>
  <si>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</si>
  <si>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</si>
  <si>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</si>
  <si>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</si>
  <si>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</si>
  <si>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</si>
  <si>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</si>
  <si>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</si>
  <si>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</si>
  <si>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</si>
  <si>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</si>
  <si>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</si>
  <si>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</si>
  <si>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</si>
  <si>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</si>
  <si>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</si>
  <si>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</si>
  <si>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</si>
  <si>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</si>
  <si>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</si>
  <si>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</si>
  <si>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</si>
  <si>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</si>
  <si>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</si>
  <si>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</si>
  <si>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</si>
  <si>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</si>
  <si>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</si>
  <si>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</si>
  <si>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</si>
  <si>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</si>
  <si>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</si>
  <si>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</si>
  <si>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</si>
  <si>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</si>
  <si>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</si>
  <si>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</si>
  <si>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</si>
  <si>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</si>
  <si>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</si>
  <si>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</si>
  <si>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</si>
  <si>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</si>
  <si>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</si>
  <si>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</si>
  <si>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</si>
  <si>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</si>
  <si>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</si>
  <si>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</si>
  <si>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</si>
  <si>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</si>
  <si>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</si>
  <si>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</si>
  <si>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</si>
  <si>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</si>
  <si>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</si>
  <si>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</si>
  <si>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</si>
  <si>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</si>
  <si>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</si>
  <si>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</si>
  <si>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</si>
  <si>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</si>
  <si>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</si>
  <si>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</si>
  <si>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</si>
  <si>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</si>
  <si>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</si>
  <si>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</si>
  <si>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</si>
  <si>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</si>
  <si>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</si>
  <si>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</si>
  <si>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</si>
  <si>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</si>
  <si>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</si>
  <si>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</si>
  <si>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</si>
  <si>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</si>
  <si>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</si>
  <si>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</si>
  <si>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</si>
  <si>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</si>
  <si>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</si>
  <si>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</si>
  <si>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</si>
  <si>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</si>
  <si>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</si>
  <si>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</si>
  <si>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</si>
  <si>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</si>
  <si>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</si>
  <si>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</si>
  <si>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</si>
  <si>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</si>
  <si>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</si>
  <si>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</si>
  <si>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</si>
  <si>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</si>
  <si>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</si>
  <si>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</si>
  <si>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</si>
  <si>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</si>
  <si>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</si>
  <si>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</si>
  <si>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</si>
  <si>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</si>
  <si>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</si>
  <si>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</si>
  <si>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</si>
  <si>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</si>
  <si>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</si>
  <si>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</si>
  <si>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</si>
  <si>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</si>
  <si>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</si>
  <si>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</si>
  <si>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</si>
  <si>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</si>
  <si>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</si>
  <si>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</si>
  <si>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</si>
  <si>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</si>
  <si>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</si>
  <si>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</si>
  <si>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</si>
  <si>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</si>
  <si>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</si>
  <si>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</si>
  <si>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</si>
  <si>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</si>
  <si>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</si>
  <si>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</si>
  <si>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</si>
  <si>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</si>
  <si>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</si>
  <si>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</si>
  <si>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</si>
  <si>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</si>
  <si>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</si>
  <si>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</si>
  <si>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</si>
  <si>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</si>
  <si>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</si>
  <si>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</si>
  <si>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</si>
  <si>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</si>
  <si>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</si>
  <si>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</si>
  <si>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</si>
  <si>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</si>
  <si>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</si>
  <si>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</si>
  <si>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</si>
  <si>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</si>
  <si>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</si>
  <si>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</si>
  <si>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</si>
  <si>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</si>
  <si>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</si>
  <si>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</si>
  <si>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</si>
  <si>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</si>
  <si>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</si>
  <si>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</si>
  <si>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</si>
  <si>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</si>
  <si>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</si>
  <si>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</si>
  <si>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</si>
  <si>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</si>
  <si>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</si>
  <si>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</si>
  <si>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</si>
  <si>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</si>
  <si>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</si>
  <si>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</si>
  <si>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</si>
  <si>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</si>
  <si>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</si>
  <si>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</si>
  <si>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</si>
  <si>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</si>
  <si>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</si>
  <si>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</si>
  <si>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</si>
  <si>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</si>
  <si>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</si>
  <si>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</si>
  <si>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</si>
  <si>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</si>
  <si>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</si>
  <si>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</si>
  <si>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</si>
  <si>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</si>
  <si>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</si>
  <si>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</si>
  <si>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</si>
  <si>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</si>
  <si>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</si>
  <si>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</si>
  <si>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</si>
  <si>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</si>
  <si>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</si>
  <si>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</si>
  <si>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</si>
  <si>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</si>
  <si>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</si>
  <si>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</si>
  <si>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</si>
  <si>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</si>
  <si>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</si>
  <si>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</si>
  <si>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</si>
  <si>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</si>
  <si>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</si>
  <si>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</si>
  <si>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</si>
  <si>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</si>
  <si>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</si>
  <si>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</si>
  <si>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</si>
  <si>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</si>
  <si>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</si>
  <si>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</si>
  <si>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</si>
  <si>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</si>
  <si>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</si>
  <si>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</si>
  <si>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</si>
  <si>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</si>
  <si>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</si>
  <si>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</si>
  <si>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</si>
  <si>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</si>
  <si>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</si>
  <si>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</si>
  <si>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</si>
  <si>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</si>
  <si>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</si>
  <si>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</si>
  <si>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</si>
  <si>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</si>
  <si>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</si>
  <si>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</si>
  <si>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</si>
  <si>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</si>
  <si>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</si>
  <si>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</si>
  <si>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</si>
  <si>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</si>
  <si>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</si>
  <si>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</si>
  <si>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</si>
  <si>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</si>
  <si>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</si>
  <si>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</si>
  <si>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</si>
  <si>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</si>
  <si>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</si>
  <si>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</si>
  <si>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</si>
  <si>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</si>
  <si>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</si>
  <si>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</si>
  <si>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</si>
  <si>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</si>
  <si>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</si>
  <si>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</si>
  <si>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</si>
  <si>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</si>
  <si>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</si>
  <si>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</si>
  <si>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</si>
  <si>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</si>
  <si>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</si>
  <si>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</si>
  <si>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</si>
  <si>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</si>
  <si>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</si>
  <si>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</si>
  <si>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</si>
  <si>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</si>
  <si>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</si>
  <si>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</si>
  <si>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</si>
  <si>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</si>
  <si>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</si>
  <si>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</si>
  <si>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</si>
  <si>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</si>
  <si>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</si>
  <si>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</si>
  <si>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</si>
  <si>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</si>
  <si>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</si>
  <si>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</si>
  <si>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</si>
  <si>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</si>
  <si>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</si>
  <si>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</si>
  <si>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</si>
  <si>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</si>
  <si>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</si>
  <si>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</si>
  <si>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</si>
  <si>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</si>
  <si>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</si>
  <si>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</si>
  <si>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</si>
  <si>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</si>
  <si>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</si>
  <si>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</si>
  <si>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</si>
  <si>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</si>
  <si>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</si>
  <si>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</si>
  <si>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</si>
  <si>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</si>
  <si>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</si>
  <si>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</si>
  <si>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</si>
  <si>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</si>
  <si>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</si>
  <si>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</si>
  <si>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</si>
  <si>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</si>
  <si>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</si>
  <si>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</si>
  <si>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</si>
  <si>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</si>
  <si>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</si>
  <si>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</si>
  <si>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</si>
  <si>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</si>
  <si>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</si>
  <si>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</si>
  <si>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</si>
  <si>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</si>
  <si>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</si>
  <si>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</si>
  <si>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</si>
  <si>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</si>
  <si>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</si>
  <si>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</si>
  <si>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</si>
  <si>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</si>
  <si>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</si>
  <si>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</si>
  <si>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</si>
  <si>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</si>
  <si>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</si>
  <si>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</si>
  <si>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</si>
  <si>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</si>
  <si>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</si>
  <si>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</si>
  <si>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</si>
  <si>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</si>
  <si>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</si>
  <si>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</si>
  <si>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</si>
  <si>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</si>
  <si>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</si>
  <si>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</si>
  <si>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</si>
  <si>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</si>
  <si>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</si>
  <si>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</si>
  <si>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</si>
  <si>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</si>
  <si>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</si>
  <si>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</si>
  <si>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</si>
  <si>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</si>
  <si>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</si>
  <si>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</si>
  <si>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</si>
  <si>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</si>
  <si>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</si>
  <si>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</si>
  <si>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</si>
  <si>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</si>
  <si>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</si>
  <si>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</si>
  <si>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</si>
  <si>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</si>
  <si>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</si>
  <si>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</si>
  <si>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</si>
  <si>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</si>
  <si>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</si>
  <si>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</si>
  <si>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</si>
  <si>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</si>
  <si>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</si>
  <si>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</si>
  <si>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</si>
  <si>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</si>
  <si>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</si>
  <si>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</si>
  <si>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</si>
  <si>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</si>
  <si>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</si>
  <si>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</si>
  <si>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</si>
  <si>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</si>
  <si>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</si>
  <si>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</si>
  <si>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</si>
  <si>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</si>
  <si>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</si>
  <si>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</si>
  <si>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</si>
  <si>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</si>
  <si>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</si>
  <si>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</si>
  <si>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</si>
  <si>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</si>
  <si>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</si>
  <si>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</si>
  <si>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</si>
  <si>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</si>
  <si>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</si>
  <si>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</si>
  <si>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</si>
  <si>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</si>
  <si>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</si>
  <si>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</si>
  <si>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</si>
  <si>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</si>
  <si>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</si>
  <si>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</si>
  <si>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</si>
  <si>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</si>
  <si>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</si>
  <si>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</si>
  <si>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</si>
  <si>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</si>
  <si>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</si>
  <si>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</si>
  <si>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</si>
  <si>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</si>
  <si>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</si>
  <si>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</si>
  <si>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</si>
  <si>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</si>
  <si>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</si>
  <si>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</si>
  <si>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</si>
  <si>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</si>
  <si>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</si>
  <si>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</si>
  <si>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</si>
  <si>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</si>
  <si>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</si>
  <si>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</si>
  <si>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</si>
  <si>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</si>
  <si>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</si>
  <si>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</si>
  <si>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</si>
  <si>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</si>
  <si>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</si>
  <si>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</si>
  <si>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</si>
  <si>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</si>
  <si>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</si>
  <si>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</si>
  <si>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</si>
  <si>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</si>
  <si>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</si>
  <si>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</si>
  <si>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</si>
  <si>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</si>
  <si>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</si>
  <si>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</si>
  <si>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</si>
  <si>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</si>
  <si>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</si>
  <si>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</si>
  <si>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</si>
  <si>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</si>
  <si>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</si>
  <si>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</si>
  <si>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</si>
  <si>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</si>
  <si>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</si>
  <si>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</si>
  <si>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</si>
  <si>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</si>
  <si>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</si>
  <si>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</si>
  <si>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</si>
  <si>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</si>
  <si>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</si>
  <si>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</si>
  <si>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</si>
  <si>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</si>
  <si>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</si>
  <si>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</si>
  <si>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</si>
  <si>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</si>
  <si>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</si>
  <si>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</si>
  <si>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</si>
  <si>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</si>
  <si>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</si>
  <si>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</si>
  <si>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</si>
  <si>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</si>
  <si>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</si>
  <si>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</si>
  <si>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</si>
  <si>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</si>
  <si>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</si>
  <si>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</si>
  <si>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</si>
  <si>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</si>
  <si>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</si>
  <si>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</si>
  <si>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</si>
  <si>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</si>
  <si>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</si>
  <si>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</si>
  <si>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</si>
  <si>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</si>
  <si>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</si>
  <si>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</si>
  <si>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</si>
  <si>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</si>
  <si>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</si>
  <si>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</si>
  <si>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</si>
  <si>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</si>
  <si>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</si>
  <si>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</si>
  <si>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</si>
  <si>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</si>
  <si>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</si>
  <si>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</si>
  <si>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</si>
  <si>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</si>
  <si>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</si>
  <si>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</si>
  <si>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</si>
  <si>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</si>
  <si>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</si>
  <si>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</si>
  <si>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</si>
  <si>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</si>
  <si>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</si>
  <si>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</si>
  <si>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</si>
  <si>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</si>
  <si>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</si>
  <si>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</si>
  <si>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</si>
  <si>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</si>
  <si>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</si>
  <si>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</si>
  <si>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</si>
  <si>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</si>
  <si>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</si>
  <si>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</si>
  <si>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</si>
  <si>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</si>
  <si>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</si>
  <si>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</si>
  <si>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</si>
  <si>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</si>
  <si>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</si>
  <si>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</si>
  <si>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</si>
  <si>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</si>
  <si>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</si>
  <si>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</si>
  <si>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</si>
  <si>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</si>
  <si>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</si>
  <si>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</si>
  <si>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</si>
  <si>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</si>
  <si>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</si>
  <si>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</si>
  <si>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</si>
  <si>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</si>
  <si>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</si>
  <si>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</si>
  <si>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</si>
  <si>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</si>
  <si>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</si>
  <si>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</si>
  <si>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</si>
  <si>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</si>
  <si>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</si>
  <si>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</si>
  <si>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</si>
  <si>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</si>
  <si>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</si>
  <si>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</si>
  <si>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</si>
  <si>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</si>
  <si>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</si>
  <si>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</si>
  <si>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</si>
  <si>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</si>
  <si>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</si>
  <si>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</si>
  <si>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</si>
  <si>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</si>
  <si>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</si>
  <si>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</si>
  <si>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</si>
  <si>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</si>
  <si>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</si>
  <si>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</si>
  <si>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</si>
  <si>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</si>
  <si>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</si>
  <si>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</si>
  <si>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</si>
  <si>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</si>
  <si>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</si>
  <si>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</si>
  <si>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</si>
  <si>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</si>
  <si>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</si>
  <si>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</si>
  <si>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</si>
  <si>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</si>
  <si>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</si>
  <si>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</si>
  <si>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</si>
  <si>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</si>
  <si>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</si>
  <si>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</si>
  <si>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</si>
  <si>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</si>
  <si>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</si>
  <si>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</si>
  <si>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</si>
  <si>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</si>
  <si>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</si>
  <si>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</si>
  <si>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</si>
  <si>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</si>
  <si>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</si>
  <si>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</si>
  <si>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</si>
  <si>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</si>
  <si>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</si>
  <si>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</si>
  <si>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</si>
  <si>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</si>
  <si>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</si>
  <si>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</si>
  <si>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</si>
  <si>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</si>
  <si>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</si>
  <si>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</si>
  <si>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</si>
  <si>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</si>
  <si>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</si>
  <si>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</si>
  <si>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</si>
  <si>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</si>
  <si>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</si>
  <si>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</si>
  <si>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</si>
  <si>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</si>
  <si>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</si>
  <si>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</si>
  <si>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</si>
  <si>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</si>
  <si>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</si>
  <si>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</si>
  <si>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</si>
  <si>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</si>
  <si>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</si>
  <si>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</si>
  <si>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</si>
  <si>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</si>
  <si>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</si>
  <si>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</si>
  <si>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</si>
  <si>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</si>
  <si>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</si>
  <si>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</si>
  <si>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</si>
  <si>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</si>
  <si>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</si>
  <si>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</si>
  <si>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</si>
  <si>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</si>
  <si>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</si>
  <si>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</si>
  <si>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</si>
  <si>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</si>
  <si>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</si>
  <si>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</si>
  <si>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</si>
  <si>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</si>
  <si>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</si>
  <si>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</si>
  <si>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</si>
  <si>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</si>
  <si>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</si>
  <si>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</si>
  <si>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</si>
  <si>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</si>
  <si>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</si>
  <si>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</si>
  <si>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</si>
  <si>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</si>
  <si>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</si>
  <si>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</si>
  <si>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</si>
  <si>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</si>
  <si>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</si>
  <si>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</si>
  <si>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</si>
  <si>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</si>
  <si>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</si>
  <si>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</si>
  <si>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</si>
  <si>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</si>
  <si>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</si>
  <si>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</si>
  <si>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</si>
  <si>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</si>
  <si>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</si>
  <si>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</si>
  <si>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</si>
  <si>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</si>
  <si>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</si>
  <si>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</si>
  <si>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</si>
  <si>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</si>
  <si>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</si>
  <si>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</si>
  <si>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</si>
  <si>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</si>
  <si>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</si>
  <si>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</si>
  <si>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</si>
  <si>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</si>
  <si>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</si>
  <si>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</si>
  <si>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</si>
  <si>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</si>
  <si>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</si>
  <si>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</si>
  <si>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</si>
  <si>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</si>
  <si>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</si>
  <si>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</si>
  <si>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</si>
  <si>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</si>
  <si>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</si>
  <si>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</si>
  <si>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</si>
  <si>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</si>
  <si>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</si>
  <si>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</si>
  <si>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</si>
  <si>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</si>
  <si>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</si>
  <si>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</si>
  <si>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</si>
  <si>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</si>
  <si>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</si>
  <si>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</si>
  <si>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</si>
  <si>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</si>
  <si>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</si>
  <si>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</si>
  <si>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</si>
  <si>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</si>
  <si>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</si>
  <si>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</si>
  <si>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</si>
  <si>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</si>
  <si>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</si>
  <si>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</si>
  <si>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</si>
  <si>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</si>
  <si>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</si>
  <si>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</si>
  <si>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</si>
  <si>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</si>
  <si>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</si>
  <si>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</si>
  <si>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</si>
  <si>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</si>
  <si>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</si>
  <si>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</si>
  <si>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</si>
  <si>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</si>
  <si>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</si>
  <si>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</si>
  <si>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</si>
  <si>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</si>
  <si>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</si>
  <si>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</si>
  <si>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</si>
  <si>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</si>
  <si>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</si>
  <si>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</si>
  <si>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</si>
  <si>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</si>
  <si>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</si>
  <si>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</si>
  <si>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</si>
  <si>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</si>
  <si>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</si>
  <si>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</si>
  <si>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</si>
  <si>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</si>
  <si>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</si>
  <si>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</si>
  <si>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</si>
  <si>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</si>
  <si>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</si>
  <si>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</si>
  <si>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</si>
  <si>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</si>
  <si>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</si>
  <si>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</si>
  <si>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</si>
  <si>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</si>
  <si>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</si>
  <si>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</si>
  <si>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</si>
  <si>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</si>
  <si>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</si>
  <si>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</si>
  <si>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</si>
  <si>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</si>
  <si>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</si>
  <si>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</si>
  <si>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</si>
  <si>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</si>
  <si>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</si>
  <si>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</si>
  <si>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</si>
  <si>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</si>
  <si>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</si>
  <si>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</si>
  <si>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</si>
  <si>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</si>
  <si>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</si>
  <si>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</si>
  <si>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</si>
  <si>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</si>
  <si>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</si>
  <si>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</si>
  <si>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</si>
  <si>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</si>
  <si>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</si>
  <si>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</si>
  <si>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</si>
  <si>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</si>
  <si>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</si>
  <si>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</si>
  <si>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</si>
  <si>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</si>
  <si>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</si>
  <si>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</si>
  <si>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</si>
  <si>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</si>
  <si>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</si>
  <si>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</si>
  <si>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</si>
  <si>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</si>
  <si>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</si>
  <si>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</si>
  <si>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</si>
  <si>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</si>
  <si>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</si>
  <si>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</si>
  <si>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</si>
  <si>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</si>
  <si>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</si>
  <si>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</si>
  <si>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</si>
  <si>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</si>
  <si>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</si>
  <si>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</si>
  <si>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</si>
  <si>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</si>
  <si>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</si>
  <si>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</si>
  <si>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</si>
  <si>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</si>
  <si>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</si>
  <si>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</si>
  <si>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</si>
  <si>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</si>
  <si>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</si>
  <si>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</si>
  <si>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</si>
  <si>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</si>
  <si>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</si>
  <si>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</si>
  <si>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</si>
  <si>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</si>
  <si>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</si>
  <si>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</si>
  <si>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</si>
  <si>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</si>
  <si>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</si>
  <si>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</si>
  <si>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</si>
  <si>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</si>
  <si>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</si>
  <si>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</si>
  <si>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</si>
  <si>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</si>
  <si>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</si>
  <si>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</si>
  <si>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</si>
  <si>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</si>
  <si>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</si>
  <si>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</si>
  <si>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</si>
  <si>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</si>
  <si>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</si>
  <si>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</si>
  <si>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</si>
  <si>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</si>
  <si>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</si>
  <si>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</si>
  <si>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</si>
  <si>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</si>
  <si>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</si>
  <si>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</si>
  <si>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</si>
  <si>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</si>
  <si>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</si>
  <si>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</si>
  <si>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</si>
  <si>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</si>
  <si>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</si>
  <si>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</si>
  <si>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</si>
  <si>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</si>
  <si>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</si>
  <si>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</si>
  <si>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</si>
  <si>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</si>
  <si>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</si>
  <si>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</si>
  <si>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</si>
  <si>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</si>
  <si>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</si>
  <si>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</si>
  <si>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</si>
  <si>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</si>
  <si>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</si>
  <si>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</si>
  <si>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</si>
  <si>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</si>
  <si>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</si>
  <si>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</si>
  <si>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</si>
  <si>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</si>
  <si>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</si>
  <si>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</si>
  <si>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</si>
  <si>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</si>
  <si>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</si>
  <si>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</si>
  <si>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</si>
  <si>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</si>
  <si>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</si>
  <si>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</si>
  <si>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</si>
  <si>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</si>
  <si>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</si>
  <si>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</si>
  <si>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</si>
  <si>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</si>
  <si>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</si>
  <si>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</si>
  <si>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</si>
  <si>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</si>
  <si>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</si>
  <si>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</si>
  <si>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</si>
  <si>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</si>
  <si>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</si>
  <si>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</si>
  <si>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</si>
  <si>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</si>
  <si>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</si>
  <si>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</si>
  <si>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</si>
  <si>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</si>
  <si>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</si>
  <si>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</si>
  <si>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</si>
  <si>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</si>
  <si>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</si>
  <si>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</si>
  <si>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</si>
  <si>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</si>
  <si>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</si>
  <si>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</si>
  <si>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</si>
  <si>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</si>
  <si>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</si>
  <si>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</si>
  <si>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</si>
  <si>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</si>
  <si>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</si>
  <si>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</si>
  <si>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</si>
  <si>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</si>
  <si>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</si>
  <si>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</si>
  <si>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</si>
  <si>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</si>
  <si>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</si>
  <si>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</si>
  <si>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</si>
  <si>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</si>
  <si>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</si>
  <si>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</si>
  <si>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</si>
  <si>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</si>
  <si>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</si>
  <si>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</si>
  <si>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</si>
  <si>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</si>
  <si>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</si>
  <si>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</si>
  <si>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</si>
  <si>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</si>
  <si>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</si>
  <si>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</si>
  <si>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</si>
  <si>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</si>
  <si>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</si>
  <si>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</si>
  <si>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</si>
  <si>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</si>
  <si>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</si>
  <si>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</si>
  <si>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</si>
  <si>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</si>
  <si>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</si>
  <si>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</si>
  <si>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</si>
  <si>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</si>
  <si>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</si>
  <si>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</si>
  <si>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</si>
  <si>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</si>
  <si>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</si>
  <si>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</si>
  <si>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</si>
  <si>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</si>
  <si>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</si>
  <si>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</si>
  <si>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</si>
  <si>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</si>
  <si>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</si>
  <si>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</si>
  <si>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</si>
  <si>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</si>
  <si>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</si>
  <si>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</si>
  <si>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</si>
  <si>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</si>
  <si>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</si>
  <si>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</si>
  <si>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</si>
  <si>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</si>
  <si>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</si>
  <si>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</si>
  <si>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</si>
  <si>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</si>
  <si>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</si>
  <si>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</si>
  <si>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</si>
  <si>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</si>
  <si>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</si>
  <si>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</si>
  <si>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</si>
  <si>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</si>
  <si>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</si>
  <si>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</si>
  <si>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</si>
  <si>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</si>
  <si>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</si>
  <si>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</si>
  <si>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</si>
  <si>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</si>
  <si>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</si>
  <si>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</si>
  <si>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</si>
  <si>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</si>
  <si>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</si>
  <si>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</si>
  <si>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</si>
  <si>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</si>
  <si>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</si>
  <si>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</si>
  <si>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</si>
  <si>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</si>
  <si>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</si>
  <si>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</si>
  <si>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</si>
  <si>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</si>
  <si>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</si>
  <si>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</si>
  <si>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</si>
  <si>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</si>
  <si>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</si>
  <si>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</si>
  <si>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</si>
  <si>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</si>
  <si>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</si>
  <si>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</si>
  <si>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</si>
  <si>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</si>
  <si>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</si>
  <si>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</si>
  <si>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</si>
  <si>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</si>
  <si>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</si>
  <si>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</si>
  <si>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</si>
  <si>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</si>
  <si>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</si>
  <si>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</si>
  <si>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</si>
  <si>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</si>
  <si>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</si>
  <si>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</si>
  <si>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</si>
  <si>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</si>
  <si>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</si>
  <si>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</si>
  <si>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</si>
  <si>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</si>
  <si>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</si>
  <si>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</si>
  <si>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</si>
  <si>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</si>
  <si>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</si>
  <si>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</si>
  <si>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</si>
  <si>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</si>
  <si>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</si>
  <si>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</si>
  <si>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</si>
  <si>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</si>
  <si>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</si>
  <si>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</si>
  <si>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</si>
  <si>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</si>
  <si>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</si>
  <si>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</si>
  <si>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</si>
  <si>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</si>
  <si>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</si>
  <si>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</si>
  <si>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</si>
  <si>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</si>
  <si>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</si>
  <si>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</si>
  <si>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</si>
  <si>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</si>
  <si>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</si>
  <si>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</si>
  <si>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</si>
  <si>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</si>
  <si>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</si>
  <si>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</si>
  <si>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</si>
  <si>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</si>
  <si>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</si>
  <si>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</si>
  <si>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</si>
  <si>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</si>
  <si>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</si>
  <si>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</si>
  <si>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</si>
  <si>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</si>
  <si>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</si>
  <si>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</si>
  <si>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</si>
  <si>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</si>
  <si>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</si>
  <si>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</si>
  <si>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</si>
  <si>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</si>
  <si>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</si>
  <si>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</si>
  <si>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</si>
  <si>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</si>
  <si>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</si>
  <si>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</si>
  <si>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</si>
  <si>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</si>
  <si>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</si>
  <si>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</si>
  <si>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</si>
  <si>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</si>
  <si>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</si>
  <si>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</si>
  <si>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</si>
  <si>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</si>
  <si>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</si>
  <si>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</si>
  <si>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</si>
  <si>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</si>
  <si>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</si>
  <si>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</si>
  <si>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</si>
  <si>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</si>
  <si>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</si>
  <si>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</si>
  <si>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</si>
  <si>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</si>
  <si>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</si>
  <si>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</si>
  <si>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</si>
  <si>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</si>
  <si>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</si>
  <si>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</si>
  <si>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</si>
  <si>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</si>
  <si>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</si>
  <si>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</si>
  <si>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</si>
  <si>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</si>
  <si>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</si>
  <si>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</si>
  <si>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</si>
  <si>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</si>
  <si>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</si>
  <si>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</si>
  <si>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</si>
  <si>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</si>
  <si>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</si>
  <si>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</si>
  <si>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</si>
  <si>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</si>
  <si>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</si>
  <si>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</si>
  <si>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</si>
  <si>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</si>
  <si>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</si>
  <si>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</si>
  <si>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</si>
  <si>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</si>
  <si>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</si>
  <si>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</si>
  <si>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</si>
  <si>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</si>
  <si>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</si>
  <si>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</si>
  <si>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</si>
  <si>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</si>
  <si>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</si>
  <si>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</si>
  <si>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</si>
  <si>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</si>
  <si>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</si>
  <si>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</si>
  <si>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</si>
  <si>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</si>
  <si>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</si>
  <si>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</si>
  <si>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</si>
  <si>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</si>
  <si>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</si>
  <si>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</si>
  <si>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</si>
  <si>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</si>
  <si>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</si>
  <si>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</si>
  <si>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</si>
  <si>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</si>
  <si>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</si>
  <si>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</si>
  <si>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</si>
  <si>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</si>
  <si>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</si>
  <si>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</si>
  <si>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</si>
  <si>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</si>
  <si>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</si>
  <si>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</si>
  <si>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</si>
  <si>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</si>
  <si>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</si>
  <si>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</si>
  <si>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</si>
  <si>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</si>
  <si>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</si>
  <si>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</si>
  <si>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</si>
  <si>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</si>
  <si>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</si>
  <si>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</si>
  <si>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</si>
  <si>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</si>
  <si>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</si>
  <si>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</si>
  <si>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</si>
  <si>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</si>
  <si>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</si>
  <si>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</si>
  <si>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</si>
  <si>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</si>
  <si>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</si>
  <si>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</si>
  <si>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</si>
  <si>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</si>
  <si>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</si>
  <si>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</si>
  <si>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</si>
  <si>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</si>
  <si>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</si>
  <si>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</si>
  <si>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</si>
  <si>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</si>
  <si>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</si>
  <si>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</si>
  <si>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</si>
  <si>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</si>
  <si>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</si>
  <si>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</si>
  <si>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</si>
  <si>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</si>
  <si>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</si>
  <si>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</si>
  <si>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</si>
  <si>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</si>
  <si>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</si>
  <si>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</si>
  <si>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</si>
  <si>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</si>
  <si>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</si>
  <si>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</si>
  <si>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</si>
  <si>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</si>
  <si>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</si>
  <si>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</si>
  <si>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</si>
  <si>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</si>
  <si>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</si>
  <si>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</si>
  <si>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</si>
  <si>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</si>
  <si>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</si>
  <si>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</si>
  <si>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</si>
  <si>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</si>
  <si>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</si>
  <si>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</si>
  <si>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</si>
  <si>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</si>
  <si>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</si>
  <si>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</si>
  <si>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</si>
  <si>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</si>
  <si>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</si>
  <si>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</si>
  <si>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</si>
  <si>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</si>
  <si>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</si>
  <si>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</si>
  <si>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</si>
  <si>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</si>
  <si>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</si>
  <si>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</si>
  <si>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</si>
  <si>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</si>
  <si>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</si>
  <si>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</si>
  <si>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</si>
  <si>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</si>
  <si>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</si>
  <si>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</si>
  <si>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</si>
  <si>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</si>
  <si>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</si>
  <si>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</si>
  <si>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</si>
  <si>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</si>
  <si>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</si>
  <si>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</si>
  <si>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</si>
  <si>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</si>
  <si>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</si>
  <si>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</si>
  <si>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</si>
  <si>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</si>
  <si>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</si>
  <si>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</si>
  <si>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</si>
  <si>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</si>
  <si>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</si>
  <si>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</si>
  <si>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</si>
  <si>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</si>
  <si>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</si>
  <si>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</si>
  <si>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</si>
  <si>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</si>
  <si>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</si>
  <si>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</si>
  <si>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</si>
  <si>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</si>
  <si>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6/21</t>
  </si>
  <si>
    <t>8/09</t>
  </si>
  <si>
    <t>2/19</t>
  </si>
  <si>
    <t>2/39</t>
  </si>
  <si>
    <t>9/18</t>
  </si>
  <si>
    <t>HUDSON SCHOOL DISTRICT-SAU81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</si>
</sst>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38" fontId="3" fillId="0" borderId="0" xfId="0" quotePrefix="1" applyNumberFormat="1" applyFont="1" applyAlignment="1" applyProtection="1">
      <alignment horizontal="center"/>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0" zoomScaleNormal="120" workbookViewId="0">
      <pane xSplit="5" ySplit="3" topLeftCell="F643" activePane="bottomRight" state="frozen"/>
      <selection activeCell="F4" sqref="F4"/>
      <selection pane="topRight" activeCell="F4" sqref="F4"/>
      <selection pane="bottomLeft" activeCell="F4" sqref="F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1615</v>
      </c>
      <c r="B2" s="21">
        <v>267</v>
      </c>
      <c r="C2" s="21">
        <v>267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2645582.91</v>
      </c>
      <c r="G9" s="18">
        <f>128160.6+450</f>
        <v>128610.6</v>
      </c>
      <c r="H9" s="18">
        <v>180177.74</v>
      </c>
      <c r="I9" s="18">
        <v>7076052.5300000003</v>
      </c>
      <c r="J9" s="67">
        <f>SUM(I439)</f>
        <v>734262.17</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260232</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550966.07999999996</v>
      </c>
      <c r="G13" s="18">
        <f>6084.54+15779.48</f>
        <v>21864.02</v>
      </c>
      <c r="H13" s="18">
        <v>279704.73</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451363.08</v>
      </c>
      <c r="G14" s="18"/>
      <c r="H14" s="18"/>
      <c r="I14" s="18"/>
      <c r="J14" s="67">
        <f>SUM(I443)</f>
        <v>4002.95</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3908144.0700000003</v>
      </c>
      <c r="G19" s="41">
        <f>SUM(G9:G18)</f>
        <v>150474.62</v>
      </c>
      <c r="H19" s="41">
        <f>SUM(H9:H18)</f>
        <v>459882.47</v>
      </c>
      <c r="I19" s="41">
        <f>SUM(I9:I18)</f>
        <v>7076052.5300000003</v>
      </c>
      <c r="J19" s="41">
        <f>SUM(J9:J18)</f>
        <v>738265.12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272263.28999999998</v>
      </c>
      <c r="G24" s="18">
        <v>1239.9000000000001</v>
      </c>
      <c r="H24" s="18">
        <v>80078.55</v>
      </c>
      <c r="I24" s="18">
        <v>149765.07999999999</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54426.65</v>
      </c>
      <c r="G28" s="18"/>
      <c r="H28" s="18">
        <v>2798.69</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1713844.37</v>
      </c>
      <c r="G29" s="18">
        <v>32304.82</v>
      </c>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2040534.31</v>
      </c>
      <c r="G32" s="41">
        <f>SUM(G22:G31)</f>
        <v>33544.720000000001</v>
      </c>
      <c r="H32" s="41">
        <f>SUM(H22:H31)</f>
        <v>82877.240000000005</v>
      </c>
      <c r="I32" s="41">
        <f>SUM(I22:I31)</f>
        <v>149765.07999999999</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116929.9</v>
      </c>
      <c r="H48" s="18">
        <v>377005.23</v>
      </c>
      <c r="I48" s="18">
        <v>6926287.4500000002</v>
      </c>
      <c r="J48" s="13">
        <f>SUM(I459)</f>
        <v>738265.12</v>
      </c>
      <c r="K48" s="24" t="s">
        <v>288</v>
      </c>
      <c r="L48" s="24" t="s">
        <v>288</v>
      </c>
      <c r="M48" s="8"/>
      <c r="N48" s="266"/>
    </row>
    <row r="49" spans="1:14" s="3" customFormat="1" ht="12.2" customHeight="1" x14ac:dyDescent="0.15">
      <c r="A49" s="1" t="s">
        <v>859</v>
      </c>
      <c r="B49" s="2" t="s">
        <v>289</v>
      </c>
      <c r="C49" s="6">
        <v>34</v>
      </c>
      <c r="D49" s="2"/>
      <c r="E49" s="6">
        <v>753</v>
      </c>
      <c r="F49" s="18">
        <v>940169</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827440.76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1867609.76</v>
      </c>
      <c r="G51" s="41">
        <f>SUM(G35:G50)</f>
        <v>116929.9</v>
      </c>
      <c r="H51" s="41">
        <f>SUM(H35:H50)</f>
        <v>377005.23</v>
      </c>
      <c r="I51" s="41">
        <f>SUM(I35:I50)</f>
        <v>6926287.4500000002</v>
      </c>
      <c r="J51" s="41">
        <f>SUM(J35:J50)</f>
        <v>738265.12</v>
      </c>
      <c r="K51" s="45" t="s">
        <v>288</v>
      </c>
      <c r="L51" s="45" t="s">
        <v>288</v>
      </c>
      <c r="N51" s="264"/>
    </row>
    <row r="52" spans="1:14" s="3" customFormat="1" ht="12.2" customHeight="1" thickTop="1" x14ac:dyDescent="0.15">
      <c r="A52" s="38" t="s">
        <v>455</v>
      </c>
      <c r="B52" s="39" t="s">
        <v>289</v>
      </c>
      <c r="C52" s="6">
        <v>37</v>
      </c>
      <c r="D52" s="39" t="s">
        <v>653</v>
      </c>
      <c r="E52" s="39"/>
      <c r="F52" s="41">
        <f>F51+F32</f>
        <v>3908144.0700000003</v>
      </c>
      <c r="G52" s="41">
        <f>G51+G32</f>
        <v>150474.62</v>
      </c>
      <c r="H52" s="41">
        <f>H51+H32</f>
        <v>459882.47</v>
      </c>
      <c r="I52" s="41">
        <f>I51+I32</f>
        <v>7076052.5300000003</v>
      </c>
      <c r="J52" s="41">
        <f>J51+J32</f>
        <v>738265.12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35048956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35048956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91315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76386.490000000005</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167701.49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79388.679999999993</v>
      </c>
      <c r="G96" s="18">
        <v>1436.16</v>
      </c>
      <c r="H96" s="18">
        <v>3897.57</v>
      </c>
      <c r="I96" s="18"/>
      <c r="J96" s="18">
        <v>15457.07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800598.84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13779.75</v>
      </c>
      <c r="G98" s="24" t="s">
        <v>288</v>
      </c>
      <c r="H98" s="18">
        <v>14331.78</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23226.5</v>
      </c>
      <c r="G101" s="18"/>
      <c r="H101" s="18">
        <v>9000</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250000</v>
      </c>
      <c r="G102" s="18">
        <v>19458.72</v>
      </c>
      <c r="H102" s="18"/>
      <c r="I102" s="18"/>
      <c r="J102" s="18">
        <v>121827.37</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v>158156.85</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142706.21-22674+50302.21+1</f>
        <v>170335.41999999998</v>
      </c>
      <c r="G110" s="18"/>
      <c r="H110" s="18">
        <v>825</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536730.35</v>
      </c>
      <c r="G111" s="41">
        <f>SUM(G96:G110)</f>
        <v>821493.72</v>
      </c>
      <c r="H111" s="41">
        <f>SUM(H96:H110)</f>
        <v>186211.20000000001</v>
      </c>
      <c r="I111" s="41">
        <f>SUM(I96:I110)</f>
        <v>0</v>
      </c>
      <c r="J111" s="41">
        <f>SUM(J96:J110)</f>
        <v>137284.44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35753387.840000004</v>
      </c>
      <c r="G112" s="41">
        <f>G60+G111</f>
        <v>821493.72</v>
      </c>
      <c r="H112" s="41">
        <f>H60+H79+H94+H111</f>
        <v>186211.20000000001</v>
      </c>
      <c r="I112" s="41">
        <f>I60+I111</f>
        <v>0</v>
      </c>
      <c r="J112" s="41">
        <f>J60+J111</f>
        <v>137284.44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7575891.3499999996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6325203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16794.400000000001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13917888.75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278631.90000000002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f>460566.57-16794.4</f>
        <v>443772.17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125269.97</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1626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18679.72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849300.04</v>
      </c>
      <c r="G136" s="41">
        <f>SUM(G123:G135)</f>
        <v>18679.72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14767188.789999999</v>
      </c>
      <c r="G140" s="41">
        <f>G121+SUM(G136:G137)</f>
        <v>18679.72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273441.74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233981.34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131356.42000000001</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73639.27</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408172.54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785971.06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240426.28</v>
      </c>
      <c r="G160" s="24" t="s">
        <v>288</v>
      </c>
      <c r="H160" s="18">
        <v>6853.15</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240426.28</v>
      </c>
      <c r="G162" s="41">
        <f>SUM(G150:G161)</f>
        <v>408172.54</v>
      </c>
      <c r="H162" s="41">
        <f>SUM(H150:H161)</f>
        <v>1505242.98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240426.28</v>
      </c>
      <c r="G169" s="41">
        <f>G147+G162+SUM(G163:G168)</f>
        <v>408172.54</v>
      </c>
      <c r="H169" s="41">
        <f>H147+H162+SUM(H163:H168)</f>
        <v>1505242.98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7685800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v>576700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8262500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100000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61508.36</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61508.36</v>
      </c>
      <c r="G183" s="41">
        <f>SUM(G179:G182)</f>
        <v>0</v>
      </c>
      <c r="H183" s="41">
        <f>SUM(H179:H182)</f>
        <v>0</v>
      </c>
      <c r="I183" s="41">
        <f>SUM(I179:I182)</f>
        <v>0</v>
      </c>
      <c r="J183" s="41">
        <f>SUM(J179:J182)</f>
        <v>100000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61508.36</v>
      </c>
      <c r="G192" s="41">
        <f>G183+SUM(G188:G191)</f>
        <v>0</v>
      </c>
      <c r="H192" s="41">
        <f>+H183+SUM(H188:H191)</f>
        <v>0</v>
      </c>
      <c r="I192" s="41">
        <f>I177+I183+SUM(I188:I191)</f>
        <v>8262500</v>
      </c>
      <c r="J192" s="41">
        <f>J183</f>
        <v>100000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50822511.270000003</v>
      </c>
      <c r="G193" s="47">
        <f>G112+G140+G169+G192</f>
        <v>1248345.98</v>
      </c>
      <c r="H193" s="47">
        <f>H112+H140+H169+H192</f>
        <v>1691454.18</v>
      </c>
      <c r="I193" s="47">
        <f>I112+I140+I169+I192</f>
        <v>8262500</v>
      </c>
      <c r="J193" s="47">
        <f>J112+J140+J192</f>
        <v>237284.44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4234488.5573027357</v>
      </c>
      <c r="G197" s="18">
        <v>2433298.7192203715</v>
      </c>
      <c r="H197" s="18">
        <v>114876.79715498272</v>
      </c>
      <c r="I197" s="18">
        <v>271929.58139893116</v>
      </c>
      <c r="J197" s="18">
        <v>30739.589999999997</v>
      </c>
      <c r="K197" s="18">
        <v>921.95</v>
      </c>
      <c r="L197" s="19">
        <f>SUM(F197:K197)</f>
        <v>7086255.1950770216</v>
      </c>
      <c r="M197" s="8"/>
      <c r="N197" s="266"/>
    </row>
    <row r="198" spans="1:14" s="3" customFormat="1" ht="12.2" customHeight="1" x14ac:dyDescent="0.15">
      <c r="A198" s="1" t="s">
        <v>439</v>
      </c>
      <c r="B198" s="2" t="s">
        <v>341</v>
      </c>
      <c r="C198" s="2" t="s">
        <v>291</v>
      </c>
      <c r="D198" s="2" t="s">
        <v>431</v>
      </c>
      <c r="E198" s="6">
        <v>1200</v>
      </c>
      <c r="F198" s="18">
        <v>2154821.7615953307</v>
      </c>
      <c r="G198" s="18">
        <v>786497.62976653711</v>
      </c>
      <c r="H198" s="18">
        <v>240066.56424124513</v>
      </c>
      <c r="I198" s="18">
        <v>19768.469999999998</v>
      </c>
      <c r="J198" s="18">
        <v>40402.089688715954</v>
      </c>
      <c r="K198" s="18"/>
      <c r="L198" s="19">
        <f>SUM(F198:K198)</f>
        <v>3241556.5152918291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8049.5</v>
      </c>
      <c r="G200" s="18">
        <v>2004.3999999999999</v>
      </c>
      <c r="H200" s="18">
        <v>0</v>
      </c>
      <c r="I200" s="18">
        <v>0</v>
      </c>
      <c r="J200" s="18">
        <v>0</v>
      </c>
      <c r="K200" s="18">
        <v>0</v>
      </c>
      <c r="L200" s="19">
        <f>SUM(F200:K200)</f>
        <v>10053.9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1072473.8646243319</v>
      </c>
      <c r="G202" s="18">
        <v>527575.95115372527</v>
      </c>
      <c r="H202" s="18">
        <v>195524.08909462433</v>
      </c>
      <c r="I202" s="18">
        <v>28197.536381640995</v>
      </c>
      <c r="J202" s="18">
        <v>4875.0683212826161</v>
      </c>
      <c r="K202" s="18">
        <v>1265.8085507701981</v>
      </c>
      <c r="L202" s="19">
        <f t="shared" ref="L202:L208" si="0">SUM(F202:K202)</f>
        <v>1829912.3181263751</v>
      </c>
      <c r="M202" s="8"/>
      <c r="N202" s="266"/>
    </row>
    <row r="203" spans="1:14" s="3" customFormat="1" ht="12.2" customHeight="1" x14ac:dyDescent="0.15">
      <c r="A203" s="1" t="s">
        <v>443</v>
      </c>
      <c r="B203" s="2" t="s">
        <v>341</v>
      </c>
      <c r="C203" s="2" t="s">
        <v>295</v>
      </c>
      <c r="D203" s="2" t="s">
        <v>431</v>
      </c>
      <c r="E203" s="6">
        <v>2200</v>
      </c>
      <c r="F203" s="18">
        <v>291381.70832635986</v>
      </c>
      <c r="G203" s="18">
        <v>209363.93207112973</v>
      </c>
      <c r="H203" s="18">
        <v>50563.280669456079</v>
      </c>
      <c r="I203" s="18">
        <v>69311.004539748959</v>
      </c>
      <c r="J203" s="18">
        <v>81660.016820083692</v>
      </c>
      <c r="K203" s="18">
        <v>324.77999999999997</v>
      </c>
      <c r="L203" s="19">
        <f t="shared" si="0"/>
        <v>702604.7224267784</v>
      </c>
      <c r="M203" s="8"/>
      <c r="N203" s="266"/>
    </row>
    <row r="204" spans="1:14" s="3" customFormat="1" ht="12.2" customHeight="1" x14ac:dyDescent="0.15">
      <c r="A204" s="1" t="s">
        <v>444</v>
      </c>
      <c r="B204" s="2" t="s">
        <v>341</v>
      </c>
      <c r="C204" s="2" t="s">
        <v>296</v>
      </c>
      <c r="D204" s="2" t="s">
        <v>431</v>
      </c>
      <c r="E204" s="6">
        <v>2300</v>
      </c>
      <c r="F204" s="18">
        <v>183285.28651367495</v>
      </c>
      <c r="G204" s="18">
        <v>84472.396617415914</v>
      </c>
      <c r="H204" s="18">
        <v>39564.078447029242</v>
      </c>
      <c r="I204" s="18">
        <v>15829.99376925495</v>
      </c>
      <c r="J204" s="18">
        <v>1425.9726375353662</v>
      </c>
      <c r="K204" s="18">
        <v>8546.0277397044956</v>
      </c>
      <c r="L204" s="19">
        <f t="shared" si="0"/>
        <v>333123.75572461484</v>
      </c>
      <c r="M204" s="8"/>
      <c r="N204" s="266"/>
    </row>
    <row r="205" spans="1:14" s="3" customFormat="1" ht="12.2" customHeight="1" x14ac:dyDescent="0.15">
      <c r="A205" s="1" t="s">
        <v>445</v>
      </c>
      <c r="B205" s="2" t="s">
        <v>341</v>
      </c>
      <c r="C205" s="2" t="s">
        <v>297</v>
      </c>
      <c r="D205" s="2" t="s">
        <v>431</v>
      </c>
      <c r="E205" s="6">
        <v>2400</v>
      </c>
      <c r="F205" s="18">
        <v>819613.65999999992</v>
      </c>
      <c r="G205" s="18">
        <v>437700.77</v>
      </c>
      <c r="H205" s="18">
        <v>17218.157677824267</v>
      </c>
      <c r="I205" s="18">
        <v>12122.26</v>
      </c>
      <c r="J205" s="18">
        <v>5295.7</v>
      </c>
      <c r="K205" s="18">
        <v>4842</v>
      </c>
      <c r="L205" s="19">
        <f t="shared" si="0"/>
        <v>1296792.5476778243</v>
      </c>
      <c r="M205" s="8"/>
      <c r="N205" s="266"/>
    </row>
    <row r="206" spans="1:14" s="3" customFormat="1" ht="12.2" customHeight="1" x14ac:dyDescent="0.15">
      <c r="A206" s="1" t="s">
        <v>446</v>
      </c>
      <c r="B206" s="2" t="s">
        <v>341</v>
      </c>
      <c r="C206" s="2" t="s">
        <v>298</v>
      </c>
      <c r="D206" s="2" t="s">
        <v>431</v>
      </c>
      <c r="E206" s="6">
        <v>2500</v>
      </c>
      <c r="F206" s="18">
        <v>215495.60304935556</v>
      </c>
      <c r="G206" s="18">
        <v>113368.41204652624</v>
      </c>
      <c r="H206" s="18">
        <v>43462.887048098084</v>
      </c>
      <c r="I206" s="18">
        <v>5482.9996919207797</v>
      </c>
      <c r="J206" s="18">
        <v>5443.1129519019178</v>
      </c>
      <c r="K206" s="18"/>
      <c r="L206" s="19">
        <f t="shared" si="0"/>
        <v>383253.01478780253</v>
      </c>
      <c r="M206" s="8"/>
      <c r="N206" s="266"/>
    </row>
    <row r="207" spans="1:14" s="3" customFormat="1" ht="12.2" customHeight="1" x14ac:dyDescent="0.15">
      <c r="A207" s="1" t="s">
        <v>447</v>
      </c>
      <c r="B207" s="2" t="s">
        <v>341</v>
      </c>
      <c r="C207" s="2" t="s">
        <v>299</v>
      </c>
      <c r="D207" s="2" t="s">
        <v>431</v>
      </c>
      <c r="E207" s="6">
        <v>2600</v>
      </c>
      <c r="F207" s="18">
        <v>803996.49219187372</v>
      </c>
      <c r="G207" s="18">
        <v>473751.62560579972</v>
      </c>
      <c r="H207" s="18">
        <v>627591.44692116976</v>
      </c>
      <c r="I207" s="18">
        <v>426242.11742526083</v>
      </c>
      <c r="J207" s="18">
        <v>23405.635884271815</v>
      </c>
      <c r="K207" s="18"/>
      <c r="L207" s="19">
        <f t="shared" si="0"/>
        <v>2354987.318028376</v>
      </c>
      <c r="M207" s="8"/>
      <c r="N207" s="266"/>
    </row>
    <row r="208" spans="1:14" s="3" customFormat="1" ht="12.2" customHeight="1" x14ac:dyDescent="0.15">
      <c r="A208" s="1" t="s">
        <v>448</v>
      </c>
      <c r="B208" s="2" t="s">
        <v>341</v>
      </c>
      <c r="C208" s="2" t="s">
        <v>300</v>
      </c>
      <c r="D208" s="2" t="s">
        <v>431</v>
      </c>
      <c r="E208" s="6">
        <v>2700</v>
      </c>
      <c r="F208" s="18"/>
      <c r="G208" s="18"/>
      <c r="H208" s="18">
        <v>851044.82647367578</v>
      </c>
      <c r="I208" s="18"/>
      <c r="J208" s="18"/>
      <c r="K208" s="18"/>
      <c r="L208" s="19">
        <f t="shared" si="0"/>
        <v>851044.82647367578</v>
      </c>
      <c r="M208" s="8"/>
      <c r="N208" s="266"/>
    </row>
    <row r="209" spans="1:14" s="3" customFormat="1" ht="12.2" customHeight="1" x14ac:dyDescent="0.15">
      <c r="A209" s="1" t="s">
        <v>449</v>
      </c>
      <c r="B209" s="2" t="s">
        <v>341</v>
      </c>
      <c r="C209" s="2" t="s">
        <v>343</v>
      </c>
      <c r="D209" s="2" t="s">
        <v>431</v>
      </c>
      <c r="E209" s="6">
        <v>2800</v>
      </c>
      <c r="F209" s="18"/>
      <c r="G209" s="18"/>
      <c r="H209" s="18">
        <v>42470.585042439481</v>
      </c>
      <c r="I209" s="18">
        <v>81161.497591952226</v>
      </c>
      <c r="J209" s="18">
        <v>54510.529327255572</v>
      </c>
      <c r="K209" s="18">
        <v>380.41810751336055</v>
      </c>
      <c r="L209" s="19">
        <f>SUM(F209:K209)</f>
        <v>178523.03006916065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9783606.433603663</v>
      </c>
      <c r="G211" s="41">
        <f t="shared" si="1"/>
        <v>5068033.836481506</v>
      </c>
      <c r="H211" s="41">
        <f t="shared" si="1"/>
        <v>2222382.7127705449</v>
      </c>
      <c r="I211" s="41">
        <f t="shared" si="1"/>
        <v>930045.46079870977</v>
      </c>
      <c r="J211" s="41">
        <f t="shared" si="1"/>
        <v>247757.71563104691</v>
      </c>
      <c r="K211" s="41">
        <f t="shared" si="1"/>
        <v>16280.984397988053</v>
      </c>
      <c r="L211" s="41">
        <f t="shared" si="1"/>
        <v>18268107.14368346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3398841.9224897828</v>
      </c>
      <c r="G215" s="18">
        <v>1882655.4430273494</v>
      </c>
      <c r="H215" s="18">
        <v>56436.631087708272</v>
      </c>
      <c r="I215" s="18">
        <v>109222.53178560204</v>
      </c>
      <c r="J215" s="18">
        <v>16959.05</v>
      </c>
      <c r="K215" s="18">
        <v>1924.5</v>
      </c>
      <c r="L215" s="19">
        <f>SUM(F215:K215)</f>
        <v>5466040.0783904418</v>
      </c>
      <c r="M215" s="8"/>
      <c r="N215" s="266"/>
    </row>
    <row r="216" spans="1:14" s="3" customFormat="1" ht="12.2" customHeight="1" x14ac:dyDescent="0.15">
      <c r="A216" s="1" t="s">
        <v>439</v>
      </c>
      <c r="B216" s="2" t="s">
        <v>346</v>
      </c>
      <c r="C216" s="2" t="s">
        <v>291</v>
      </c>
      <c r="D216" s="2" t="s">
        <v>431</v>
      </c>
      <c r="E216" s="6">
        <v>1200</v>
      </c>
      <c r="F216" s="18">
        <v>956735.41354085598</v>
      </c>
      <c r="G216" s="18">
        <v>419431.28704280156</v>
      </c>
      <c r="H216" s="18">
        <v>298678.51038910507</v>
      </c>
      <c r="I216" s="18">
        <v>1842.23</v>
      </c>
      <c r="J216" s="18">
        <v>16788.962723735411</v>
      </c>
      <c r="K216" s="18"/>
      <c r="L216" s="19">
        <f>SUM(F216:K216)</f>
        <v>1693476.4036964981</v>
      </c>
      <c r="M216" s="8"/>
      <c r="N216" s="266"/>
    </row>
    <row r="217" spans="1:14" s="3" customFormat="1" ht="12.2" customHeight="1" x14ac:dyDescent="0.15">
      <c r="A217" s="1" t="s">
        <v>440</v>
      </c>
      <c r="B217" s="2" t="s">
        <v>346</v>
      </c>
      <c r="C217" s="2" t="s">
        <v>292</v>
      </c>
      <c r="D217" s="2" t="s">
        <v>431</v>
      </c>
      <c r="E217" s="6">
        <v>1300</v>
      </c>
      <c r="F217" s="18">
        <v>39999.96</v>
      </c>
      <c r="G217" s="18">
        <v>20401.830000000002</v>
      </c>
      <c r="H217" s="18">
        <v>0</v>
      </c>
      <c r="I217" s="18">
        <v>10587.94</v>
      </c>
      <c r="J217" s="18">
        <v>0</v>
      </c>
      <c r="K217" s="18">
        <v>0</v>
      </c>
      <c r="L217" s="19">
        <f>SUM(F217:K217)</f>
        <v>70989.73</v>
      </c>
      <c r="M217" s="8"/>
      <c r="N217" s="266"/>
    </row>
    <row r="218" spans="1:14" s="3" customFormat="1" ht="12.2" customHeight="1" x14ac:dyDescent="0.15">
      <c r="A218" s="1" t="s">
        <v>441</v>
      </c>
      <c r="B218" s="2" t="s">
        <v>346</v>
      </c>
      <c r="C218" s="2" t="s">
        <v>293</v>
      </c>
      <c r="D218" s="2" t="s">
        <v>431</v>
      </c>
      <c r="E218" s="6">
        <v>1400</v>
      </c>
      <c r="F218" s="18">
        <v>61793.39</v>
      </c>
      <c r="G218" s="18">
        <v>19209</v>
      </c>
      <c r="H218" s="18">
        <v>15396.99</v>
      </c>
      <c r="I218" s="18">
        <v>6929.78</v>
      </c>
      <c r="J218" s="18">
        <v>1729.98</v>
      </c>
      <c r="K218" s="18">
        <v>1140</v>
      </c>
      <c r="L218" s="19">
        <f>SUM(F218:K218)</f>
        <v>106199.14</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684537.59111600125</v>
      </c>
      <c r="G220" s="18">
        <v>391799.56201194593</v>
      </c>
      <c r="H220" s="18">
        <v>142395.86545111603</v>
      </c>
      <c r="I220" s="18">
        <v>8773.1594938698527</v>
      </c>
      <c r="J220" s="18">
        <v>878.33385727758571</v>
      </c>
      <c r="K220" s="18">
        <v>775.71518390443271</v>
      </c>
      <c r="L220" s="19">
        <f t="shared" ref="L220:L226" si="2">SUM(F220:K220)</f>
        <v>1229160.2271141151</v>
      </c>
      <c r="M220" s="8"/>
      <c r="N220" s="266"/>
    </row>
    <row r="221" spans="1:14" s="3" customFormat="1" ht="12.2" customHeight="1" x14ac:dyDescent="0.15">
      <c r="A221" s="1" t="s">
        <v>443</v>
      </c>
      <c r="B221" s="2" t="s">
        <v>346</v>
      </c>
      <c r="C221" s="2" t="s">
        <v>295</v>
      </c>
      <c r="D221" s="2" t="s">
        <v>431</v>
      </c>
      <c r="E221" s="6">
        <v>2200</v>
      </c>
      <c r="F221" s="18">
        <v>131100.30075313809</v>
      </c>
      <c r="G221" s="18">
        <v>102104.36631799162</v>
      </c>
      <c r="H221" s="18">
        <v>36320.167698744772</v>
      </c>
      <c r="I221" s="18">
        <v>45917.369707112972</v>
      </c>
      <c r="J221" s="18">
        <v>76600.11343096233</v>
      </c>
      <c r="K221" s="18">
        <v>826</v>
      </c>
      <c r="L221" s="19">
        <f t="shared" si="2"/>
        <v>392868.31790794973</v>
      </c>
      <c r="M221" s="8"/>
      <c r="N221" s="266"/>
    </row>
    <row r="222" spans="1:14" s="3" customFormat="1" ht="12.2" customHeight="1" x14ac:dyDescent="0.15">
      <c r="A222" s="1" t="s">
        <v>444</v>
      </c>
      <c r="B222" s="2" t="s">
        <v>346</v>
      </c>
      <c r="C222" s="2" t="s">
        <v>296</v>
      </c>
      <c r="D222" s="2" t="s">
        <v>431</v>
      </c>
      <c r="E222" s="6">
        <v>2300</v>
      </c>
      <c r="F222" s="18">
        <v>116928.41244891545</v>
      </c>
      <c r="G222" s="18">
        <v>53889.886199308399</v>
      </c>
      <c r="H222" s="18">
        <v>25240.241433511477</v>
      </c>
      <c r="I222" s="18">
        <v>10098.879597610816</v>
      </c>
      <c r="J222" s="18">
        <v>909.71141150581582</v>
      </c>
      <c r="K222" s="18">
        <v>5452.011317195851</v>
      </c>
      <c r="L222" s="19">
        <f t="shared" si="2"/>
        <v>212519.14240804786</v>
      </c>
      <c r="M222" s="8"/>
      <c r="N222" s="266"/>
    </row>
    <row r="223" spans="1:14" s="3" customFormat="1" ht="12.2" customHeight="1" x14ac:dyDescent="0.15">
      <c r="A223" s="1" t="s">
        <v>445</v>
      </c>
      <c r="B223" s="2" t="s">
        <v>346</v>
      </c>
      <c r="C223" s="2" t="s">
        <v>297</v>
      </c>
      <c r="D223" s="2" t="s">
        <v>431</v>
      </c>
      <c r="E223" s="6">
        <v>2400</v>
      </c>
      <c r="F223" s="18">
        <v>403063.1</v>
      </c>
      <c r="G223" s="18">
        <v>276434.89</v>
      </c>
      <c r="H223" s="18">
        <v>11498.870794979079</v>
      </c>
      <c r="I223" s="18">
        <v>11605.380000000001</v>
      </c>
      <c r="J223" s="18">
        <v>0</v>
      </c>
      <c r="K223" s="18">
        <v>1205</v>
      </c>
      <c r="L223" s="19">
        <f t="shared" si="2"/>
        <v>703807.24079497904</v>
      </c>
      <c r="M223" s="8"/>
      <c r="N223" s="266"/>
    </row>
    <row r="224" spans="1:14" s="3" customFormat="1" ht="12.2" customHeight="1" x14ac:dyDescent="0.15">
      <c r="A224" s="1" t="s">
        <v>446</v>
      </c>
      <c r="B224" s="2" t="s">
        <v>346</v>
      </c>
      <c r="C224" s="2" t="s">
        <v>298</v>
      </c>
      <c r="D224" s="2" t="s">
        <v>431</v>
      </c>
      <c r="E224" s="6">
        <v>2500</v>
      </c>
      <c r="F224" s="18">
        <v>137477.25872367181</v>
      </c>
      <c r="G224" s="18">
        <v>72324.345803206539</v>
      </c>
      <c r="H224" s="18">
        <v>27727.519647909467</v>
      </c>
      <c r="I224" s="18">
        <v>3497.926438226973</v>
      </c>
      <c r="J224" s="18">
        <v>3472.480352090538</v>
      </c>
      <c r="K224" s="18"/>
      <c r="L224" s="19">
        <f t="shared" si="2"/>
        <v>244499.53096510531</v>
      </c>
      <c r="M224" s="8"/>
      <c r="N224" s="266"/>
    </row>
    <row r="225" spans="1:14" s="3" customFormat="1" ht="12.2" customHeight="1" x14ac:dyDescent="0.15">
      <c r="A225" s="1" t="s">
        <v>447</v>
      </c>
      <c r="B225" s="2" t="s">
        <v>346</v>
      </c>
      <c r="C225" s="2" t="s">
        <v>299</v>
      </c>
      <c r="D225" s="2" t="s">
        <v>431</v>
      </c>
      <c r="E225" s="6">
        <v>2600</v>
      </c>
      <c r="F225" s="18">
        <v>452479.40783726278</v>
      </c>
      <c r="G225" s="18">
        <v>264407.47224945674</v>
      </c>
      <c r="H225" s="18">
        <v>265182.3177928931</v>
      </c>
      <c r="I225" s="18">
        <v>237726.53989043913</v>
      </c>
      <c r="J225" s="18">
        <v>17784.655044361294</v>
      </c>
      <c r="K225" s="18"/>
      <c r="L225" s="19">
        <f t="shared" si="2"/>
        <v>1237580.3928144129</v>
      </c>
      <c r="M225" s="8"/>
      <c r="N225" s="266"/>
    </row>
    <row r="226" spans="1:14" s="3" customFormat="1" ht="12.2" customHeight="1" x14ac:dyDescent="0.15">
      <c r="A226" s="1" t="s">
        <v>448</v>
      </c>
      <c r="B226" s="2" t="s">
        <v>346</v>
      </c>
      <c r="C226" s="2" t="s">
        <v>300</v>
      </c>
      <c r="D226" s="2" t="s">
        <v>431</v>
      </c>
      <c r="E226" s="6">
        <v>2700</v>
      </c>
      <c r="F226" s="18"/>
      <c r="G226" s="18"/>
      <c r="H226" s="18">
        <v>580239.97204285662</v>
      </c>
      <c r="I226" s="18"/>
      <c r="J226" s="18"/>
      <c r="K226" s="18"/>
      <c r="L226" s="19">
        <f t="shared" si="2"/>
        <v>580239.97204285662</v>
      </c>
      <c r="M226" s="8"/>
      <c r="N226" s="266"/>
    </row>
    <row r="227" spans="1:14" s="3" customFormat="1" ht="12.2" customHeight="1" x14ac:dyDescent="0.15">
      <c r="A227" s="1" t="s">
        <v>449</v>
      </c>
      <c r="B227" s="2" t="s">
        <v>346</v>
      </c>
      <c r="C227" s="2" t="s">
        <v>343</v>
      </c>
      <c r="D227" s="2" t="s">
        <v>431</v>
      </c>
      <c r="E227" s="6">
        <v>2800</v>
      </c>
      <c r="F227" s="18"/>
      <c r="G227" s="18"/>
      <c r="H227" s="18">
        <v>26886.533806978936</v>
      </c>
      <c r="I227" s="18">
        <v>52095.669915121034</v>
      </c>
      <c r="J227" s="18">
        <v>22110.594467148694</v>
      </c>
      <c r="K227" s="18">
        <v>242.69097767997488</v>
      </c>
      <c r="L227" s="19">
        <f>SUM(F227:K227)</f>
        <v>101335.48916692864</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6382956.7569096265</v>
      </c>
      <c r="G229" s="41">
        <f>SUM(G215:G228)</f>
        <v>3502658.0826520603</v>
      </c>
      <c r="H229" s="41">
        <f>SUM(H215:H228)</f>
        <v>1486003.6201458026</v>
      </c>
      <c r="I229" s="41">
        <f>SUM(I215:I228)</f>
        <v>498297.40682798286</v>
      </c>
      <c r="J229" s="41">
        <f>SUM(J215:J228)</f>
        <v>157233.88128708169</v>
      </c>
      <c r="K229" s="41">
        <f t="shared" si="3"/>
        <v>11565.917478780259</v>
      </c>
      <c r="L229" s="41">
        <f t="shared" si="3"/>
        <v>12038715.665301336</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4065507.0702074817</v>
      </c>
      <c r="G233" s="18">
        <v>2260956.8177522779</v>
      </c>
      <c r="H233" s="18">
        <v>114111.63175730902</v>
      </c>
      <c r="I233" s="18">
        <v>161280.03681546682</v>
      </c>
      <c r="J233" s="18">
        <v>62883.439999999995</v>
      </c>
      <c r="K233" s="18">
        <v>8152.9400000000005</v>
      </c>
      <c r="L233" s="19">
        <f>SUM(F233:K233)</f>
        <v>6672891.9365325365</v>
      </c>
      <c r="M233" s="8"/>
      <c r="N233" s="266"/>
    </row>
    <row r="234" spans="1:14" s="3" customFormat="1" ht="12.2" customHeight="1" x14ac:dyDescent="0.15">
      <c r="A234" s="1" t="s">
        <v>439</v>
      </c>
      <c r="B234" s="2" t="s">
        <v>350</v>
      </c>
      <c r="C234" s="2" t="s">
        <v>291</v>
      </c>
      <c r="D234" s="2" t="s">
        <v>431</v>
      </c>
      <c r="E234" s="6">
        <v>1200</v>
      </c>
      <c r="F234" s="18">
        <v>1157968.194863813</v>
      </c>
      <c r="G234" s="18">
        <v>438397.00319066143</v>
      </c>
      <c r="H234" s="18">
        <v>865069.96536964946</v>
      </c>
      <c r="I234" s="18">
        <v>3867.7200000000003</v>
      </c>
      <c r="J234" s="18">
        <v>30362.817587548638</v>
      </c>
      <c r="K234" s="18"/>
      <c r="L234" s="19">
        <f>SUM(F234:K234)</f>
        <v>2495665.7010116731</v>
      </c>
      <c r="M234" s="8"/>
      <c r="N234" s="266"/>
    </row>
    <row r="235" spans="1:14" s="3" customFormat="1" ht="12.2" customHeight="1" x14ac:dyDescent="0.15">
      <c r="A235" s="1" t="s">
        <v>440</v>
      </c>
      <c r="B235" s="2" t="s">
        <v>350</v>
      </c>
      <c r="C235" s="2" t="s">
        <v>292</v>
      </c>
      <c r="D235" s="2" t="s">
        <v>431</v>
      </c>
      <c r="E235" s="6">
        <v>1300</v>
      </c>
      <c r="F235" s="18">
        <v>985519.57</v>
      </c>
      <c r="G235" s="18">
        <v>546750.39</v>
      </c>
      <c r="H235" s="18">
        <v>84908.069999999992</v>
      </c>
      <c r="I235" s="18">
        <v>114916.22</v>
      </c>
      <c r="J235" s="18">
        <v>11956.050000000001</v>
      </c>
      <c r="K235" s="18">
        <v>2530</v>
      </c>
      <c r="L235" s="19">
        <f>SUM(F235:K235)</f>
        <v>1746580.3</v>
      </c>
      <c r="M235" s="8"/>
      <c r="N235" s="266"/>
    </row>
    <row r="236" spans="1:14" s="3" customFormat="1" ht="12.2" customHeight="1" x14ac:dyDescent="0.15">
      <c r="A236" s="1" t="s">
        <v>441</v>
      </c>
      <c r="B236" s="2" t="s">
        <v>350</v>
      </c>
      <c r="C236" s="2" t="s">
        <v>293</v>
      </c>
      <c r="D236" s="2" t="s">
        <v>431</v>
      </c>
      <c r="E236" s="6">
        <v>1400</v>
      </c>
      <c r="F236" s="18">
        <v>246268.5</v>
      </c>
      <c r="G236" s="18">
        <v>48543.729999999996</v>
      </c>
      <c r="H236" s="18">
        <v>191349.56</v>
      </c>
      <c r="I236" s="18">
        <v>59312.850000000006</v>
      </c>
      <c r="J236" s="18">
        <v>16809.93</v>
      </c>
      <c r="K236" s="18">
        <v>16215.3</v>
      </c>
      <c r="L236" s="19">
        <f>SUM(F236:K236)</f>
        <v>578499.87000000011</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842797.08425966685</v>
      </c>
      <c r="G238" s="18">
        <v>486179.02683432883</v>
      </c>
      <c r="H238" s="18">
        <v>208511.66545425967</v>
      </c>
      <c r="I238" s="18">
        <v>18964.114124489155</v>
      </c>
      <c r="J238" s="18">
        <v>5105.4178214397989</v>
      </c>
      <c r="K238" s="18">
        <v>2156.1762653253695</v>
      </c>
      <c r="L238" s="19">
        <f t="shared" ref="L238:L244" si="4">SUM(F238:K238)</f>
        <v>1563713.4847595098</v>
      </c>
      <c r="M238" s="8"/>
      <c r="N238" s="266"/>
    </row>
    <row r="239" spans="1:14" s="3" customFormat="1" ht="12.2" customHeight="1" x14ac:dyDescent="0.15">
      <c r="A239" s="1" t="s">
        <v>443</v>
      </c>
      <c r="B239" s="2" t="s">
        <v>350</v>
      </c>
      <c r="C239" s="2" t="s">
        <v>295</v>
      </c>
      <c r="D239" s="2" t="s">
        <v>431</v>
      </c>
      <c r="E239" s="6">
        <v>2200</v>
      </c>
      <c r="F239" s="18">
        <v>221676.8209205021</v>
      </c>
      <c r="G239" s="18">
        <v>152120.00161087865</v>
      </c>
      <c r="H239" s="18">
        <v>40807.981631799157</v>
      </c>
      <c r="I239" s="18">
        <v>36327.715753138073</v>
      </c>
      <c r="J239" s="18">
        <v>31590.769748953979</v>
      </c>
      <c r="K239" s="18">
        <v>40</v>
      </c>
      <c r="L239" s="19">
        <f t="shared" si="4"/>
        <v>482563.28966527194</v>
      </c>
      <c r="M239" s="8"/>
      <c r="N239" s="266"/>
    </row>
    <row r="240" spans="1:14" s="3" customFormat="1" ht="12.2" customHeight="1" x14ac:dyDescent="0.15">
      <c r="A240" s="1" t="s">
        <v>444</v>
      </c>
      <c r="B240" s="2" t="s">
        <v>350</v>
      </c>
      <c r="C240" s="2" t="s">
        <v>296</v>
      </c>
      <c r="D240" s="2" t="s">
        <v>431</v>
      </c>
      <c r="E240" s="6">
        <v>2300</v>
      </c>
      <c r="F240" s="18">
        <v>164722.90103740964</v>
      </c>
      <c r="G240" s="18">
        <v>75917.377183275705</v>
      </c>
      <c r="H240" s="18">
        <v>35557.190119459294</v>
      </c>
      <c r="I240" s="18">
        <v>14226.796633134234</v>
      </c>
      <c r="J240" s="18">
        <v>1281.5559509588179</v>
      </c>
      <c r="K240" s="18">
        <v>7680.5209430996547</v>
      </c>
      <c r="L240" s="19">
        <f t="shared" si="4"/>
        <v>299386.34186733729</v>
      </c>
      <c r="M240" s="8"/>
      <c r="N240" s="266"/>
    </row>
    <row r="241" spans="1:14" s="3" customFormat="1" ht="12.2" customHeight="1" x14ac:dyDescent="0.15">
      <c r="A241" s="1" t="s">
        <v>445</v>
      </c>
      <c r="B241" s="2" t="s">
        <v>350</v>
      </c>
      <c r="C241" s="2" t="s">
        <v>297</v>
      </c>
      <c r="D241" s="2" t="s">
        <v>431</v>
      </c>
      <c r="E241" s="6">
        <v>2400</v>
      </c>
      <c r="F241" s="18">
        <v>722860.59000000008</v>
      </c>
      <c r="G241" s="18">
        <v>392596.35</v>
      </c>
      <c r="H241" s="18">
        <v>37381.581527196657</v>
      </c>
      <c r="I241" s="18">
        <v>1982.38</v>
      </c>
      <c r="J241" s="18">
        <v>0</v>
      </c>
      <c r="K241" s="18">
        <v>7220</v>
      </c>
      <c r="L241" s="19">
        <f t="shared" si="4"/>
        <v>1162040.9015271964</v>
      </c>
      <c r="M241" s="8"/>
      <c r="N241" s="266"/>
    </row>
    <row r="242" spans="1:14" s="3" customFormat="1" ht="12.2" customHeight="1" x14ac:dyDescent="0.15">
      <c r="A242" s="1" t="s">
        <v>446</v>
      </c>
      <c r="B242" s="2" t="s">
        <v>350</v>
      </c>
      <c r="C242" s="2" t="s">
        <v>298</v>
      </c>
      <c r="D242" s="2" t="s">
        <v>431</v>
      </c>
      <c r="E242" s="6">
        <v>2500</v>
      </c>
      <c r="F242" s="18">
        <v>193671.08822697264</v>
      </c>
      <c r="G242" s="18">
        <v>101886.9221502672</v>
      </c>
      <c r="H242" s="18">
        <v>39061.143303992452</v>
      </c>
      <c r="I242" s="18">
        <v>4927.7038698522483</v>
      </c>
      <c r="J242" s="18">
        <v>4891.8566960075459</v>
      </c>
      <c r="K242" s="18"/>
      <c r="L242" s="19">
        <f t="shared" si="4"/>
        <v>344438.71424709208</v>
      </c>
      <c r="M242" s="8"/>
      <c r="N242" s="266"/>
    </row>
    <row r="243" spans="1:14" s="3" customFormat="1" ht="12.2" customHeight="1" x14ac:dyDescent="0.15">
      <c r="A243" s="1" t="s">
        <v>447</v>
      </c>
      <c r="B243" s="2" t="s">
        <v>350</v>
      </c>
      <c r="C243" s="2" t="s">
        <v>299</v>
      </c>
      <c r="D243" s="2" t="s">
        <v>431</v>
      </c>
      <c r="E243" s="6">
        <v>2600</v>
      </c>
      <c r="F243" s="18">
        <v>645362.10997086344</v>
      </c>
      <c r="G243" s="18">
        <v>328574.06214474351</v>
      </c>
      <c r="H243" s="18">
        <v>528583.53528593725</v>
      </c>
      <c r="I243" s="18">
        <v>415877.50268430013</v>
      </c>
      <c r="J243" s="18">
        <v>24239.769071366893</v>
      </c>
      <c r="K243" s="18"/>
      <c r="L243" s="19">
        <f t="shared" si="4"/>
        <v>1942636.9791572113</v>
      </c>
      <c r="M243" s="8"/>
      <c r="N243" s="266"/>
    </row>
    <row r="244" spans="1:14" s="3" customFormat="1" ht="12.2" customHeight="1" x14ac:dyDescent="0.15">
      <c r="A244" s="1" t="s">
        <v>448</v>
      </c>
      <c r="B244" s="2" t="s">
        <v>350</v>
      </c>
      <c r="C244" s="2" t="s">
        <v>300</v>
      </c>
      <c r="D244" s="2" t="s">
        <v>431</v>
      </c>
      <c r="E244" s="6">
        <v>2700</v>
      </c>
      <c r="F244" s="18"/>
      <c r="G244" s="18"/>
      <c r="H244" s="18">
        <v>802673.48148346762</v>
      </c>
      <c r="I244" s="18"/>
      <c r="J244" s="18"/>
      <c r="K244" s="18"/>
      <c r="L244" s="19">
        <f t="shared" si="4"/>
        <v>802673.48148346762</v>
      </c>
      <c r="M244" s="8"/>
      <c r="N244" s="266"/>
    </row>
    <row r="245" spans="1:14" s="3" customFormat="1" ht="12.2" customHeight="1" x14ac:dyDescent="0.15">
      <c r="A245" s="1" t="s">
        <v>449</v>
      </c>
      <c r="B245" s="2" t="s">
        <v>350</v>
      </c>
      <c r="C245" s="2" t="s">
        <v>343</v>
      </c>
      <c r="D245" s="2" t="s">
        <v>431</v>
      </c>
      <c r="E245" s="6">
        <v>2800</v>
      </c>
      <c r="F245" s="18"/>
      <c r="G245" s="18"/>
      <c r="H245" s="18">
        <v>36688.821150581578</v>
      </c>
      <c r="I245" s="18">
        <v>72941.792492926761</v>
      </c>
      <c r="J245" s="18">
        <v>69930.596205595735</v>
      </c>
      <c r="K245" s="18">
        <v>341.89091480666457</v>
      </c>
      <c r="L245" s="19">
        <f>SUM(F245:K245)</f>
        <v>179903.10076391074</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9246353.9294867106</v>
      </c>
      <c r="G247" s="41">
        <f t="shared" si="5"/>
        <v>4831921.6808664333</v>
      </c>
      <c r="H247" s="41">
        <f t="shared" si="5"/>
        <v>2984704.6270836517</v>
      </c>
      <c r="I247" s="41">
        <f t="shared" si="5"/>
        <v>904624.83237330755</v>
      </c>
      <c r="J247" s="41">
        <f t="shared" si="5"/>
        <v>259052.20308187141</v>
      </c>
      <c r="K247" s="41">
        <f t="shared" si="5"/>
        <v>44336.828123231688</v>
      </c>
      <c r="L247" s="41">
        <f t="shared" si="5"/>
        <v>18270994.101015203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156481</v>
      </c>
      <c r="I255" s="18"/>
      <c r="J255" s="18"/>
      <c r="K255" s="18"/>
      <c r="L255" s="19">
        <f t="shared" si="6"/>
        <v>156481</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156481</v>
      </c>
      <c r="I256" s="41">
        <f t="shared" si="7"/>
        <v>0</v>
      </c>
      <c r="J256" s="41">
        <f t="shared" si="7"/>
        <v>0</v>
      </c>
      <c r="K256" s="41">
        <f t="shared" si="7"/>
        <v>0</v>
      </c>
      <c r="L256" s="41">
        <f>SUM(F256:K256)</f>
        <v>156481</v>
      </c>
      <c r="M256" s="8"/>
      <c r="N256" s="266"/>
    </row>
    <row r="257" spans="1:14" s="3" customFormat="1" ht="12.2" customHeight="1" thickTop="1" x14ac:dyDescent="0.15">
      <c r="A257" s="38" t="s">
        <v>462</v>
      </c>
      <c r="B257" s="40">
        <v>10</v>
      </c>
      <c r="C257" s="40">
        <v>8</v>
      </c>
      <c r="D257" s="39" t="s">
        <v>431</v>
      </c>
      <c r="E257" s="40"/>
      <c r="F257" s="41">
        <f t="shared" ref="F257:L257" si="8">F211+F229+F247+F256</f>
        <v>25412917.120000001</v>
      </c>
      <c r="G257" s="41">
        <f t="shared" si="8"/>
        <v>13402613.6</v>
      </c>
      <c r="H257" s="41">
        <f t="shared" si="8"/>
        <v>6849571.959999999</v>
      </c>
      <c r="I257" s="41">
        <f t="shared" si="8"/>
        <v>2332967.7000000002</v>
      </c>
      <c r="J257" s="41">
        <f t="shared" si="8"/>
        <v>664043.80000000005</v>
      </c>
      <c r="K257" s="41">
        <f t="shared" si="8"/>
        <v>72183.73</v>
      </c>
      <c r="L257" s="41">
        <f t="shared" si="8"/>
        <v>48734297.909999996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756000</v>
      </c>
      <c r="L260" s="19">
        <f>SUM(F260:K260)</f>
        <v>756000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84908.55</v>
      </c>
      <c r="L261" s="19">
        <f>SUM(F261:K261)</f>
        <v>84908.55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100000</v>
      </c>
      <c r="L266" s="19">
        <f t="shared" si="9"/>
        <v>100000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940908.55</v>
      </c>
      <c r="L270" s="41">
        <f t="shared" si="9"/>
        <v>940908.55</v>
      </c>
      <c r="N270" s="264"/>
    </row>
    <row r="271" spans="1:14" s="3" customFormat="1" ht="12.2" customHeight="1" thickTop="1" x14ac:dyDescent="0.2">
      <c r="A271" s="43" t="s">
        <v>464</v>
      </c>
      <c r="B271" s="40">
        <v>10</v>
      </c>
      <c r="C271" s="40">
        <v>18</v>
      </c>
      <c r="D271" s="39" t="s">
        <v>431</v>
      </c>
      <c r="E271" s="40"/>
      <c r="F271" s="42">
        <f t="shared" ref="F271:L271" si="11">F257+F270</f>
        <v>25412917.120000001</v>
      </c>
      <c r="G271" s="42">
        <f t="shared" si="11"/>
        <v>13402613.6</v>
      </c>
      <c r="H271" s="42">
        <f t="shared" si="11"/>
        <v>6849571.959999999</v>
      </c>
      <c r="I271" s="42">
        <f t="shared" si="11"/>
        <v>2332967.7000000002</v>
      </c>
      <c r="J271" s="42">
        <f t="shared" si="11"/>
        <v>664043.80000000005</v>
      </c>
      <c r="K271" s="42">
        <f t="shared" si="11"/>
        <v>1013092.28</v>
      </c>
      <c r="L271" s="42">
        <f t="shared" si="11"/>
        <v>49675206.459999993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188914.87696321914</v>
      </c>
      <c r="G276" s="18">
        <v>14944.645510845647</v>
      </c>
      <c r="H276" s="18">
        <v>68352.69229173215</v>
      </c>
      <c r="I276" s="18">
        <v>18643.361678717381</v>
      </c>
      <c r="J276" s="18">
        <v>14787.869999999999</v>
      </c>
      <c r="K276" s="18">
        <v>14988.42856225681</v>
      </c>
      <c r="L276" s="19">
        <f>SUM(F276:K276)</f>
        <v>320631.87500677106</v>
      </c>
      <c r="M276" s="8"/>
      <c r="N276" s="266"/>
    </row>
    <row r="277" spans="1:14" s="3" customFormat="1" ht="12.2" customHeight="1" x14ac:dyDescent="0.15">
      <c r="A277" s="1" t="s">
        <v>439</v>
      </c>
      <c r="B277" s="2" t="s">
        <v>357</v>
      </c>
      <c r="C277" s="2" t="s">
        <v>291</v>
      </c>
      <c r="D277" s="2" t="s">
        <v>431</v>
      </c>
      <c r="E277" s="6">
        <v>1200</v>
      </c>
      <c r="F277" s="18">
        <v>280115.62591439689</v>
      </c>
      <c r="G277" s="18">
        <v>147431.35665369651</v>
      </c>
      <c r="H277" s="18">
        <v>1200</v>
      </c>
      <c r="I277" s="18">
        <v>3798.0248249027236</v>
      </c>
      <c r="J277" s="18">
        <v>3239.3586770428014</v>
      </c>
      <c r="K277" s="18">
        <v>21301.090715175094</v>
      </c>
      <c r="L277" s="19">
        <f>SUM(F277:K277)</f>
        <v>457085.45678521402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1282.3835271927069</v>
      </c>
      <c r="G281" s="18">
        <v>249.10881483810124</v>
      </c>
      <c r="H281" s="18">
        <v>2661.10941842188</v>
      </c>
      <c r="I281" s="18">
        <v>1610.4458535051872</v>
      </c>
      <c r="J281" s="18">
        <v>1629.0410059729643</v>
      </c>
      <c r="K281" s="18">
        <v>101.17</v>
      </c>
      <c r="L281" s="19">
        <f t="shared" ref="L281:L287" si="12">SUM(F281:K281)</f>
        <v>7533.2586199308389</v>
      </c>
      <c r="M281" s="8"/>
      <c r="N281" s="266"/>
    </row>
    <row r="282" spans="1:14" s="3" customFormat="1" ht="12.2" customHeight="1" x14ac:dyDescent="0.15">
      <c r="A282" s="1" t="s">
        <v>443</v>
      </c>
      <c r="B282" s="2" t="s">
        <v>357</v>
      </c>
      <c r="C282" s="2" t="s">
        <v>295</v>
      </c>
      <c r="D282" s="2" t="s">
        <v>431</v>
      </c>
      <c r="E282" s="6">
        <v>2200</v>
      </c>
      <c r="F282" s="18">
        <v>16126.94560669456</v>
      </c>
      <c r="G282" s="18">
        <v>1790.0476569037655</v>
      </c>
      <c r="H282" s="18"/>
      <c r="I282" s="18"/>
      <c r="J282" s="18"/>
      <c r="K282" s="18"/>
      <c r="L282" s="19">
        <f t="shared" si="12"/>
        <v>17916.993263598328</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486439.83201150328</v>
      </c>
      <c r="G290" s="42">
        <f t="shared" si="13"/>
        <v>164415.15863628403</v>
      </c>
      <c r="H290" s="42">
        <f t="shared" si="13"/>
        <v>72213.801710154032</v>
      </c>
      <c r="I290" s="42">
        <f t="shared" si="13"/>
        <v>24051.832357125291</v>
      </c>
      <c r="J290" s="42">
        <f t="shared" si="13"/>
        <v>19656.269683015766</v>
      </c>
      <c r="K290" s="42">
        <f t="shared" si="13"/>
        <v>36390.689277431899</v>
      </c>
      <c r="L290" s="41">
        <f t="shared" si="13"/>
        <v>803167.58367551421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5648.1320339515878</v>
      </c>
      <c r="G295" s="18">
        <v>1110.6495284501727</v>
      </c>
      <c r="H295" s="18">
        <v>40395.465576862625</v>
      </c>
      <c r="I295" s="18">
        <v>4474.0561427224147</v>
      </c>
      <c r="J295" s="18">
        <v>6830.9</v>
      </c>
      <c r="K295" s="18">
        <v>1644.2629552529183</v>
      </c>
      <c r="L295" s="19">
        <f>SUM(F295:K295)</f>
        <v>60103.466237239722</v>
      </c>
      <c r="M295" s="8"/>
      <c r="N295" s="266"/>
    </row>
    <row r="296" spans="1:14" s="3" customFormat="1" ht="12.2" customHeight="1" x14ac:dyDescent="0.15">
      <c r="A296" s="1" t="s">
        <v>439</v>
      </c>
      <c r="B296" s="2" t="s">
        <v>358</v>
      </c>
      <c r="C296" s="2" t="s">
        <v>291</v>
      </c>
      <c r="D296" s="2" t="s">
        <v>431</v>
      </c>
      <c r="E296" s="6">
        <v>1200</v>
      </c>
      <c r="F296" s="18">
        <v>17212.568249027234</v>
      </c>
      <c r="G296" s="18">
        <v>11541.964280155642</v>
      </c>
      <c r="H296" s="18">
        <v>0</v>
      </c>
      <c r="I296" s="18">
        <v>721.7677821011672</v>
      </c>
      <c r="J296" s="18">
        <v>2755.3165758754863</v>
      </c>
      <c r="K296" s="18">
        <v>1367.1859922178987</v>
      </c>
      <c r="L296" s="19">
        <f>SUM(F296:K296)</f>
        <v>33598.802879377428</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818.10751336057854</v>
      </c>
      <c r="G300" s="18">
        <v>158.92109399559888</v>
      </c>
      <c r="H300" s="18">
        <v>1697.677459918265</v>
      </c>
      <c r="I300" s="18">
        <v>1027.3976736875197</v>
      </c>
      <c r="J300" s="18">
        <v>1039.2606098711096</v>
      </c>
      <c r="K300" s="18">
        <v>0</v>
      </c>
      <c r="L300" s="19">
        <f t="shared" ref="L300:L306" si="14">SUM(F300:K300)</f>
        <v>4741.3643508330715</v>
      </c>
      <c r="M300" s="8"/>
      <c r="N300" s="266"/>
    </row>
    <row r="301" spans="1:14" s="3" customFormat="1" ht="12.2" customHeight="1" x14ac:dyDescent="0.15">
      <c r="A301" s="1" t="s">
        <v>443</v>
      </c>
      <c r="B301" s="2" t="s">
        <v>358</v>
      </c>
      <c r="C301" s="2" t="s">
        <v>295</v>
      </c>
      <c r="D301" s="2" t="s">
        <v>431</v>
      </c>
      <c r="E301" s="6">
        <v>2200</v>
      </c>
      <c r="F301" s="18">
        <v>8569.8744769874465</v>
      </c>
      <c r="G301" s="18">
        <v>951.23305439330534</v>
      </c>
      <c r="H301" s="18"/>
      <c r="I301" s="18"/>
      <c r="J301" s="18"/>
      <c r="K301" s="18"/>
      <c r="L301" s="19">
        <f t="shared" si="14"/>
        <v>9521.1075313807523</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32248.682273326845</v>
      </c>
      <c r="G309" s="42">
        <f t="shared" si="15"/>
        <v>13762.767956994719</v>
      </c>
      <c r="H309" s="42">
        <f t="shared" si="15"/>
        <v>42093.143036780893</v>
      </c>
      <c r="I309" s="42">
        <f t="shared" si="15"/>
        <v>6223.2215985111015</v>
      </c>
      <c r="J309" s="42">
        <f t="shared" si="15"/>
        <v>10625.477185746595</v>
      </c>
      <c r="K309" s="42">
        <f t="shared" si="15"/>
        <v>3011.4489474708171</v>
      </c>
      <c r="L309" s="41">
        <f t="shared" si="15"/>
        <v>107964.74099883098</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5843.6810028292984</v>
      </c>
      <c r="G314" s="18">
        <v>1036.1349607041811</v>
      </c>
      <c r="H314" s="18">
        <v>67907.112131405229</v>
      </c>
      <c r="I314" s="18">
        <v>4809.0021785602012</v>
      </c>
      <c r="J314" s="18">
        <v>0</v>
      </c>
      <c r="K314" s="18">
        <v>1215.7484824902724</v>
      </c>
      <c r="L314" s="19">
        <f>SUM(F314:K314)</f>
        <v>80811.678755989182</v>
      </c>
      <c r="M314" s="8"/>
      <c r="N314" s="266"/>
    </row>
    <row r="315" spans="1:14" s="3" customFormat="1" ht="12.2" customHeight="1" x14ac:dyDescent="0.15">
      <c r="A315" s="1" t="s">
        <v>439</v>
      </c>
      <c r="B315" s="2" t="s">
        <v>359</v>
      </c>
      <c r="C315" s="2" t="s">
        <v>291</v>
      </c>
      <c r="D315" s="2" t="s">
        <v>431</v>
      </c>
      <c r="E315" s="6">
        <v>1200</v>
      </c>
      <c r="F315" s="18">
        <v>189793.30583657589</v>
      </c>
      <c r="G315" s="18">
        <v>77611.359066147852</v>
      </c>
      <c r="H315" s="18">
        <v>1879.61</v>
      </c>
      <c r="I315" s="18">
        <v>936.34739299610885</v>
      </c>
      <c r="J315" s="18">
        <v>3574.4647470817117</v>
      </c>
      <c r="K315" s="18">
        <v>13209.203292607004</v>
      </c>
      <c r="L315" s="19">
        <f>SUM(F315:K315)</f>
        <v>287004.29033540853</v>
      </c>
      <c r="M315" s="8"/>
      <c r="N315" s="266"/>
    </row>
    <row r="316" spans="1:14" s="3" customFormat="1" ht="12.2" customHeight="1" x14ac:dyDescent="0.15">
      <c r="A316" s="1" t="s">
        <v>440</v>
      </c>
      <c r="B316" s="2" t="s">
        <v>359</v>
      </c>
      <c r="C316" s="2" t="s">
        <v>292</v>
      </c>
      <c r="D316" s="2" t="s">
        <v>431</v>
      </c>
      <c r="E316" s="6">
        <v>1300</v>
      </c>
      <c r="F316" s="18">
        <v>43500.639999999999</v>
      </c>
      <c r="G316" s="18">
        <v>4109.95</v>
      </c>
      <c r="H316" s="18">
        <v>61597.55</v>
      </c>
      <c r="I316" s="18">
        <v>84153.109999999986</v>
      </c>
      <c r="J316" s="18">
        <v>77710.09</v>
      </c>
      <c r="K316" s="18">
        <v>11981.4</v>
      </c>
      <c r="L316" s="19">
        <f>SUM(F316:K316)</f>
        <v>283052.74</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1152.5089594467149</v>
      </c>
      <c r="G319" s="18">
        <v>223.88009116629991</v>
      </c>
      <c r="H319" s="18">
        <v>2391.6031216598558</v>
      </c>
      <c r="I319" s="18">
        <v>1447.3464728072934</v>
      </c>
      <c r="J319" s="18">
        <v>1464.0583841559258</v>
      </c>
      <c r="K319" s="18"/>
      <c r="L319" s="19">
        <f t="shared" ref="L319:L325" si="16">SUM(F319:K319)</f>
        <v>6679.3970292360891</v>
      </c>
      <c r="M319" s="8"/>
      <c r="N319" s="266"/>
    </row>
    <row r="320" spans="1:14" s="3" customFormat="1" ht="12.2" customHeight="1" x14ac:dyDescent="0.15">
      <c r="A320" s="1" t="s">
        <v>443</v>
      </c>
      <c r="B320" s="2" t="s">
        <v>359</v>
      </c>
      <c r="C320" s="2" t="s">
        <v>295</v>
      </c>
      <c r="D320" s="2" t="s">
        <v>431</v>
      </c>
      <c r="E320" s="6">
        <v>2200</v>
      </c>
      <c r="F320" s="18">
        <v>12543.179916317993</v>
      </c>
      <c r="G320" s="18">
        <v>1392.2592887029289</v>
      </c>
      <c r="H320" s="18"/>
      <c r="I320" s="18"/>
      <c r="J320" s="18"/>
      <c r="K320" s="18"/>
      <c r="L320" s="19">
        <f t="shared" si="16"/>
        <v>13935.439205020923</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252833.31571516991</v>
      </c>
      <c r="G328" s="42">
        <f t="shared" si="17"/>
        <v>84373.583406721256</v>
      </c>
      <c r="H328" s="42">
        <f t="shared" si="17"/>
        <v>133775.87525306511</v>
      </c>
      <c r="I328" s="42">
        <f t="shared" si="17"/>
        <v>91345.806044363577</v>
      </c>
      <c r="J328" s="42">
        <f t="shared" si="17"/>
        <v>82748.613131237638</v>
      </c>
      <c r="K328" s="42">
        <f t="shared" si="17"/>
        <v>26406.351775097275</v>
      </c>
      <c r="L328" s="41">
        <f t="shared" si="17"/>
        <v>671483.54532565468</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v>14139.5</v>
      </c>
      <c r="G333" s="18">
        <v>2999.61</v>
      </c>
      <c r="H333" s="18">
        <v>52501.58</v>
      </c>
      <c r="I333" s="18">
        <v>11864.97</v>
      </c>
      <c r="J333" s="18"/>
      <c r="K333" s="18">
        <v>2463.19</v>
      </c>
      <c r="L333" s="19">
        <f t="shared" si="18"/>
        <v>83968.85</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14139.5</v>
      </c>
      <c r="G337" s="41">
        <f t="shared" si="19"/>
        <v>2999.61</v>
      </c>
      <c r="H337" s="41">
        <f t="shared" si="19"/>
        <v>52501.58</v>
      </c>
      <c r="I337" s="41">
        <f t="shared" si="19"/>
        <v>11864.97</v>
      </c>
      <c r="J337" s="41">
        <f t="shared" si="19"/>
        <v>0</v>
      </c>
      <c r="K337" s="41">
        <f t="shared" si="19"/>
        <v>2463.19</v>
      </c>
      <c r="L337" s="41">
        <f t="shared" si="18"/>
        <v>83968.85</v>
      </c>
      <c r="M337" s="8"/>
      <c r="N337" s="266"/>
    </row>
    <row r="338" spans="1:43" s="3" customFormat="1" ht="12.2" customHeight="1" thickTop="1" x14ac:dyDescent="0.15">
      <c r="A338" s="38" t="s">
        <v>468</v>
      </c>
      <c r="B338" s="40">
        <v>14</v>
      </c>
      <c r="C338" s="40">
        <v>7</v>
      </c>
      <c r="D338" s="39" t="s">
        <v>431</v>
      </c>
      <c r="E338" s="40"/>
      <c r="F338" s="41">
        <f t="shared" ref="F338:L338" si="20">F290+F309+F328+F337</f>
        <v>785661.33000000007</v>
      </c>
      <c r="G338" s="41">
        <f t="shared" si="20"/>
        <v>265551.12</v>
      </c>
      <c r="H338" s="41">
        <f t="shared" si="20"/>
        <v>300584.40000000002</v>
      </c>
      <c r="I338" s="41">
        <f t="shared" si="20"/>
        <v>133485.82999999996</v>
      </c>
      <c r="J338" s="41">
        <f t="shared" si="20"/>
        <v>113030.36</v>
      </c>
      <c r="K338" s="41">
        <f t="shared" si="20"/>
        <v>68271.679999999993</v>
      </c>
      <c r="L338" s="41">
        <f t="shared" si="20"/>
        <v>1666584.72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785661.33000000007</v>
      </c>
      <c r="G352" s="41">
        <f>G338</f>
        <v>265551.12</v>
      </c>
      <c r="H352" s="41">
        <f>H338</f>
        <v>300584.40000000002</v>
      </c>
      <c r="I352" s="41">
        <f>I338</f>
        <v>133485.82999999996</v>
      </c>
      <c r="J352" s="41">
        <f>J338</f>
        <v>113030.36</v>
      </c>
      <c r="K352" s="47">
        <f>K338+K351</f>
        <v>68271.679999999993</v>
      </c>
      <c r="L352" s="41">
        <f>L338+L351</f>
        <v>1666584.72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217969.31182646967</v>
      </c>
      <c r="G358" s="18">
        <v>144559.87236718013</v>
      </c>
      <c r="H358" s="18">
        <v>9044.7342565231065</v>
      </c>
      <c r="I358" s="18">
        <v>156511.36393272557</v>
      </c>
      <c r="J358" s="18">
        <v>11606.213127947185</v>
      </c>
      <c r="K358" s="18">
        <v>2304.8462055957243</v>
      </c>
      <c r="L358" s="13">
        <f>SUM(F358:K358)</f>
        <v>541996.34171644144</v>
      </c>
      <c r="N358" s="264"/>
      <c r="R358" s="3"/>
      <c r="S358" s="3"/>
      <c r="T358" s="3"/>
      <c r="U358" s="3"/>
      <c r="V358" s="3"/>
    </row>
    <row r="359" spans="1:22" s="3" customFormat="1" ht="12.2" customHeight="1" x14ac:dyDescent="0.15">
      <c r="A359" s="1" t="s">
        <v>542</v>
      </c>
      <c r="B359" s="2" t="s">
        <v>366</v>
      </c>
      <c r="C359" s="6">
        <v>2</v>
      </c>
      <c r="D359" s="2" t="s">
        <v>431</v>
      </c>
      <c r="E359" s="6"/>
      <c r="F359" s="18">
        <v>105603.44754479724</v>
      </c>
      <c r="G359" s="18">
        <v>56990.920122602962</v>
      </c>
      <c r="H359" s="18">
        <v>4732.5014555171329</v>
      </c>
      <c r="I359" s="18">
        <v>125328.56944671489</v>
      </c>
      <c r="J359" s="18">
        <v>1834.9509588179819</v>
      </c>
      <c r="K359" s="18">
        <v>1079.5988871424081</v>
      </c>
      <c r="L359" s="19">
        <f>SUM(F359:K359)</f>
        <v>295569.98841559264</v>
      </c>
      <c r="M359" s="8"/>
      <c r="N359" s="266"/>
    </row>
    <row r="360" spans="1:22" s="3" customFormat="1" ht="12.2" customHeight="1" x14ac:dyDescent="0.15">
      <c r="A360" s="3" t="s">
        <v>543</v>
      </c>
      <c r="B360" s="2" t="s">
        <v>366</v>
      </c>
      <c r="C360" s="6">
        <v>3</v>
      </c>
      <c r="D360" s="2" t="s">
        <v>431</v>
      </c>
      <c r="E360" s="6"/>
      <c r="F360" s="18">
        <v>121515.47062873312</v>
      </c>
      <c r="G360" s="18">
        <v>90072.467510216928</v>
      </c>
      <c r="H360" s="18">
        <v>3735.4442879597618</v>
      </c>
      <c r="I360" s="18">
        <v>155369.87662055955</v>
      </c>
      <c r="J360" s="18">
        <v>2519.9959132348317</v>
      </c>
      <c r="K360" s="18">
        <v>1114.4249072618672</v>
      </c>
      <c r="L360" s="19">
        <f>SUM(F360:K360)</f>
        <v>374327.67986796604</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445088.23000000004</v>
      </c>
      <c r="G362" s="47">
        <f t="shared" si="22"/>
        <v>291623.26</v>
      </c>
      <c r="H362" s="47">
        <f t="shared" si="22"/>
        <v>17512.68</v>
      </c>
      <c r="I362" s="47">
        <f t="shared" si="22"/>
        <v>437209.81</v>
      </c>
      <c r="J362" s="47">
        <f t="shared" si="22"/>
        <v>15961.16</v>
      </c>
      <c r="K362" s="47">
        <f t="shared" si="22"/>
        <v>4498.869999999999</v>
      </c>
      <c r="L362" s="47">
        <f t="shared" si="22"/>
        <v>1211894.0100000002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I358-F368</f>
        <v>144866.62015403961</v>
      </c>
      <c r="G367" s="18">
        <f>I359-G368</f>
        <v>116569.97678088653</v>
      </c>
      <c r="H367" s="18">
        <f>I360-H368</f>
        <v>147542.82306507384</v>
      </c>
      <c r="I367" s="56">
        <f>SUM(F367:H367)</f>
        <v>408979.42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11644.743778685948</v>
      </c>
      <c r="G368" s="63">
        <v>8758.5926658283552</v>
      </c>
      <c r="H368" s="63">
        <v>7827.0535554856961</v>
      </c>
      <c r="I368" s="56">
        <f>SUM(F368:H368)</f>
        <v>28230.39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156511.36393272557</v>
      </c>
      <c r="G369" s="47">
        <f>SUM(G367:G368)</f>
        <v>125328.56944671489</v>
      </c>
      <c r="H369" s="47">
        <f>SUM(H367:H368)</f>
        <v>155369.87662055955</v>
      </c>
      <c r="I369" s="47">
        <f>SUM(I367:I368)</f>
        <v>437209.81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1251264.6299999999</v>
      </c>
      <c r="I376" s="18"/>
      <c r="J376" s="18"/>
      <c r="K376" s="18"/>
      <c r="L376" s="13">
        <f t="shared" si="23"/>
        <v>1251264.6299999999</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f>18100+66847.92</f>
        <v>84947.92</v>
      </c>
      <c r="I378" s="18"/>
      <c r="J378" s="18"/>
      <c r="K378" s="18"/>
      <c r="L378" s="13">
        <f t="shared" si="23"/>
        <v>84947.92</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1336212.5499999998</v>
      </c>
      <c r="I382" s="41">
        <f t="shared" si="24"/>
        <v>0</v>
      </c>
      <c r="J382" s="47">
        <f t="shared" si="24"/>
        <v>0</v>
      </c>
      <c r="K382" s="47">
        <f t="shared" si="24"/>
        <v>0</v>
      </c>
      <c r="L382" s="47">
        <f t="shared" si="24"/>
        <v>1336212.5499999998</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100000</v>
      </c>
      <c r="H389" s="18">
        <f>23.79+3223.83+2855.47+0.01</f>
        <v>6103.1</v>
      </c>
      <c r="I389" s="18"/>
      <c r="J389" s="24" t="s">
        <v>288</v>
      </c>
      <c r="K389" s="24" t="s">
        <v>288</v>
      </c>
      <c r="L389" s="56">
        <f t="shared" si="25"/>
        <v>106103.1</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v>121827.37</v>
      </c>
      <c r="J392" s="24" t="s">
        <v>288</v>
      </c>
      <c r="K392" s="24" t="s">
        <v>288</v>
      </c>
      <c r="L392" s="56">
        <f t="shared" si="25"/>
        <v>121827.37</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100000</v>
      </c>
      <c r="H393" s="139">
        <f>SUM(H387:H392)</f>
        <v>6103.1</v>
      </c>
      <c r="I393" s="65">
        <f>SUM(I387:I392)</f>
        <v>121827.37</v>
      </c>
      <c r="J393" s="45" t="s">
        <v>288</v>
      </c>
      <c r="K393" s="45" t="s">
        <v>288</v>
      </c>
      <c r="L393" s="47">
        <f>SUM(L387:L392)</f>
        <v>227930.47</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v>9334.23</v>
      </c>
      <c r="I397" s="18"/>
      <c r="J397" s="24" t="s">
        <v>288</v>
      </c>
      <c r="K397" s="24" t="s">
        <v>288</v>
      </c>
      <c r="L397" s="56">
        <f t="shared" si="26"/>
        <v>9334.23</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19.739999999999998</v>
      </c>
      <c r="I400" s="18"/>
      <c r="J400" s="24" t="s">
        <v>288</v>
      </c>
      <c r="K400" s="24" t="s">
        <v>288</v>
      </c>
      <c r="L400" s="56">
        <f t="shared" si="26"/>
        <v>19.739999999999998</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9353.9699999999993</v>
      </c>
      <c r="I401" s="47">
        <f>SUM(I395:I400)</f>
        <v>0</v>
      </c>
      <c r="J401" s="45" t="s">
        <v>288</v>
      </c>
      <c r="K401" s="45" t="s">
        <v>288</v>
      </c>
      <c r="L401" s="47">
        <f>SUM(L395:L400)</f>
        <v>9353.9699999999993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100000</v>
      </c>
      <c r="H408" s="47">
        <f>H393+H401+H407</f>
        <v>15457.07</v>
      </c>
      <c r="I408" s="47">
        <f>I393+I401+I407</f>
        <v>121827.37</v>
      </c>
      <c r="J408" s="24" t="s">
        <v>288</v>
      </c>
      <c r="K408" s="24" t="s">
        <v>288</v>
      </c>
      <c r="L408" s="47">
        <f>L393+L401+L407</f>
        <v>237284.44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v>86706.94</v>
      </c>
      <c r="I418" s="18"/>
      <c r="J418" s="18">
        <v>34286.199999999997</v>
      </c>
      <c r="K418" s="18"/>
      <c r="L418" s="56">
        <f t="shared" si="27"/>
        <v>120993.14</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86706.94</v>
      </c>
      <c r="I419" s="139">
        <f t="shared" si="28"/>
        <v>0</v>
      </c>
      <c r="J419" s="139">
        <f t="shared" si="28"/>
        <v>34286.199999999997</v>
      </c>
      <c r="K419" s="139">
        <f t="shared" si="28"/>
        <v>0</v>
      </c>
      <c r="L419" s="47">
        <f t="shared" si="28"/>
        <v>120993.14</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86706.94</v>
      </c>
      <c r="I434" s="47">
        <f t="shared" si="32"/>
        <v>0</v>
      </c>
      <c r="J434" s="47">
        <f t="shared" si="32"/>
        <v>34286.199999999997</v>
      </c>
      <c r="K434" s="47">
        <f t="shared" si="32"/>
        <v>0</v>
      </c>
      <c r="L434" s="47">
        <f t="shared" si="32"/>
        <v>120993.14</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738265.12</v>
      </c>
      <c r="G439" s="18">
        <v>-4002.95</v>
      </c>
      <c r="H439" s="18"/>
      <c r="I439" s="56">
        <f t="shared" ref="I439:I445" si="33">SUM(F439:H439)</f>
        <v>734262.17</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v>4002.95</v>
      </c>
      <c r="H443" s="18"/>
      <c r="I443" s="56">
        <f t="shared" si="33"/>
        <v>4002.95</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738265.12</v>
      </c>
      <c r="G446" s="13">
        <f>SUM(G439:G445)</f>
        <v>0</v>
      </c>
      <c r="H446" s="13">
        <f>SUM(H439:H445)</f>
        <v>0</v>
      </c>
      <c r="I446" s="13">
        <f>SUM(I439:I445)</f>
        <v>738265.12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738265.12</v>
      </c>
      <c r="G459" s="18"/>
      <c r="H459" s="18"/>
      <c r="I459" s="56">
        <f t="shared" si="34"/>
        <v>738265.12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738265.12</v>
      </c>
      <c r="G460" s="83">
        <f>SUM(G454:G459)</f>
        <v>0</v>
      </c>
      <c r="H460" s="83">
        <f>SUM(H454:H459)</f>
        <v>0</v>
      </c>
      <c r="I460" s="83">
        <f>SUM(I454:I459)</f>
        <v>738265.12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738265.12</v>
      </c>
      <c r="G461" s="42">
        <f>G452+G460</f>
        <v>0</v>
      </c>
      <c r="H461" s="42">
        <f>H452+H460</f>
        <v>0</v>
      </c>
      <c r="I461" s="42">
        <f>I452+I460</f>
        <v>738265.12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720304.95</v>
      </c>
      <c r="G465" s="18">
        <v>80477.929999999993</v>
      </c>
      <c r="H465" s="18">
        <v>352135.77</v>
      </c>
      <c r="I465" s="18"/>
      <c r="J465" s="18">
        <v>621973.81999999995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50822511.270000003</v>
      </c>
      <c r="G468" s="18">
        <f t="shared" ref="G468:J468" si="35">G193</f>
        <v>1248345.98</v>
      </c>
      <c r="H468" s="18">
        <f t="shared" si="35"/>
        <v>1691454.18</v>
      </c>
      <c r="I468" s="18">
        <f t="shared" si="35"/>
        <v>8262500</v>
      </c>
      <c r="J468" s="18">
        <f t="shared" si="35"/>
        <v>237284.44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50822511.270000003</v>
      </c>
      <c r="G470" s="53">
        <f>SUM(G468:G469)</f>
        <v>1248345.98</v>
      </c>
      <c r="H470" s="53">
        <f>SUM(H468:H469)</f>
        <v>1691454.18</v>
      </c>
      <c r="I470" s="53">
        <f>SUM(I468:I469)</f>
        <v>8262500</v>
      </c>
      <c r="J470" s="53">
        <f>SUM(J468:J469)</f>
        <v>237284.44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49675206.459999993</v>
      </c>
      <c r="G472" s="18">
        <f>L362</f>
        <v>1211894.0100000002</v>
      </c>
      <c r="H472" s="18">
        <f>L352</f>
        <v>1666584.72</v>
      </c>
      <c r="I472" s="18">
        <f>L382</f>
        <v>1336212.5499999998</v>
      </c>
      <c r="J472" s="18">
        <f>L434</f>
        <v>120993.14</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49675206.459999993</v>
      </c>
      <c r="G474" s="53">
        <f>SUM(G472:G473)</f>
        <v>1211894.0100000002</v>
      </c>
      <c r="H474" s="53">
        <f>SUM(H472:H473)</f>
        <v>1666584.72</v>
      </c>
      <c r="I474" s="53">
        <f>SUM(I472:I473)</f>
        <v>1336212.5499999998</v>
      </c>
      <c r="J474" s="53">
        <f>SUM(J472:J473)</f>
        <v>120993.14</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1867609.7600000128</v>
      </c>
      <c r="G476" s="53">
        <f>(G465+G470)- G474</f>
        <v>116929.89999999967</v>
      </c>
      <c r="H476" s="53">
        <f>(H465+H470)- H474</f>
        <v>377005.23</v>
      </c>
      <c r="I476" s="53">
        <f>(I465+I470)- I474</f>
        <v>6926287.4500000002</v>
      </c>
      <c r="J476" s="53">
        <f>(J465+J470)- J474</f>
        <v>738265.12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12</v>
      </c>
      <c r="G490" s="154">
        <v>20</v>
      </c>
      <c r="H490" s="154">
        <v>0.5</v>
      </c>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t="s">
        <v>1612</v>
      </c>
      <c r="H491" s="323" t="s">
        <v>1614</v>
      </c>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t="s">
        <v>1613</v>
      </c>
      <c r="H492" s="323" t="s">
        <v>1612</v>
      </c>
      <c r="I492" s="154"/>
      <c r="J492" s="154"/>
      <c r="K492" s="24" t="s">
        <v>288</v>
      </c>
      <c r="L492" s="24" t="s">
        <v>288</v>
      </c>
      <c r="N492" s="265"/>
    </row>
    <row r="493" spans="1:14" s="52" customFormat="1" ht="12.2" customHeight="1" x14ac:dyDescent="0.2">
      <c r="A493" s="22" t="s">
        <v>617</v>
      </c>
      <c r="B493" s="75">
        <v>20</v>
      </c>
      <c r="C493" s="115">
        <v>4</v>
      </c>
      <c r="D493" s="2" t="s">
        <v>432</v>
      </c>
      <c r="E493" s="115"/>
      <c r="F493" s="18">
        <v>8220000</v>
      </c>
      <c r="G493" s="18">
        <v>7685800</v>
      </c>
      <c r="H493" s="18">
        <v>1500000</v>
      </c>
      <c r="I493" s="18"/>
      <c r="J493" s="18"/>
      <c r="K493" s="24" t="s">
        <v>288</v>
      </c>
      <c r="L493" s="24" t="s">
        <v>288</v>
      </c>
      <c r="N493" s="265"/>
    </row>
    <row r="494" spans="1:14" s="52" customFormat="1" ht="12.2" customHeight="1" x14ac:dyDescent="0.2">
      <c r="A494" s="22" t="s">
        <v>618</v>
      </c>
      <c r="B494" s="75">
        <v>20</v>
      </c>
      <c r="C494" s="115">
        <v>5</v>
      </c>
      <c r="D494" s="2" t="s">
        <v>432</v>
      </c>
      <c r="E494" s="115"/>
      <c r="F494" s="18">
        <v>2.7</v>
      </c>
      <c r="G494" s="18">
        <v>5.0999999999999996</v>
      </c>
      <c r="H494" s="18">
        <v>2.39</v>
      </c>
      <c r="I494" s="18"/>
      <c r="J494" s="18"/>
      <c r="K494" s="24" t="s">
        <v>288</v>
      </c>
      <c r="L494" s="24" t="s">
        <v>288</v>
      </c>
      <c r="N494" s="265"/>
    </row>
    <row r="495" spans="1:14" s="52" customFormat="1" ht="12.2" customHeight="1" x14ac:dyDescent="0.2">
      <c r="A495" s="22" t="s">
        <v>619</v>
      </c>
      <c r="B495" s="75">
        <v>20</v>
      </c>
      <c r="C495" s="115">
        <v>6</v>
      </c>
      <c r="D495" s="2" t="s">
        <v>432</v>
      </c>
      <c r="E495" s="115"/>
      <c r="F495" s="18">
        <v>2200000</v>
      </c>
      <c r="G495" s="18">
        <v>0</v>
      </c>
      <c r="H495" s="18">
        <v>0</v>
      </c>
      <c r="I495" s="18"/>
      <c r="J495" s="18"/>
      <c r="K495" s="53">
        <f>SUM(F495:J495)</f>
        <v>2200000</v>
      </c>
      <c r="L495" s="24" t="s">
        <v>288</v>
      </c>
      <c r="N495" s="265"/>
    </row>
    <row r="496" spans="1:14" s="52" customFormat="1" ht="12.2" customHeight="1" x14ac:dyDescent="0.2">
      <c r="A496" s="22" t="s">
        <v>620</v>
      </c>
      <c r="B496" s="75">
        <v>20</v>
      </c>
      <c r="C496" s="115">
        <v>7</v>
      </c>
      <c r="D496" s="2" t="s">
        <v>432</v>
      </c>
      <c r="E496" s="115"/>
      <c r="F496" s="18"/>
      <c r="G496" s="18">
        <v>7685800</v>
      </c>
      <c r="H496" s="18">
        <v>1500000</v>
      </c>
      <c r="I496" s="18"/>
      <c r="J496" s="18"/>
      <c r="K496" s="53">
        <f t="shared" ref="K496:K503" si="36">SUM(F496:J496)</f>
        <v>9185800</v>
      </c>
      <c r="L496" s="24" t="s">
        <v>288</v>
      </c>
      <c r="N496" s="265"/>
    </row>
    <row r="497" spans="1:14" s="52" customFormat="1" ht="12.2" customHeight="1" x14ac:dyDescent="0.2">
      <c r="A497" s="22" t="s">
        <v>621</v>
      </c>
      <c r="B497" s="75">
        <v>20</v>
      </c>
      <c r="C497" s="115">
        <v>8</v>
      </c>
      <c r="D497" s="2" t="s">
        <v>432</v>
      </c>
      <c r="E497" s="115"/>
      <c r="F497" s="18">
        <v>755000</v>
      </c>
      <c r="G497" s="18">
        <v>0</v>
      </c>
      <c r="H497" s="18">
        <v>1500000</v>
      </c>
      <c r="I497" s="18"/>
      <c r="J497" s="18"/>
      <c r="K497" s="53">
        <f t="shared" si="36"/>
        <v>2255000</v>
      </c>
      <c r="L497" s="24" t="s">
        <v>288</v>
      </c>
      <c r="N497" s="265"/>
    </row>
    <row r="498" spans="1:14" s="52" customFormat="1" ht="12.2" customHeight="1" x14ac:dyDescent="0.2">
      <c r="A498" s="200" t="s">
        <v>622</v>
      </c>
      <c r="B498" s="201">
        <v>20</v>
      </c>
      <c r="C498" s="202">
        <v>9</v>
      </c>
      <c r="D498" s="203" t="s">
        <v>432</v>
      </c>
      <c r="E498" s="202"/>
      <c r="F498" s="204">
        <f>F495-F497</f>
        <v>1445000</v>
      </c>
      <c r="G498" s="204">
        <v>7685800</v>
      </c>
      <c r="H498" s="204">
        <v>0</v>
      </c>
      <c r="I498" s="204"/>
      <c r="J498" s="204"/>
      <c r="K498" s="205">
        <f t="shared" si="36"/>
        <v>9130800</v>
      </c>
      <c r="L498" s="206" t="s">
        <v>288</v>
      </c>
      <c r="N498" s="265"/>
    </row>
    <row r="499" spans="1:14" s="52" customFormat="1" ht="12.2" customHeight="1" thickBot="1" x14ac:dyDescent="0.25">
      <c r="A499" s="22" t="s">
        <v>623</v>
      </c>
      <c r="B499" s="75">
        <v>20</v>
      </c>
      <c r="C499" s="115">
        <v>10</v>
      </c>
      <c r="D499" s="2" t="s">
        <v>432</v>
      </c>
      <c r="E499" s="115"/>
      <c r="F499" s="18">
        <v>63238</v>
      </c>
      <c r="G499" s="18">
        <v>3135952.19</v>
      </c>
      <c r="H499" s="18">
        <v>0</v>
      </c>
      <c r="I499" s="18"/>
      <c r="J499" s="18"/>
      <c r="K499" s="53">
        <f t="shared" si="36"/>
        <v>3199190.19</v>
      </c>
      <c r="L499" s="24" t="s">
        <v>288</v>
      </c>
      <c r="N499" s="265"/>
    </row>
    <row r="500" spans="1:14" s="52" customFormat="1" ht="12.2" customHeight="1" thickTop="1" x14ac:dyDescent="0.2">
      <c r="A500" s="139" t="s">
        <v>624</v>
      </c>
      <c r="B500" s="44">
        <v>20</v>
      </c>
      <c r="C500" s="195">
        <v>11</v>
      </c>
      <c r="D500" s="39" t="s">
        <v>432</v>
      </c>
      <c r="E500" s="195"/>
      <c r="F500" s="42">
        <f>SUM(F498:F499)</f>
        <v>1508238</v>
      </c>
      <c r="G500" s="42">
        <f>SUM(G498:G499)</f>
        <v>10821752.189999999</v>
      </c>
      <c r="H500" s="42">
        <f>SUM(H498:H499)</f>
        <v>0</v>
      </c>
      <c r="I500" s="42">
        <f>SUM(I498:I499)</f>
        <v>0</v>
      </c>
      <c r="J500" s="42">
        <f>SUM(J498:J499)</f>
        <v>0</v>
      </c>
      <c r="K500" s="42">
        <f t="shared" si="36"/>
        <v>12329990.189999999</v>
      </c>
      <c r="L500" s="45" t="s">
        <v>288</v>
      </c>
      <c r="N500" s="265"/>
    </row>
    <row r="501" spans="1:14" s="52" customFormat="1" ht="12.2" customHeight="1" x14ac:dyDescent="0.2">
      <c r="A501" s="200" t="s">
        <v>651</v>
      </c>
      <c r="B501" s="201">
        <v>20</v>
      </c>
      <c r="C501" s="202">
        <v>12</v>
      </c>
      <c r="D501" s="203" t="s">
        <v>432</v>
      </c>
      <c r="E501" s="202"/>
      <c r="F501" s="204">
        <v>730000</v>
      </c>
      <c r="G501" s="204">
        <v>382800</v>
      </c>
      <c r="H501" s="204">
        <v>0</v>
      </c>
      <c r="I501" s="204"/>
      <c r="J501" s="204"/>
      <c r="K501" s="205">
        <f t="shared" si="36"/>
        <v>1112800</v>
      </c>
      <c r="L501" s="206" t="s">
        <v>288</v>
      </c>
      <c r="N501" s="265"/>
    </row>
    <row r="502" spans="1:14" s="52" customFormat="1" ht="12.2" customHeight="1" thickBot="1" x14ac:dyDescent="0.25">
      <c r="A502" s="22" t="s">
        <v>625</v>
      </c>
      <c r="B502" s="75">
        <v>20</v>
      </c>
      <c r="C502" s="115">
        <v>13</v>
      </c>
      <c r="D502" s="2" t="s">
        <v>432</v>
      </c>
      <c r="E502" s="115"/>
      <c r="F502" s="18">
        <v>46113</v>
      </c>
      <c r="G502" s="18">
        <v>329962.55</v>
      </c>
      <c r="H502" s="18">
        <v>0</v>
      </c>
      <c r="I502" s="18"/>
      <c r="J502" s="18"/>
      <c r="K502" s="53">
        <f t="shared" si="36"/>
        <v>376075.55</v>
      </c>
      <c r="L502" s="24" t="s">
        <v>288</v>
      </c>
      <c r="N502" s="265"/>
    </row>
    <row r="503" spans="1:14" s="52" customFormat="1" ht="12.2" customHeight="1" thickTop="1" x14ac:dyDescent="0.2">
      <c r="A503" s="139" t="s">
        <v>626</v>
      </c>
      <c r="B503" s="44">
        <v>20</v>
      </c>
      <c r="C503" s="195">
        <v>14</v>
      </c>
      <c r="D503" s="39" t="s">
        <v>432</v>
      </c>
      <c r="E503" s="195"/>
      <c r="F503" s="42">
        <f>SUM(F501:F502)</f>
        <v>776113</v>
      </c>
      <c r="G503" s="42">
        <f>SUM(G501:G502)</f>
        <v>712762.55</v>
      </c>
      <c r="H503" s="42">
        <f>SUM(H501:H502)</f>
        <v>0</v>
      </c>
      <c r="I503" s="42">
        <f>SUM(I501:I502)</f>
        <v>0</v>
      </c>
      <c r="J503" s="42">
        <f>SUM(J501:J502)</f>
        <v>0</v>
      </c>
      <c r="K503" s="42">
        <f t="shared" si="36"/>
        <v>1488875.55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1580490.63</v>
      </c>
      <c r="G507" s="144">
        <f>F28+F29</f>
        <v>1768271.02</v>
      </c>
      <c r="H507" s="144">
        <v>1580490.63</v>
      </c>
      <c r="I507" s="144">
        <f>F507+G507-H507</f>
        <v>1768271.02</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2434937.3875097274</v>
      </c>
      <c r="G521" s="18">
        <v>933928.98642023327</v>
      </c>
      <c r="H521" s="18">
        <v>464916.65731517511</v>
      </c>
      <c r="I521" s="18">
        <v>23566.494824902722</v>
      </c>
      <c r="J521" s="18">
        <v>43641.448365758755</v>
      </c>
      <c r="K521" s="18"/>
      <c r="L521" s="88">
        <f>SUM(F521:K521)</f>
        <v>3900990.974435797</v>
      </c>
      <c r="N521" s="265"/>
    </row>
    <row r="522" spans="1:14" s="52" customFormat="1" ht="12.2" customHeight="1" x14ac:dyDescent="0.2">
      <c r="A522" s="22" t="s">
        <v>634</v>
      </c>
      <c r="B522" s="105">
        <v>21</v>
      </c>
      <c r="C522" s="115">
        <v>2</v>
      </c>
      <c r="D522" s="2" t="s">
        <v>432</v>
      </c>
      <c r="E522" s="115"/>
      <c r="F522" s="18">
        <v>973947.98178988323</v>
      </c>
      <c r="G522" s="18">
        <v>430973.25132295722</v>
      </c>
      <c r="H522" s="18">
        <v>395987.07599221781</v>
      </c>
      <c r="I522" s="18">
        <v>2563.9977821011671</v>
      </c>
      <c r="J522" s="18">
        <v>19544.279299610891</v>
      </c>
      <c r="K522" s="18"/>
      <c r="L522" s="88">
        <f>SUM(F522:K522)</f>
        <v>1823016.5861867703</v>
      </c>
      <c r="N522" s="265"/>
    </row>
    <row r="523" spans="1:14" s="52" customFormat="1" ht="12.2" customHeight="1" thickBot="1" x14ac:dyDescent="0.25">
      <c r="A523" s="22" t="s">
        <v>635</v>
      </c>
      <c r="B523" s="105">
        <v>21</v>
      </c>
      <c r="C523" s="115">
        <v>3</v>
      </c>
      <c r="D523" s="2" t="s">
        <v>432</v>
      </c>
      <c r="E523" s="115"/>
      <c r="F523" s="18">
        <v>1347761.500700389</v>
      </c>
      <c r="G523" s="18">
        <v>516008.36225680937</v>
      </c>
      <c r="H523" s="18">
        <v>517373.616692607</v>
      </c>
      <c r="I523" s="18">
        <v>4804.0673929961085</v>
      </c>
      <c r="J523" s="18">
        <v>33937.282334630356</v>
      </c>
      <c r="K523" s="18"/>
      <c r="L523" s="88">
        <f>SUM(F523:K523)</f>
        <v>2419884.8293774319</v>
      </c>
      <c r="N523" s="265"/>
    </row>
    <row r="524" spans="1:14" s="52" customFormat="1" ht="12.2" customHeight="1" thickTop="1" x14ac:dyDescent="0.2">
      <c r="A524" s="139" t="s">
        <v>63</v>
      </c>
      <c r="B524" s="107">
        <v>21</v>
      </c>
      <c r="C524" s="195">
        <v>4</v>
      </c>
      <c r="D524" s="196" t="s">
        <v>432</v>
      </c>
      <c r="E524" s="195"/>
      <c r="F524" s="108">
        <f>SUM(F521:F523)</f>
        <v>4756646.8699999992</v>
      </c>
      <c r="G524" s="108">
        <f t="shared" ref="G524:L524" si="37">SUM(G521:G523)</f>
        <v>1880910.5999999999</v>
      </c>
      <c r="H524" s="108">
        <f t="shared" si="37"/>
        <v>1378277.3499999999</v>
      </c>
      <c r="I524" s="108">
        <f t="shared" si="37"/>
        <v>30934.559999999998</v>
      </c>
      <c r="J524" s="108">
        <f t="shared" si="37"/>
        <v>97123.010000000009</v>
      </c>
      <c r="K524" s="108">
        <f t="shared" si="37"/>
        <v>0</v>
      </c>
      <c r="L524" s="89">
        <f t="shared" si="37"/>
        <v>8143892.3899999987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454206.85718641937</v>
      </c>
      <c r="G526" s="18">
        <v>241083.05857591954</v>
      </c>
      <c r="H526" s="18">
        <v>197291.83576862622</v>
      </c>
      <c r="I526" s="18">
        <v>17591.713970449546</v>
      </c>
      <c r="J526" s="18">
        <v>1061.1183212826156</v>
      </c>
      <c r="K526" s="18">
        <v>980.80855077019805</v>
      </c>
      <c r="L526" s="88">
        <f>SUM(F526:K526)</f>
        <v>912215.39237346745</v>
      </c>
      <c r="M526" s="8"/>
      <c r="N526" s="266"/>
    </row>
    <row r="527" spans="1:14" s="3" customFormat="1" ht="12.2" customHeight="1" x14ac:dyDescent="0.15">
      <c r="A527" s="22" t="s">
        <v>634</v>
      </c>
      <c r="B527" s="105">
        <v>21</v>
      </c>
      <c r="C527" s="115">
        <v>6</v>
      </c>
      <c r="D527" s="2" t="s">
        <v>432</v>
      </c>
      <c r="E527" s="115"/>
      <c r="F527" s="18">
        <v>276620.16798176675</v>
      </c>
      <c r="G527" s="18">
        <v>160853.81669915121</v>
      </c>
      <c r="H527" s="18">
        <v>125864.01005972967</v>
      </c>
      <c r="I527" s="18">
        <v>6114.7717195850373</v>
      </c>
      <c r="J527" s="18">
        <v>362.33385727758571</v>
      </c>
      <c r="K527" s="18">
        <v>625.71518390443271</v>
      </c>
      <c r="L527" s="88">
        <f>SUM(F527:K527)</f>
        <v>570440.81550141471</v>
      </c>
      <c r="M527" s="8"/>
      <c r="N527" s="266"/>
    </row>
    <row r="528" spans="1:14" s="3" customFormat="1" ht="12.2" customHeight="1" thickBot="1" x14ac:dyDescent="0.2">
      <c r="A528" s="22" t="s">
        <v>635</v>
      </c>
      <c r="B528" s="118">
        <v>21</v>
      </c>
      <c r="C528" s="118">
        <v>7</v>
      </c>
      <c r="D528" s="2" t="s">
        <v>432</v>
      </c>
      <c r="E528" s="118"/>
      <c r="F528" s="18">
        <v>364767.85483181389</v>
      </c>
      <c r="G528" s="18">
        <v>196358.27472492927</v>
      </c>
      <c r="H528" s="18">
        <v>177310.92417164415</v>
      </c>
      <c r="I528" s="18">
        <v>8116.5943099654196</v>
      </c>
      <c r="J528" s="18">
        <v>510.43782143979882</v>
      </c>
      <c r="K528" s="18">
        <v>881.47626532536947</v>
      </c>
      <c r="L528" s="88">
        <f>SUM(F528:K528)</f>
        <v>747945.56212511787</v>
      </c>
      <c r="M528" s="8"/>
      <c r="N528" s="266"/>
    </row>
    <row r="529" spans="1:14" s="3" customFormat="1" ht="12.2" customHeight="1" thickTop="1" x14ac:dyDescent="0.15">
      <c r="A529" s="139" t="s">
        <v>65</v>
      </c>
      <c r="B529" s="107">
        <v>21</v>
      </c>
      <c r="C529" s="107">
        <v>8</v>
      </c>
      <c r="D529" s="158" t="s">
        <v>432</v>
      </c>
      <c r="E529" s="107"/>
      <c r="F529" s="89">
        <f>SUM(F526:F528)</f>
        <v>1095594.8799999999</v>
      </c>
      <c r="G529" s="89">
        <f t="shared" ref="G529:L529" si="38">SUM(G526:G528)</f>
        <v>598295.15</v>
      </c>
      <c r="H529" s="89">
        <f t="shared" si="38"/>
        <v>500466.77</v>
      </c>
      <c r="I529" s="89">
        <f t="shared" si="38"/>
        <v>31823.08</v>
      </c>
      <c r="J529" s="89">
        <f t="shared" si="38"/>
        <v>1933.8900000000003</v>
      </c>
      <c r="K529" s="89">
        <f t="shared" si="38"/>
        <v>2488</v>
      </c>
      <c r="L529" s="89">
        <f t="shared" si="38"/>
        <v>2230601.77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62964.518704809801</v>
      </c>
      <c r="G531" s="18">
        <v>38306.774919836527</v>
      </c>
      <c r="H531" s="18">
        <v>1480.7410185476265</v>
      </c>
      <c r="I531" s="18">
        <v>7194.1479346117567</v>
      </c>
      <c r="J531" s="18">
        <v>1425.9726375353662</v>
      </c>
      <c r="K531" s="18">
        <v>275.95095881798176</v>
      </c>
      <c r="L531" s="88">
        <f>SUM(F531:K531)</f>
        <v>111648.10617415905</v>
      </c>
      <c r="M531" s="8"/>
      <c r="N531" s="266"/>
    </row>
    <row r="532" spans="1:14" s="3" customFormat="1" ht="12.2" customHeight="1" x14ac:dyDescent="0.15">
      <c r="A532" s="22" t="s">
        <v>634</v>
      </c>
      <c r="B532" s="105">
        <v>21</v>
      </c>
      <c r="C532" s="105">
        <v>10</v>
      </c>
      <c r="D532" s="2" t="s">
        <v>432</v>
      </c>
      <c r="E532" s="105"/>
      <c r="F532" s="18">
        <v>40168.75196479095</v>
      </c>
      <c r="G532" s="18">
        <v>24438.1339201509</v>
      </c>
      <c r="H532" s="18">
        <v>944.65136749449869</v>
      </c>
      <c r="I532" s="18">
        <v>4589.5680603583787</v>
      </c>
      <c r="J532" s="18">
        <v>909.71141150581582</v>
      </c>
      <c r="K532" s="18">
        <v>176.04526878340147</v>
      </c>
      <c r="L532" s="88">
        <f>SUM(F532:K532)</f>
        <v>71226.861993083949</v>
      </c>
      <c r="M532" s="8"/>
      <c r="N532" s="266"/>
    </row>
    <row r="533" spans="1:14" s="3" customFormat="1" ht="12.2" customHeight="1" thickBot="1" x14ac:dyDescent="0.2">
      <c r="A533" s="22" t="s">
        <v>635</v>
      </c>
      <c r="B533" s="105">
        <v>21</v>
      </c>
      <c r="C533" s="105">
        <v>11</v>
      </c>
      <c r="D533" s="2" t="s">
        <v>432</v>
      </c>
      <c r="E533" s="105"/>
      <c r="F533" s="18">
        <v>56587.729330399248</v>
      </c>
      <c r="G533" s="18">
        <v>34427.221160012574</v>
      </c>
      <c r="H533" s="18">
        <v>1330.777613957875</v>
      </c>
      <c r="I533" s="18">
        <v>6465.554005029865</v>
      </c>
      <c r="J533" s="18">
        <v>1281.5559509588179</v>
      </c>
      <c r="K533" s="18">
        <v>248.0037723986168</v>
      </c>
      <c r="L533" s="88">
        <f>SUM(F533:K533)</f>
        <v>100340.841832757</v>
      </c>
      <c r="M533" s="8"/>
      <c r="N533" s="266"/>
    </row>
    <row r="534" spans="1:14" s="3" customFormat="1" ht="12.2" customHeight="1" thickTop="1" x14ac:dyDescent="0.15">
      <c r="A534" s="139" t="s">
        <v>67</v>
      </c>
      <c r="B534" s="107">
        <v>21</v>
      </c>
      <c r="C534" s="107">
        <v>12</v>
      </c>
      <c r="D534" s="158" t="s">
        <v>432</v>
      </c>
      <c r="E534" s="107"/>
      <c r="F534" s="89">
        <f>SUM(F531:F533)</f>
        <v>159721</v>
      </c>
      <c r="G534" s="89">
        <f t="shared" ref="G534:L534" si="39">SUM(G531:G533)</f>
        <v>97172.13</v>
      </c>
      <c r="H534" s="89">
        <f t="shared" si="39"/>
        <v>3756.17</v>
      </c>
      <c r="I534" s="89">
        <f t="shared" si="39"/>
        <v>18249.27</v>
      </c>
      <c r="J534" s="89">
        <f t="shared" si="39"/>
        <v>3617.24</v>
      </c>
      <c r="K534" s="89">
        <f t="shared" si="39"/>
        <v>700</v>
      </c>
      <c r="L534" s="89">
        <f t="shared" si="39"/>
        <v>283215.81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9687.5684824902728</v>
      </c>
      <c r="I536" s="18"/>
      <c r="J536" s="18"/>
      <c r="K536" s="18"/>
      <c r="L536" s="88">
        <f>SUM(F536:K536)</f>
        <v>9687.5684824902728</v>
      </c>
      <c r="M536" s="8"/>
      <c r="N536" s="266"/>
    </row>
    <row r="537" spans="1:14" s="3" customFormat="1" ht="12.2" customHeight="1" x14ac:dyDescent="0.15">
      <c r="A537" s="22" t="s">
        <v>634</v>
      </c>
      <c r="B537" s="105">
        <v>21</v>
      </c>
      <c r="C537" s="105">
        <v>14</v>
      </c>
      <c r="D537" s="2" t="s">
        <v>432</v>
      </c>
      <c r="E537" s="105"/>
      <c r="F537" s="18"/>
      <c r="G537" s="18"/>
      <c r="H537" s="18">
        <v>8240.0007782101166</v>
      </c>
      <c r="I537" s="18"/>
      <c r="J537" s="18"/>
      <c r="K537" s="18"/>
      <c r="L537" s="88">
        <f>SUM(F537:K537)</f>
        <v>8240.0007782101166</v>
      </c>
      <c r="M537" s="8"/>
      <c r="N537" s="266"/>
    </row>
    <row r="538" spans="1:14" s="3" customFormat="1" ht="12.2" customHeight="1" thickBot="1" x14ac:dyDescent="0.2">
      <c r="A538" s="22" t="s">
        <v>635</v>
      </c>
      <c r="B538" s="105">
        <v>21</v>
      </c>
      <c r="C538" s="105">
        <v>15</v>
      </c>
      <c r="D538" s="2" t="s">
        <v>432</v>
      </c>
      <c r="E538" s="105"/>
      <c r="F538" s="18"/>
      <c r="G538" s="18"/>
      <c r="H538" s="18">
        <v>10689.73073929961</v>
      </c>
      <c r="I538" s="18"/>
      <c r="J538" s="18"/>
      <c r="K538" s="18"/>
      <c r="L538" s="88">
        <f>SUM(F538:K538)</f>
        <v>10689.73073929961</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28617.299999999996</v>
      </c>
      <c r="I539" s="89">
        <f t="shared" si="40"/>
        <v>0</v>
      </c>
      <c r="J539" s="89">
        <f t="shared" si="40"/>
        <v>0</v>
      </c>
      <c r="K539" s="89">
        <f t="shared" si="40"/>
        <v>0</v>
      </c>
      <c r="L539" s="89">
        <f t="shared" si="40"/>
        <v>28617.299999999996</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187962.39642023348</v>
      </c>
      <c r="I541" s="18"/>
      <c r="J541" s="18"/>
      <c r="K541" s="18"/>
      <c r="L541" s="88">
        <f>SUM(F541:K541)</f>
        <v>187962.39642023348</v>
      </c>
      <c r="M541" s="8"/>
      <c r="N541" s="266"/>
    </row>
    <row r="542" spans="1:14" s="3" customFormat="1" ht="12.2" customHeight="1" x14ac:dyDescent="0.15">
      <c r="A542" s="22" t="s">
        <v>634</v>
      </c>
      <c r="B542" s="105">
        <v>21</v>
      </c>
      <c r="C542" s="105">
        <v>18</v>
      </c>
      <c r="D542" s="2" t="s">
        <v>432</v>
      </c>
      <c r="E542" s="105"/>
      <c r="F542" s="18"/>
      <c r="G542" s="18"/>
      <c r="H542" s="18">
        <v>159876.06132295719</v>
      </c>
      <c r="I542" s="18"/>
      <c r="J542" s="18"/>
      <c r="K542" s="18"/>
      <c r="L542" s="88">
        <f>SUM(F542:K542)</f>
        <v>159876.06132295719</v>
      </c>
      <c r="M542" s="8"/>
      <c r="N542" s="266"/>
    </row>
    <row r="543" spans="1:14" s="3" customFormat="1" ht="12.2" customHeight="1" thickBot="1" x14ac:dyDescent="0.2">
      <c r="A543" s="22" t="s">
        <v>635</v>
      </c>
      <c r="B543" s="105">
        <v>21</v>
      </c>
      <c r="C543" s="105">
        <v>19</v>
      </c>
      <c r="D543" s="2" t="s">
        <v>432</v>
      </c>
      <c r="E543" s="105"/>
      <c r="F543" s="18"/>
      <c r="G543" s="18"/>
      <c r="H543" s="18">
        <v>207406.78225680933</v>
      </c>
      <c r="I543" s="18"/>
      <c r="J543" s="18"/>
      <c r="K543" s="18"/>
      <c r="L543" s="88">
        <f>SUM(F543:K543)</f>
        <v>207406.78225680933</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1">SUM(G541:G543)</f>
        <v>0</v>
      </c>
      <c r="H544" s="193">
        <f t="shared" si="41"/>
        <v>555245.24</v>
      </c>
      <c r="I544" s="193">
        <f t="shared" si="41"/>
        <v>0</v>
      </c>
      <c r="J544" s="193">
        <f t="shared" si="41"/>
        <v>0</v>
      </c>
      <c r="K544" s="193">
        <f t="shared" si="41"/>
        <v>0</v>
      </c>
      <c r="L544" s="193">
        <f t="shared" si="41"/>
        <v>555245.24</v>
      </c>
      <c r="M544" s="8"/>
      <c r="N544" s="266"/>
    </row>
    <row r="545" spans="1:14" s="3" customFormat="1" ht="12.2" customHeight="1" thickTop="1" x14ac:dyDescent="0.15">
      <c r="A545" s="98" t="s">
        <v>72</v>
      </c>
      <c r="B545" s="107">
        <v>21</v>
      </c>
      <c r="C545" s="107">
        <v>21</v>
      </c>
      <c r="D545" s="158" t="s">
        <v>432</v>
      </c>
      <c r="E545" s="107"/>
      <c r="F545" s="89">
        <f>F524+F529+F534+F539+F544</f>
        <v>6011962.7499999991</v>
      </c>
      <c r="G545" s="89">
        <f t="shared" ref="G545:L545" si="42">G524+G529+G534+G539+G544</f>
        <v>2576377.88</v>
      </c>
      <c r="H545" s="89">
        <f t="shared" si="42"/>
        <v>2466362.83</v>
      </c>
      <c r="I545" s="89">
        <f t="shared" si="42"/>
        <v>81006.91</v>
      </c>
      <c r="J545" s="89">
        <f t="shared" si="42"/>
        <v>102674.14000000001</v>
      </c>
      <c r="K545" s="89">
        <f t="shared" si="42"/>
        <v>3188</v>
      </c>
      <c r="L545" s="89">
        <f t="shared" si="42"/>
        <v>11241572.51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3900990.974435797</v>
      </c>
      <c r="G549" s="87">
        <f>L526</f>
        <v>912215.39237346745</v>
      </c>
      <c r="H549" s="87">
        <f>L531</f>
        <v>111648.10617415905</v>
      </c>
      <c r="I549" s="87">
        <f>L536</f>
        <v>9687.5684824902728</v>
      </c>
      <c r="J549" s="87">
        <f>L541</f>
        <v>187962.39642023348</v>
      </c>
      <c r="K549" s="87">
        <f>SUM(F549:J549)</f>
        <v>5122504.4378861478</v>
      </c>
      <c r="L549" s="24" t="s">
        <v>288</v>
      </c>
      <c r="M549" s="8"/>
      <c r="N549" s="266"/>
    </row>
    <row r="550" spans="1:14" s="3" customFormat="1" ht="12.2" customHeight="1" x14ac:dyDescent="0.15">
      <c r="A550" s="22" t="s">
        <v>634</v>
      </c>
      <c r="B550" s="75">
        <v>21</v>
      </c>
      <c r="C550" s="75">
        <v>23</v>
      </c>
      <c r="D550" s="2" t="s">
        <v>432</v>
      </c>
      <c r="E550" s="75"/>
      <c r="F550" s="87">
        <f>L522</f>
        <v>1823016.5861867703</v>
      </c>
      <c r="G550" s="87">
        <f>L527</f>
        <v>570440.81550141471</v>
      </c>
      <c r="H550" s="87">
        <f>L532</f>
        <v>71226.861993083949</v>
      </c>
      <c r="I550" s="87">
        <f>L537</f>
        <v>8240.0007782101166</v>
      </c>
      <c r="J550" s="87">
        <f>L542</f>
        <v>159876.06132295719</v>
      </c>
      <c r="K550" s="87">
        <f>SUM(F550:J550)</f>
        <v>2632800.3257824359</v>
      </c>
      <c r="L550" s="24" t="s">
        <v>288</v>
      </c>
      <c r="M550" s="8"/>
      <c r="N550" s="266"/>
    </row>
    <row r="551" spans="1:14" s="3" customFormat="1" ht="12.2" customHeight="1" thickBot="1" x14ac:dyDescent="0.2">
      <c r="A551" s="22" t="s">
        <v>635</v>
      </c>
      <c r="B551" s="75">
        <v>21</v>
      </c>
      <c r="C551" s="75">
        <v>24</v>
      </c>
      <c r="D551" s="2" t="s">
        <v>432</v>
      </c>
      <c r="E551" s="75"/>
      <c r="F551" s="87">
        <f>L523</f>
        <v>2419884.8293774319</v>
      </c>
      <c r="G551" s="87">
        <f>L528</f>
        <v>747945.56212511787</v>
      </c>
      <c r="H551" s="87">
        <f>L533</f>
        <v>100340.841832757</v>
      </c>
      <c r="I551" s="87">
        <f>L538</f>
        <v>10689.73073929961</v>
      </c>
      <c r="J551" s="87">
        <f>L543</f>
        <v>207406.78225680933</v>
      </c>
      <c r="K551" s="87">
        <f>SUM(F551:J551)</f>
        <v>3486267.7463314161</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8143892.3899999987</v>
      </c>
      <c r="G552" s="89">
        <f t="shared" si="43"/>
        <v>2230601.77</v>
      </c>
      <c r="H552" s="89">
        <f t="shared" si="43"/>
        <v>283215.81</v>
      </c>
      <c r="I552" s="89">
        <f t="shared" si="43"/>
        <v>28617.299999999996</v>
      </c>
      <c r="J552" s="89">
        <f t="shared" si="43"/>
        <v>555245.24</v>
      </c>
      <c r="K552" s="89">
        <f t="shared" si="43"/>
        <v>11241572.51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99102.263898145262</v>
      </c>
      <c r="G562" s="18">
        <v>42724.745828355866</v>
      </c>
      <c r="H562" s="18">
        <v>635.67274441999371</v>
      </c>
      <c r="I562" s="18">
        <v>1645.7882646966364</v>
      </c>
      <c r="J562" s="18">
        <v>1629.0410059729643</v>
      </c>
      <c r="K562" s="18"/>
      <c r="L562" s="88">
        <f>SUM(F562:K562)</f>
        <v>145737.51174159074</v>
      </c>
      <c r="M562" s="8"/>
      <c r="N562" s="266"/>
    </row>
    <row r="563" spans="1:14" s="3" customFormat="1" ht="12.2" customHeight="1" x14ac:dyDescent="0.15">
      <c r="A563" s="22" t="s">
        <v>634</v>
      </c>
      <c r="B563" s="105">
        <v>22</v>
      </c>
      <c r="C563" s="115">
        <v>6</v>
      </c>
      <c r="D563" s="2" t="s">
        <v>432</v>
      </c>
      <c r="E563" s="115"/>
      <c r="F563" s="18">
        <v>119223.23486325055</v>
      </c>
      <c r="G563" s="18">
        <v>49369.096158440749</v>
      </c>
      <c r="H563" s="18">
        <v>405.5328513046212</v>
      </c>
      <c r="I563" s="18">
        <v>666.47544797233581</v>
      </c>
      <c r="J563" s="18">
        <v>1039.2606098711096</v>
      </c>
      <c r="K563" s="18"/>
      <c r="L563" s="88">
        <f>SUM(F563:K563)</f>
        <v>170703.59993083935</v>
      </c>
      <c r="M563" s="8"/>
      <c r="N563" s="266"/>
    </row>
    <row r="564" spans="1:14" s="3" customFormat="1" ht="12.2" customHeight="1" thickBot="1" x14ac:dyDescent="0.2">
      <c r="A564" s="22" t="s">
        <v>635</v>
      </c>
      <c r="B564" s="105">
        <v>22</v>
      </c>
      <c r="C564" s="118">
        <v>7</v>
      </c>
      <c r="D564" s="2" t="s">
        <v>432</v>
      </c>
      <c r="E564" s="118"/>
      <c r="F564" s="18">
        <v>89065.591238604218</v>
      </c>
      <c r="G564" s="18">
        <v>38397.758013203391</v>
      </c>
      <c r="H564" s="18">
        <v>571.29440427538509</v>
      </c>
      <c r="I564" s="18">
        <v>1377.7362873310281</v>
      </c>
      <c r="J564" s="18">
        <v>1464.0583841559258</v>
      </c>
      <c r="K564" s="18"/>
      <c r="L564" s="88">
        <f>SUM(F564:K564)</f>
        <v>130876.43832756995</v>
      </c>
      <c r="M564" s="8"/>
      <c r="N564" s="266"/>
    </row>
    <row r="565" spans="1:14" s="3" customFormat="1" ht="12.2" customHeight="1" thickTop="1" x14ac:dyDescent="0.15">
      <c r="A565" s="139" t="s">
        <v>65</v>
      </c>
      <c r="B565" s="107">
        <v>22</v>
      </c>
      <c r="C565" s="107">
        <v>8</v>
      </c>
      <c r="D565" s="196" t="s">
        <v>432</v>
      </c>
      <c r="E565" s="107"/>
      <c r="F565" s="89">
        <f t="shared" ref="F565:L565" si="45">SUM(F562:F564)</f>
        <v>307391.09000000003</v>
      </c>
      <c r="G565" s="89">
        <f t="shared" si="45"/>
        <v>130491.6</v>
      </c>
      <c r="H565" s="89">
        <f t="shared" si="45"/>
        <v>1612.5</v>
      </c>
      <c r="I565" s="89">
        <f t="shared" si="45"/>
        <v>3690.0000000000005</v>
      </c>
      <c r="J565" s="89">
        <f t="shared" si="45"/>
        <v>4132.3599999999997</v>
      </c>
      <c r="K565" s="89">
        <f t="shared" si="45"/>
        <v>0</v>
      </c>
      <c r="L565" s="89">
        <f t="shared" si="45"/>
        <v>447317.55000000005</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307391.09000000003</v>
      </c>
      <c r="G571" s="89">
        <f t="shared" ref="G571:L571" si="47">G560+G565+G570</f>
        <v>130491.6</v>
      </c>
      <c r="H571" s="89">
        <f t="shared" si="47"/>
        <v>1612.5</v>
      </c>
      <c r="I571" s="89">
        <f t="shared" si="47"/>
        <v>3690.0000000000005</v>
      </c>
      <c r="J571" s="89">
        <f t="shared" si="47"/>
        <v>4132.3599999999997</v>
      </c>
      <c r="K571" s="89">
        <f t="shared" si="47"/>
        <v>0</v>
      </c>
      <c r="L571" s="89">
        <f t="shared" si="47"/>
        <v>447317.55000000005</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118226.04999999999</v>
      </c>
      <c r="G579" s="18">
        <v>70047.92</v>
      </c>
      <c r="H579" s="18">
        <v>67583.460000000006</v>
      </c>
      <c r="I579" s="87">
        <f t="shared" si="48"/>
        <v>255857.43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1456.29</v>
      </c>
      <c r="G582" s="18">
        <v>124673.39999999998</v>
      </c>
      <c r="H582" s="18">
        <v>660842.07999999973</v>
      </c>
      <c r="I582" s="87">
        <f t="shared" si="48"/>
        <v>786971.76999999967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8"/>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11485.8</v>
      </c>
      <c r="I584" s="87">
        <f t="shared" si="48"/>
        <v>11485.8</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658920.43005344225</v>
      </c>
      <c r="I591" s="18">
        <v>420363.91071989946</v>
      </c>
      <c r="J591" s="18">
        <v>592187.65922665829</v>
      </c>
      <c r="K591" s="104">
        <f t="shared" ref="K591:K597" si="49">SUM(H591:J591)</f>
        <v>1671472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187962.39642023348</v>
      </c>
      <c r="I592" s="18">
        <v>159876.06132295719</v>
      </c>
      <c r="J592" s="18">
        <v>207406.78225680933</v>
      </c>
      <c r="K592" s="104">
        <f t="shared" si="49"/>
        <v>555245.24</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9"/>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9"/>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4162</v>
      </c>
      <c r="I595" s="18"/>
      <c r="J595" s="18"/>
      <c r="K595" s="104">
        <f t="shared" si="49"/>
        <v>4162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v>3079.04</v>
      </c>
      <c r="K597" s="104">
        <f t="shared" si="49"/>
        <v>3079.04</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851044.82647367567</v>
      </c>
      <c r="I598" s="108">
        <f>SUM(I591:I597)</f>
        <v>580239.97204285662</v>
      </c>
      <c r="J598" s="108">
        <f>SUM(J591:J597)</f>
        <v>802673.48148346762</v>
      </c>
      <c r="K598" s="108">
        <f>SUM(K591:K597)</f>
        <v>2233958.2800000003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267413.98531406268</v>
      </c>
      <c r="I604" s="18">
        <v>167859.35847282829</v>
      </c>
      <c r="J604" s="18">
        <v>341800.81621310895</v>
      </c>
      <c r="K604" s="104">
        <f>SUM(H604:J604)</f>
        <v>777074.15999999992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267413.98531406268</v>
      </c>
      <c r="I605" s="108">
        <f>SUM(I602:I604)</f>
        <v>167859.35847282829</v>
      </c>
      <c r="J605" s="108">
        <f>SUM(J602:J604)</f>
        <v>341800.81621310895</v>
      </c>
      <c r="K605" s="108">
        <f>SUM(K602:K604)</f>
        <v>777074.15999999992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41408.20584256963</v>
      </c>
      <c r="G611" s="18">
        <v>7560.0392996598248</v>
      </c>
      <c r="H611" s="18">
        <v>13014.884121431114</v>
      </c>
      <c r="I611" s="18">
        <v>147.34598553913864</v>
      </c>
      <c r="J611" s="18"/>
      <c r="K611" s="18"/>
      <c r="L611" s="88">
        <f>SUM(F611:K611)</f>
        <v>62130.475249199706</v>
      </c>
      <c r="M611" s="8"/>
      <c r="N611" s="266"/>
    </row>
    <row r="612" spans="1:14" s="3" customFormat="1" ht="12.2" customHeight="1" x14ac:dyDescent="0.15">
      <c r="A612" s="22" t="s">
        <v>634</v>
      </c>
      <c r="B612" s="75">
        <v>23</v>
      </c>
      <c r="C612" s="75">
        <v>14</v>
      </c>
      <c r="D612" s="2" t="s">
        <v>432</v>
      </c>
      <c r="E612" s="75"/>
      <c r="F612" s="18">
        <v>34810.604388361338</v>
      </c>
      <c r="G612" s="18">
        <v>6345.1719484732421</v>
      </c>
      <c r="H612" s="18">
        <v>9255.3672461857077</v>
      </c>
      <c r="I612" s="18">
        <v>94.000628733102815</v>
      </c>
      <c r="J612" s="18"/>
      <c r="K612" s="18"/>
      <c r="L612" s="88">
        <f>SUM(F612:K612)</f>
        <v>50505.144211753388</v>
      </c>
      <c r="M612" s="8"/>
      <c r="N612" s="266"/>
    </row>
    <row r="613" spans="1:14" s="3" customFormat="1" ht="12.2" customHeight="1" thickBot="1" x14ac:dyDescent="0.2">
      <c r="A613" s="22" t="s">
        <v>645</v>
      </c>
      <c r="B613" s="75">
        <v>23</v>
      </c>
      <c r="C613" s="75">
        <v>15</v>
      </c>
      <c r="D613" s="2" t="s">
        <v>432</v>
      </c>
      <c r="E613" s="75"/>
      <c r="F613" s="18">
        <v>45296.869769069024</v>
      </c>
      <c r="G613" s="18">
        <v>8260.0687518669347</v>
      </c>
      <c r="H613" s="18">
        <v>12613.84863238318</v>
      </c>
      <c r="I613" s="18">
        <v>132.42338572775856</v>
      </c>
      <c r="J613" s="18"/>
      <c r="K613" s="18"/>
      <c r="L613" s="88">
        <f>SUM(F613:K613)</f>
        <v>66303.210539046893</v>
      </c>
      <c r="M613" s="8"/>
      <c r="N613" s="266"/>
    </row>
    <row r="614" spans="1:14" s="3" customFormat="1" ht="12.2" customHeight="1" thickTop="1" x14ac:dyDescent="0.15">
      <c r="A614" s="98" t="s">
        <v>340</v>
      </c>
      <c r="B614" s="107">
        <v>23</v>
      </c>
      <c r="C614" s="107">
        <v>16</v>
      </c>
      <c r="D614" s="39" t="s">
        <v>432</v>
      </c>
      <c r="E614" s="107"/>
      <c r="F614" s="108">
        <f t="shared" ref="F614:L614" si="50">SUM(F611:F613)</f>
        <v>121515.68</v>
      </c>
      <c r="G614" s="108">
        <f t="shared" si="50"/>
        <v>22165.279999999999</v>
      </c>
      <c r="H614" s="108">
        <f t="shared" si="50"/>
        <v>34884.100000000006</v>
      </c>
      <c r="I614" s="108">
        <f t="shared" si="50"/>
        <v>373.77</v>
      </c>
      <c r="J614" s="108">
        <f t="shared" si="50"/>
        <v>0</v>
      </c>
      <c r="K614" s="108">
        <f t="shared" si="50"/>
        <v>0</v>
      </c>
      <c r="L614" s="89">
        <f t="shared" si="50"/>
        <v>178938.83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3908144.0700000003</v>
      </c>
      <c r="H617" s="109">
        <f>SUM(F52)</f>
        <v>3908144.0700000003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150474.62</v>
      </c>
      <c r="H618" s="109">
        <f>SUM(G52)</f>
        <v>150474.62</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459882.47</v>
      </c>
      <c r="H619" s="109">
        <f>SUM(H52)</f>
        <v>459882.47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7076052.5300000003</v>
      </c>
      <c r="H620" s="109">
        <f>SUM(I52)</f>
        <v>7076052.5300000003</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738265.12</v>
      </c>
      <c r="H621" s="109">
        <f>SUM(J52)</f>
        <v>738265.12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1867609.76</v>
      </c>
      <c r="H622" s="109">
        <f>F476</f>
        <v>1867609.7600000128</v>
      </c>
      <c r="I622" s="121" t="s">
        <v>101</v>
      </c>
      <c r="J622" s="109">
        <f t="shared" ref="J622:J655" si="51">G622-H622</f>
        <v>-1.280568540096283E-8</v>
      </c>
      <c r="K622" s="109"/>
      <c r="L622" s="109"/>
      <c r="M622" s="8"/>
    </row>
    <row r="623" spans="1:14" s="3" customFormat="1" ht="12.2" customHeight="1" x14ac:dyDescent="0.15">
      <c r="A623" s="97"/>
      <c r="B623" s="105"/>
      <c r="C623" s="119"/>
      <c r="D623" s="119"/>
      <c r="E623" s="119"/>
      <c r="F623" s="119" t="s">
        <v>866</v>
      </c>
      <c r="G623" s="109">
        <f>G51</f>
        <v>116929.9</v>
      </c>
      <c r="H623" s="109">
        <f>G476</f>
        <v>116929.89999999967</v>
      </c>
      <c r="I623" s="121" t="s">
        <v>102</v>
      </c>
      <c r="J623" s="109">
        <f t="shared" si="51"/>
        <v>3.2014213502407074E-10</v>
      </c>
      <c r="K623" s="109"/>
      <c r="L623" s="109"/>
      <c r="M623" s="8"/>
    </row>
    <row r="624" spans="1:14" s="3" customFormat="1" ht="12.2" customHeight="1" x14ac:dyDescent="0.15">
      <c r="A624" s="97"/>
      <c r="B624" s="105"/>
      <c r="C624" s="105"/>
      <c r="D624" s="105"/>
      <c r="E624" s="105"/>
      <c r="F624" s="120" t="s">
        <v>867</v>
      </c>
      <c r="G624" s="109">
        <f>H51</f>
        <v>377005.23</v>
      </c>
      <c r="H624" s="109">
        <f>H476</f>
        <v>377005.23</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6926287.4500000002</v>
      </c>
      <c r="H625" s="109">
        <f>I476</f>
        <v>6926287.4500000002</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738265.12</v>
      </c>
      <c r="H626" s="109">
        <f>J476</f>
        <v>738265.12</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50822511.270000003</v>
      </c>
      <c r="H627" s="104">
        <f>SUM(F468)</f>
        <v>50822511.270000003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1248345.98</v>
      </c>
      <c r="H628" s="104">
        <f>SUM(G468)</f>
        <v>1248345.98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1691454.18</v>
      </c>
      <c r="H629" s="104">
        <f>SUM(H468)</f>
        <v>1691454.18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8262500</v>
      </c>
      <c r="H630" s="104">
        <f>SUM(I468)</f>
        <v>8262500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237284.44</v>
      </c>
      <c r="H631" s="104">
        <f>SUM(J468)</f>
        <v>237284.44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49675206.459999993</v>
      </c>
      <c r="H632" s="104">
        <f>SUM(F472)</f>
        <v>49675206.459999993</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1666584.72</v>
      </c>
      <c r="H633" s="104">
        <f>SUM(H472)</f>
        <v>1666584.72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437209.81</v>
      </c>
      <c r="H634" s="104">
        <f>I369</f>
        <v>437209.81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1211894.0100000002</v>
      </c>
      <c r="H635" s="104">
        <f>SUM(G472)</f>
        <v>1211894.0100000002</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1336212.5499999998</v>
      </c>
      <c r="H636" s="104">
        <f>SUM(I472)</f>
        <v>1336212.5499999998</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237284.44</v>
      </c>
      <c r="H637" s="164">
        <f>SUM(J468)</f>
        <v>237284.44</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120993.14</v>
      </c>
      <c r="H638" s="164">
        <f>SUM(J472)</f>
        <v>120993.14</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738265.12</v>
      </c>
      <c r="H639" s="104">
        <f>SUM(F461)</f>
        <v>738265.12</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738265.12</v>
      </c>
      <c r="H642" s="104">
        <f>SUM(I461)</f>
        <v>738265.12</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15457.07</v>
      </c>
      <c r="H644" s="104">
        <f>H408</f>
        <v>15457.07</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100000</v>
      </c>
      <c r="H645" s="104">
        <f>G408</f>
        <v>100000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237284.44</v>
      </c>
      <c r="H646" s="104">
        <f>L408</f>
        <v>237284.44</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2233958.2800000003</v>
      </c>
      <c r="H647" s="104">
        <f>L208+L226+L244</f>
        <v>2233958.2800000003</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777074.15999999992</v>
      </c>
      <c r="H648" s="104">
        <f>(J257+J338)-(J255+J336)</f>
        <v>777074.16</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851044.82647367578</v>
      </c>
      <c r="H649" s="104">
        <f>H598</f>
        <v>851044.82647367567</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580239.97204285662</v>
      </c>
      <c r="H650" s="104">
        <f>I598</f>
        <v>580239.97204285662</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802673.48148346762</v>
      </c>
      <c r="H651" s="104">
        <f>J598</f>
        <v>802673.48148346762</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100000</v>
      </c>
      <c r="H655" s="104">
        <f>K266+K347</f>
        <v>100000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19613271.069075417</v>
      </c>
      <c r="G660" s="19">
        <f>(L229+L309+L359)</f>
        <v>12442250.39471576</v>
      </c>
      <c r="H660" s="19">
        <f>(L247+L328+L360)</f>
        <v>19316805.326208822</v>
      </c>
      <c r="I660" s="19">
        <f>SUM(F660:H660)</f>
        <v>51372326.789999999</v>
      </c>
      <c r="J660" s="13"/>
      <c r="K660" s="13"/>
      <c r="L660" s="13"/>
      <c r="M660" s="9"/>
    </row>
    <row r="661" spans="1:13" s="3" customFormat="1" ht="12.2" customHeight="1" x14ac:dyDescent="0.2">
      <c r="A661" s="1" t="s">
        <v>127</v>
      </c>
      <c r="F661" s="19">
        <f>(L358/IF(SUM(L358:L360)=0,1,SUM(L358:L360))*(SUM(G97:G110)))</f>
        <v>366755.0081520009</v>
      </c>
      <c r="G661" s="19">
        <f>(L359/IF(SUM(L358:L360)=0,1,SUM(L358:L360))*(SUM(G97:G110)))</f>
        <v>200004.62211156494</v>
      </c>
      <c r="H661" s="19">
        <f>(L360/IF(SUM(L358:L360)=0,1,SUM(L358:L360))*(SUM(G97:G110)))</f>
        <v>253297.92973643402</v>
      </c>
      <c r="I661" s="19">
        <f>SUM(F661:H661)</f>
        <v>820057.55999999982</v>
      </c>
      <c r="J661"/>
      <c r="K661" s="13"/>
      <c r="L661" s="13"/>
      <c r="M661" s="9"/>
    </row>
    <row r="662" spans="1:13" s="3" customFormat="1" ht="12.2" customHeight="1" x14ac:dyDescent="0.2">
      <c r="A662" s="1" t="s">
        <v>128</v>
      </c>
      <c r="F662" s="19">
        <f>(L208+L287)-(J208+J287)</f>
        <v>851044.82647367578</v>
      </c>
      <c r="G662" s="19">
        <f>(L226+L306)-(J226+J306)</f>
        <v>580239.97204285662</v>
      </c>
      <c r="H662" s="19">
        <f>(L244+L325)-(J244+J325)</f>
        <v>802673.48148346762</v>
      </c>
      <c r="I662" s="19">
        <f>SUM(F662:H662)</f>
        <v>2233958.2800000003</v>
      </c>
      <c r="J662"/>
      <c r="K662" s="13"/>
      <c r="L662" s="13"/>
      <c r="M662" s="8"/>
    </row>
    <row r="663" spans="1:13" s="3" customFormat="1" ht="12.2" customHeight="1" x14ac:dyDescent="0.15">
      <c r="A663" s="198" t="s">
        <v>129</v>
      </c>
      <c r="B663" s="169"/>
      <c r="C663" s="169"/>
      <c r="D663" s="169"/>
      <c r="E663" s="169"/>
      <c r="F663" s="199">
        <f>SUM(F575:F587)+SUM(H602:H604)+SUM(L611)</f>
        <v>449226.80056326237</v>
      </c>
      <c r="G663" s="199">
        <f>SUM(G575:G587)+SUM(I602:I604)+L612</f>
        <v>413085.82268458162</v>
      </c>
      <c r="H663" s="199">
        <f>SUM(H575:H587)+SUM(J602:J604)+L613</f>
        <v>1148015.3667521556</v>
      </c>
      <c r="I663" s="19">
        <f>SUM(F663:H663)</f>
        <v>2010327.9899999995</v>
      </c>
      <c r="J663" s="13"/>
      <c r="K663" s="13"/>
      <c r="L663" s="13"/>
      <c r="M663" s="9"/>
    </row>
    <row r="664" spans="1:13" s="3" customFormat="1" ht="12.2" customHeight="1" x14ac:dyDescent="0.15">
      <c r="A664" s="1" t="s">
        <v>130</v>
      </c>
      <c r="F664" s="19">
        <f>F660-SUM(F661:F663)</f>
        <v>17946244.433886476</v>
      </c>
      <c r="G664" s="19">
        <f>G660-SUM(G661:G663)</f>
        <v>11248919.977876756</v>
      </c>
      <c r="H664" s="19">
        <f>H660-SUM(H661:H663)</f>
        <v>17112818.548236765</v>
      </c>
      <c r="I664" s="19">
        <f>I660-SUM(I661:I663)</f>
        <v>46307982.960000001</v>
      </c>
      <c r="J664" s="13"/>
      <c r="K664" s="13"/>
      <c r="L664" s="13"/>
      <c r="M664" s="9"/>
    </row>
    <row r="665" spans="1:13" s="3" customFormat="1" ht="12.2" customHeight="1" x14ac:dyDescent="0.2">
      <c r="A665" s="1" t="s">
        <v>131</v>
      </c>
      <c r="F665" s="246">
        <v>1253.9000000000001</v>
      </c>
      <c r="G665" s="247">
        <v>799.83</v>
      </c>
      <c r="H665" s="247">
        <v>1126.97</v>
      </c>
      <c r="I665" s="19">
        <f>SUM(F665:H665)</f>
        <v>3180.7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14312.34</v>
      </c>
      <c r="G667" s="19">
        <f>ROUND(G664/G665,2)</f>
        <v>14064.14</v>
      </c>
      <c r="H667" s="19">
        <f>ROUND(H664/H665,2)</f>
        <v>15184.8</v>
      </c>
      <c r="I667" s="19">
        <f>ROUND(I664/I665,2)</f>
        <v>14559.05</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17.829999999999998</v>
      </c>
      <c r="I670" s="19">
        <f>SUM(F670:H670)</f>
        <v>17.829999999999998</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14312.34</v>
      </c>
      <c r="G672" s="19">
        <f>ROUND((G664+G669)/(G665+G670),2)</f>
        <v>14064.14</v>
      </c>
      <c r="H672" s="19">
        <f>ROUND((H664+H669)/(H665+H670),2)</f>
        <v>14948.3</v>
      </c>
      <c r="I672" s="19">
        <f>ROUND((I664+I669)/(I665+I670),2)</f>
        <v>14477.9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pageSetUpPr fitToPage="1"/>
  </sheetPr>
  <dimension ref="A1:C52"/>
  <sheetViews>
    <sheetView workbookViewId="0">
      <selection activeCell="F4" sqref="F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HUDSON SCHOOL DISTRICT-SAU81</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11899244.24</v>
      </c>
      <c r="C9" s="229">
        <f>'DOE25'!G197+'DOE25'!G215+'DOE25'!G233+'DOE25'!G276+'DOE25'!G295+'DOE25'!G314</f>
        <v>6594002.4099999992</v>
      </c>
    </row>
    <row r="10" spans="1:3" x14ac:dyDescent="0.2">
      <c r="A10" t="s">
        <v>775</v>
      </c>
      <c r="B10" s="240">
        <v>10194345.529999999</v>
      </c>
      <c r="C10" s="240">
        <v>5649227.6011297954</v>
      </c>
    </row>
    <row r="11" spans="1:3" x14ac:dyDescent="0.2">
      <c r="A11" t="s">
        <v>776</v>
      </c>
      <c r="B11" s="240">
        <v>362564.04</v>
      </c>
      <c r="C11" s="240">
        <v>200915.96620083635</v>
      </c>
    </row>
    <row r="12" spans="1:3" x14ac:dyDescent="0.2">
      <c r="A12" t="s">
        <v>777</v>
      </c>
      <c r="B12" s="240">
        <v>1342334.67</v>
      </c>
      <c r="C12" s="240">
        <v>743858.84266936907</v>
      </c>
    </row>
    <row r="13" spans="1:3" x14ac:dyDescent="0.2">
      <c r="A13" t="str">
        <f>IF(B9=B13,IF(C9=C13,"Check Total OK","Check Total Error"),"Check Total Error")</f>
        <v>Check Total OK</v>
      </c>
      <c r="B13" s="231">
        <f>SUM(B10:B12)</f>
        <v>11899244.239999998</v>
      </c>
      <c r="C13" s="231">
        <f>SUM(C10:C12)</f>
        <v>6594002.4100000001</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4756646.8699999992</v>
      </c>
      <c r="C18" s="229">
        <f>'DOE25'!G198+'DOE25'!G216+'DOE25'!G234+'DOE25'!G277+'DOE25'!G296+'DOE25'!G315</f>
        <v>1880910.5999999999</v>
      </c>
    </row>
    <row r="19" spans="1:3" x14ac:dyDescent="0.2">
      <c r="A19" t="s">
        <v>775</v>
      </c>
      <c r="B19" s="240">
        <v>2222528.0099999998</v>
      </c>
      <c r="C19" s="240">
        <v>878849.45152674476</v>
      </c>
    </row>
    <row r="20" spans="1:3" x14ac:dyDescent="0.2">
      <c r="A20" t="s">
        <v>776</v>
      </c>
      <c r="B20" s="240">
        <v>1934889.18</v>
      </c>
      <c r="C20" s="240">
        <v>765109.05012532684</v>
      </c>
    </row>
    <row r="21" spans="1:3" x14ac:dyDescent="0.2">
      <c r="A21" t="s">
        <v>777</v>
      </c>
      <c r="B21" s="240">
        <v>599229.67999999993</v>
      </c>
      <c r="C21" s="240">
        <v>236952.09834792893</v>
      </c>
    </row>
    <row r="22" spans="1:3" x14ac:dyDescent="0.2">
      <c r="A22" t="str">
        <f>IF(B18=B22,IF(C18=C22,"Check Total OK","Check Total Error"),"Check Total Error")</f>
        <v>Check Total OK</v>
      </c>
      <c r="B22" s="231">
        <f>SUM(B19:B21)</f>
        <v>4756646.8699999992</v>
      </c>
      <c r="C22" s="231">
        <f>SUM(C19:C21)</f>
        <v>1880910.6000000006</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1069020.17</v>
      </c>
      <c r="C27" s="234">
        <f>'DOE25'!G199+'DOE25'!G217+'DOE25'!G235+'DOE25'!G278+'DOE25'!G297+'DOE25'!G316</f>
        <v>571262.16999999993</v>
      </c>
    </row>
    <row r="28" spans="1:3" x14ac:dyDescent="0.2">
      <c r="A28" t="s">
        <v>775</v>
      </c>
      <c r="B28" s="240">
        <v>776050.79999999993</v>
      </c>
      <c r="C28" s="240">
        <v>414705.42509804649</v>
      </c>
    </row>
    <row r="29" spans="1:3" x14ac:dyDescent="0.2">
      <c r="A29" t="s">
        <v>776</v>
      </c>
      <c r="B29" s="240">
        <v>61864.149999999994</v>
      </c>
      <c r="C29" s="240">
        <v>33058.916534947595</v>
      </c>
    </row>
    <row r="30" spans="1:3" x14ac:dyDescent="0.2">
      <c r="A30" t="s">
        <v>777</v>
      </c>
      <c r="B30" s="240">
        <v>231105.22000000003</v>
      </c>
      <c r="C30" s="240">
        <v>123497.82836700584</v>
      </c>
    </row>
    <row r="31" spans="1:3" x14ac:dyDescent="0.2">
      <c r="A31" t="str">
        <f>IF(B27=B31,IF(C27=C31,"Check Total OK","Check Total Error"),"Check Total Error")</f>
        <v>Check Total OK</v>
      </c>
      <c r="B31" s="231">
        <f>SUM(B28:B30)</f>
        <v>1069020.17</v>
      </c>
      <c r="C31" s="231">
        <f>SUM(C28:C30)</f>
        <v>571262.16999999993</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316111.39</v>
      </c>
      <c r="C36" s="235">
        <f>'DOE25'!G200+'DOE25'!G218+'DOE25'!G236+'DOE25'!G279+'DOE25'!G298+'DOE25'!G317</f>
        <v>69757.13</v>
      </c>
    </row>
    <row r="37" spans="1:3" x14ac:dyDescent="0.2">
      <c r="A37" t="s">
        <v>775</v>
      </c>
      <c r="B37" s="240">
        <v>316111.39</v>
      </c>
      <c r="C37" s="240">
        <v>69757.13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316111.39</v>
      </c>
      <c r="C40" s="231">
        <f>SUM(C37:C39)</f>
        <v>69757.13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horizontalCentered="1" gridLines="1"/>
  <pageMargins left="1.24" right="0.75" top="1" bottom="1" header="0.5" footer="0.5"/>
  <pageSetup scale="82" orientation="landscape"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Normal="100" workbookViewId="0">
      <pane ySplit="4" topLeftCell="A5" activePane="bottomLeft" state="frozen"/>
      <selection activeCell="F4" sqref="F4"/>
      <selection pane="bottomLeft" activeCell="F4" sqref="F4"/>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HUDSON SCHOOL DISTRICT-SAU81</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29168208.77</v>
      </c>
      <c r="D5" s="20">
        <f>SUM('DOE25'!L197:L200)+SUM('DOE25'!L215:L218)+SUM('DOE25'!L233:L236)-F5-G5-H5</f>
        <v>28568031.759999998</v>
      </c>
      <c r="E5" s="243"/>
      <c r="F5" s="244">
        <v>340660.41</v>
      </c>
      <c r="G5" s="53">
        <f>SUM('DOE25'!J197:J200)+SUM('DOE25'!J215:J218)+SUM('DOE25'!J233:J236)</f>
        <v>228631.91000000003</v>
      </c>
      <c r="H5" s="53">
        <f>SUM('DOE25'!K197:K200)+SUM('DOE25'!K215:K218)+SUM('DOE25'!K233:K236)</f>
        <v>30884.69</v>
      </c>
      <c r="I5" s="256"/>
    </row>
    <row r="6" spans="1:9" x14ac:dyDescent="0.2">
      <c r="A6" s="32">
        <v>2100</v>
      </c>
      <c r="B6" t="s">
        <v>796</v>
      </c>
      <c r="C6" s="276">
        <f t="shared" si="0"/>
        <v>4622786.03</v>
      </c>
      <c r="D6" s="20">
        <f>'DOE25'!L202+'DOE25'!L220+'DOE25'!L238-F6-G6-H6</f>
        <v>4607729.51</v>
      </c>
      <c r="E6" s="243"/>
      <c r="F6" s="244"/>
      <c r="G6" s="53">
        <f>'DOE25'!J202+'DOE25'!J220+'DOE25'!J238</f>
        <v>10858.82</v>
      </c>
      <c r="H6" s="53">
        <f>'DOE25'!K202+'DOE25'!K220+'DOE25'!K238</f>
        <v>4197.7000000000007</v>
      </c>
      <c r="I6" s="256"/>
    </row>
    <row r="7" spans="1:9" x14ac:dyDescent="0.2">
      <c r="A7" s="32">
        <v>2200</v>
      </c>
      <c r="B7" t="s">
        <v>821</v>
      </c>
      <c r="C7" s="276">
        <f t="shared" si="0"/>
        <v>1578036.3300000003</v>
      </c>
      <c r="D7" s="20">
        <f>'DOE25'!L203+'DOE25'!L221+'DOE25'!L239-F7-G7-H7</f>
        <v>1386994.6500000001</v>
      </c>
      <c r="E7" s="243"/>
      <c r="F7" s="244"/>
      <c r="G7" s="53">
        <f>'DOE25'!J203+'DOE25'!J221+'DOE25'!J239</f>
        <v>189850.90000000002</v>
      </c>
      <c r="H7" s="53">
        <f>'DOE25'!K203+'DOE25'!K221+'DOE25'!K239</f>
        <v>1190.78</v>
      </c>
      <c r="I7" s="256"/>
    </row>
    <row r="8" spans="1:9" x14ac:dyDescent="0.2">
      <c r="A8" s="32">
        <v>2300</v>
      </c>
      <c r="B8" t="s">
        <v>797</v>
      </c>
      <c r="C8" s="276">
        <f t="shared" si="0"/>
        <v>283215.80999999988</v>
      </c>
      <c r="D8" s="243"/>
      <c r="E8" s="20">
        <f>'DOE25'!L204+'DOE25'!L222+'DOE25'!L240-F8-G8-H8-D9-D11</f>
        <v>257920.00999999989</v>
      </c>
      <c r="F8" s="244"/>
      <c r="G8" s="53">
        <f>'DOE25'!J204+'DOE25'!J222+'DOE25'!J240</f>
        <v>3617.24</v>
      </c>
      <c r="H8" s="53">
        <f>'DOE25'!K204+'DOE25'!K222+'DOE25'!K240</f>
        <v>21678.560000000001</v>
      </c>
      <c r="I8" s="256"/>
    </row>
    <row r="9" spans="1:9" ht="14.25" x14ac:dyDescent="0.2">
      <c r="A9" s="32">
        <v>2310</v>
      </c>
      <c r="B9" s="185" t="s">
        <v>890</v>
      </c>
      <c r="C9" s="276">
        <f t="shared" si="0"/>
        <v>139045.56</v>
      </c>
      <c r="D9" s="244">
        <v>139045.56</v>
      </c>
      <c r="E9" s="243"/>
      <c r="F9" s="253"/>
      <c r="G9" s="253"/>
      <c r="H9" s="253"/>
      <c r="I9" s="256"/>
    </row>
    <row r="10" spans="1:9" ht="14.25" x14ac:dyDescent="0.2">
      <c r="A10" s="32">
        <v>2317</v>
      </c>
      <c r="B10" s="185" t="s">
        <v>891</v>
      </c>
      <c r="C10" s="276">
        <f t="shared" si="0"/>
        <v>26237</v>
      </c>
      <c r="D10" s="243"/>
      <c r="E10" s="244">
        <v>26237</v>
      </c>
      <c r="F10" s="253"/>
      <c r="G10" s="253"/>
      <c r="H10" s="253"/>
      <c r="I10" s="256"/>
    </row>
    <row r="11" spans="1:9" ht="14.25" x14ac:dyDescent="0.2">
      <c r="A11" s="32">
        <v>2321</v>
      </c>
      <c r="B11" s="185" t="s">
        <v>892</v>
      </c>
      <c r="C11" s="276">
        <f t="shared" si="0"/>
        <v>422767.87</v>
      </c>
      <c r="D11" s="244">
        <v>422767.87</v>
      </c>
      <c r="E11" s="243"/>
      <c r="F11" s="253"/>
      <c r="G11" s="253"/>
      <c r="H11" s="253"/>
      <c r="I11" s="256"/>
    </row>
    <row r="12" spans="1:9" x14ac:dyDescent="0.2">
      <c r="A12" s="32">
        <v>2400</v>
      </c>
      <c r="B12" t="s">
        <v>711</v>
      </c>
      <c r="C12" s="276">
        <f t="shared" si="0"/>
        <v>3162640.6899999995</v>
      </c>
      <c r="D12" s="20">
        <f>'DOE25'!L205+'DOE25'!L223+'DOE25'!L241-F12-G12-H12</f>
        <v>3144077.9899999993</v>
      </c>
      <c r="E12" s="243"/>
      <c r="F12" s="244"/>
      <c r="G12" s="53">
        <f>'DOE25'!J205+'DOE25'!J223+'DOE25'!J241</f>
        <v>5295.7</v>
      </c>
      <c r="H12" s="53">
        <f>'DOE25'!K205+'DOE25'!K223+'DOE25'!K241</f>
        <v>13267</v>
      </c>
      <c r="I12" s="256"/>
    </row>
    <row r="13" spans="1:9" x14ac:dyDescent="0.2">
      <c r="A13" s="32">
        <v>2500</v>
      </c>
      <c r="B13" t="s">
        <v>798</v>
      </c>
      <c r="C13" s="276">
        <f t="shared" si="0"/>
        <v>972191.26</v>
      </c>
      <c r="D13" s="243"/>
      <c r="E13" s="20">
        <f>'DOE25'!L206+'DOE25'!L224+'DOE25'!L242-F13-G13-H13</f>
        <v>939789.25</v>
      </c>
      <c r="F13" s="244">
        <v>18594.560000000001</v>
      </c>
      <c r="G13" s="53">
        <f>'DOE25'!J206+'DOE25'!J224+'DOE25'!J242</f>
        <v>13807.450000000003</v>
      </c>
      <c r="H13" s="53">
        <f>'DOE25'!K206+'DOE25'!K224+'DOE25'!K242</f>
        <v>0</v>
      </c>
      <c r="I13" s="256"/>
    </row>
    <row r="14" spans="1:9" x14ac:dyDescent="0.2">
      <c r="A14" s="32">
        <v>2600</v>
      </c>
      <c r="B14" t="s">
        <v>819</v>
      </c>
      <c r="C14" s="276">
        <f t="shared" si="0"/>
        <v>5535204.6900000004</v>
      </c>
      <c r="D14" s="20">
        <f>'DOE25'!L207+'DOE25'!L225+'DOE25'!L243-F14-G14-H14</f>
        <v>4764136.5000000009</v>
      </c>
      <c r="E14" s="243"/>
      <c r="F14" s="244">
        <v>705638.13</v>
      </c>
      <c r="G14" s="53">
        <f>'DOE25'!J207+'DOE25'!J225+'DOE25'!J243</f>
        <v>65430.060000000005</v>
      </c>
      <c r="H14" s="53">
        <f>'DOE25'!K207+'DOE25'!K225+'DOE25'!K243</f>
        <v>0</v>
      </c>
      <c r="I14" s="256"/>
    </row>
    <row r="15" spans="1:9" x14ac:dyDescent="0.2">
      <c r="A15" s="32">
        <v>2700</v>
      </c>
      <c r="B15" t="s">
        <v>799</v>
      </c>
      <c r="C15" s="276">
        <f t="shared" si="0"/>
        <v>2233958.2800000003</v>
      </c>
      <c r="D15" s="20">
        <f>'DOE25'!L208+'DOE25'!L226+'DOE25'!L244-F15-G15-H15</f>
        <v>75095.263000000268</v>
      </c>
      <c r="E15" s="243"/>
      <c r="F15" s="244">
        <v>2158863.017</v>
      </c>
      <c r="G15" s="53">
        <f>'DOE25'!J208+'DOE25'!J226+'DOE25'!J244</f>
        <v>0</v>
      </c>
      <c r="H15" s="53">
        <f>'DOE25'!K208+'DOE25'!K226+'DOE25'!K244</f>
        <v>0</v>
      </c>
      <c r="I15" s="256"/>
    </row>
    <row r="16" spans="1:9" x14ac:dyDescent="0.2">
      <c r="A16" s="32">
        <v>2800</v>
      </c>
      <c r="B16" t="s">
        <v>800</v>
      </c>
      <c r="C16" s="276">
        <f t="shared" si="0"/>
        <v>459761.62</v>
      </c>
      <c r="D16" s="243"/>
      <c r="E16" s="20">
        <f>'DOE25'!L209+'DOE25'!L227+'DOE25'!L245-F16-G16-H16</f>
        <v>312244.90000000002</v>
      </c>
      <c r="F16" s="244"/>
      <c r="G16" s="53">
        <f>'DOE25'!J209+'DOE25'!J227+'DOE25'!J245</f>
        <v>146551.72</v>
      </c>
      <c r="H16" s="53">
        <f>'DOE25'!K209+'DOE25'!K227+'DOE25'!K245</f>
        <v>965</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156481</v>
      </c>
      <c r="D22" s="243"/>
      <c r="E22" s="243"/>
      <c r="F22" s="243"/>
      <c r="G22" s="53">
        <f>'DOE25'!L255+'DOE25'!L336</f>
        <v>156481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840908.55</v>
      </c>
      <c r="D25" s="243"/>
      <c r="E25" s="243"/>
      <c r="F25" s="255"/>
      <c r="G25" s="253"/>
      <c r="H25" s="253"/>
      <c r="I25" s="254">
        <f>'DOE25'!L260+'DOE25'!L261+'DOE25'!L341+'DOE25'!L342</f>
        <v>840908.55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802914.59000000032</v>
      </c>
      <c r="D29" s="284">
        <f>'DOE25'!L358+'DOE25'!L359+'DOE25'!L360-'DOE25'!I367-F29-G29-H29</f>
        <v>782454.56000000029</v>
      </c>
      <c r="E29" s="243"/>
      <c r="F29" s="244"/>
      <c r="G29" s="53">
        <f>'DOE25'!J358+'DOE25'!J359+'DOE25'!J360</f>
        <v>15961.16</v>
      </c>
      <c r="H29" s="53">
        <f>'DOE25'!K358+'DOE25'!K359+'DOE25'!K360</f>
        <v>4498.869999999999</v>
      </c>
      <c r="I29" s="256"/>
    </row>
    <row r="30" spans="1:9" x14ac:dyDescent="0.2">
      <c r="A30" s="32"/>
      <c r="C30" s="277"/>
      <c r="D30" s="20"/>
      <c r="E30" s="281"/>
      <c r="F30" s="271"/>
      <c r="G30" s="53"/>
      <c r="H30" s="53"/>
      <c r="I30" s="256"/>
    </row>
    <row r="31" spans="1:9" x14ac:dyDescent="0.2">
      <c r="A31" s="32" t="s">
        <v>818</v>
      </c>
      <c r="B31" t="s">
        <v>817</v>
      </c>
      <c r="C31" s="276">
        <f>SUM(D31:I31)</f>
        <v>1666584.72</v>
      </c>
      <c r="D31" s="20">
        <f>'DOE25'!L290+'DOE25'!L309+'DOE25'!L328+'DOE25'!L333+'DOE25'!L334+'DOE25'!L335-F31-G31-H31</f>
        <v>1476353.94</v>
      </c>
      <c r="E31" s="243"/>
      <c r="F31" s="244">
        <v>8928.74</v>
      </c>
      <c r="G31" s="53">
        <f>'DOE25'!J290+'DOE25'!J309+'DOE25'!J328+'DOE25'!J333+'DOE25'!J334+'DOE25'!J335</f>
        <v>113030.36</v>
      </c>
      <c r="H31" s="53">
        <f>'DOE25'!K290+'DOE25'!K309+'DOE25'!K328+'DOE25'!K333+'DOE25'!K334+'DOE25'!K335</f>
        <v>68271.679999999993</v>
      </c>
      <c r="I31" s="256"/>
    </row>
    <row r="32" spans="1:9" ht="12" thickBot="1" x14ac:dyDescent="0.25">
      <c r="C32" s="277"/>
      <c r="G32" s="251"/>
      <c r="H32" s="251"/>
      <c r="I32" s="258"/>
    </row>
    <row r="33" spans="1:9" ht="12" thickTop="1" x14ac:dyDescent="0.2">
      <c r="B33" t="s">
        <v>809</v>
      </c>
      <c r="D33" s="245">
        <f t="shared" ref="D33:I33" si="1">SUM(D5:D31)</f>
        <v>45366687.603</v>
      </c>
      <c r="E33" s="245">
        <f t="shared" si="1"/>
        <v>1536191.1599999997</v>
      </c>
      <c r="F33" s="245">
        <f t="shared" si="1"/>
        <v>3232684.8570000003</v>
      </c>
      <c r="G33" s="245">
        <f t="shared" si="1"/>
        <v>949516.32000000007</v>
      </c>
      <c r="H33" s="245">
        <f t="shared" si="1"/>
        <v>144954.27999999997</v>
      </c>
      <c r="I33" s="245">
        <f t="shared" si="1"/>
        <v>840908.55</v>
      </c>
    </row>
    <row r="35" spans="1:9" ht="12" thickBot="1" x14ac:dyDescent="0.25">
      <c r="B35" s="251" t="s">
        <v>831</v>
      </c>
      <c r="D35" s="252">
        <f>E33</f>
        <v>1536191.1599999997</v>
      </c>
      <c r="E35" s="248"/>
    </row>
    <row r="36" spans="1:9" ht="12" thickTop="1" x14ac:dyDescent="0.2">
      <c r="B36" t="s">
        <v>810</v>
      </c>
      <c r="D36" s="20">
        <f>D33</f>
        <v>45366687.603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F4" sqref="F4"/>
    </sheetView>
  </sheetViews>
  <sheetFormatPr defaultRowHeight="11.25" x14ac:dyDescent="0.2"/>
  <cols>
    <col min="1" max="1" width="35.6640625" customWidth="1"/>
    <col min="2" max="2" width="22.33203125" customWidth="1"/>
    <col min="3" max="3" width="22" customWidth="1"/>
    <col min="4" max="5" width="14.6640625" customWidth="1"/>
    <col min="6" max="6" width="17.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HUDSON SCHOOL DISTRICT-SAU81</v>
      </c>
      <c r="B2" s="126">
        <f>'DOE25'!B2</f>
        <v>267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19071274.727358967</v>
      </c>
      <c r="G4" s="303">
        <f>'DOE25'!L211+'DOE25'!L290</f>
        <v>19071274.727358975</v>
      </c>
      <c r="H4" s="304">
        <f>F4-G4</f>
        <v>0</v>
      </c>
      <c r="I4" s="310" t="str">
        <f>IF(H4=0,"","Does not match DOE25 page 7 and 11 Totals!!")</f>
        <v/>
      </c>
      <c r="N4"/>
    </row>
    <row r="5" spans="1:18" x14ac:dyDescent="0.2">
      <c r="A5" s="21" t="s">
        <v>1152</v>
      </c>
      <c r="B5" s="305">
        <f>IFERROR(VLOOKUP(A5,'School Tables'!$C$3:$D$368,2,FALSE),"")</f>
        <v>26765</v>
      </c>
      <c r="C5" s="297" t="str">
        <f>IFERROR(INDEX('School Tables'!$B$3:$B$368,MATCH('School Level Expenditures'!B5,'School Tables'!$D$3:$D$368,0)),"")</f>
        <v>Hudson</v>
      </c>
      <c r="D5" s="294">
        <v>6857473.6282546669</v>
      </c>
      <c r="E5" s="294">
        <v>227559.98116160725</v>
      </c>
      <c r="F5" s="313">
        <f>D5+E5</f>
        <v>7085033.6094162744</v>
      </c>
      <c r="G5" s="297"/>
      <c r="H5" s="297"/>
      <c r="I5" s="126"/>
      <c r="N5"/>
    </row>
    <row r="6" spans="1:18" x14ac:dyDescent="0.2">
      <c r="A6" s="21" t="s">
        <v>1151</v>
      </c>
      <c r="B6" s="305">
        <f>IFERROR(VLOOKUP(A6,'School Tables'!$C$3:$D$368,2,FALSE),"")</f>
        <v>27900</v>
      </c>
      <c r="C6" s="297" t="str">
        <f>IFERROR(INDEX('School Tables'!$B$3:$B$368,MATCH('School Level Expenditures'!B6,'School Tables'!$D$3:$D$368,0)),"")</f>
        <v>Hudson</v>
      </c>
      <c r="D6" s="294">
        <v>5577499.8391765077</v>
      </c>
      <c r="E6" s="294">
        <v>357279.66621640272</v>
      </c>
      <c r="F6" s="308">
        <f t="shared" ref="F6:F20" si="0">D6+E6</f>
        <v>5934779.50539291</v>
      </c>
      <c r="G6" s="297"/>
      <c r="H6" s="297"/>
      <c r="I6" s="126"/>
      <c r="N6"/>
    </row>
    <row r="7" spans="1:18" x14ac:dyDescent="0.2">
      <c r="A7" s="21" t="s">
        <v>1148</v>
      </c>
      <c r="B7" s="305">
        <f>IFERROR(VLOOKUP(A7,'School Tables'!$C$3:$D$368,2,FALSE),"")</f>
        <v>21045</v>
      </c>
      <c r="C7" s="297" t="str">
        <f>IFERROR(INDEX('School Tables'!$B$3:$B$368,MATCH('School Level Expenditures'!B7,'School Tables'!$D$3:$D$368,0)),"")</f>
        <v>Hudson</v>
      </c>
      <c r="D7" s="294">
        <v>5833133.6762522785</v>
      </c>
      <c r="E7" s="294">
        <v>218327.93629750438</v>
      </c>
      <c r="F7" s="308">
        <f t="shared" si="0"/>
        <v>6051461.6125497827</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12146680.406300167</v>
      </c>
      <c r="G24" s="303">
        <f>'DOE25'!L229+'DOE25'!L309</f>
        <v>12146680.406300167</v>
      </c>
      <c r="H24" s="304">
        <f>F24-G24</f>
        <v>0</v>
      </c>
      <c r="I24" s="310" t="str">
        <f>IF(H24=0,"","Does not match DOE25 page 8 and 12 Totals!!")</f>
        <v/>
      </c>
      <c r="N24"/>
    </row>
    <row r="25" spans="1:14" x14ac:dyDescent="0.2">
      <c r="A25" s="21" t="s">
        <v>1150</v>
      </c>
      <c r="B25" s="305">
        <f>IFERROR(VLOOKUP(A25,'School Tables'!$I$3:$J$80,2,FALSE),"")</f>
        <v>21060</v>
      </c>
      <c r="C25" s="297" t="str">
        <f t="array" ref="C25">IFERROR(INDEX('School Tables'!$H$3:$H$80,MATCH('School Level Expenditures'!B25,'School Tables'!$J$3:$J$80,0)),"")</f>
        <v>Hudson</v>
      </c>
      <c r="D25" s="294">
        <v>12038715.665301336</v>
      </c>
      <c r="E25" s="294">
        <v>107964.74099883097</v>
      </c>
      <c r="F25" s="308">
        <f>D25+E25</f>
        <v>12146680.406300167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18942477.646340854</v>
      </c>
      <c r="G36" s="303">
        <f>'DOE25'!L247+'DOE25'!L328</f>
        <v>18942477.646340858</v>
      </c>
      <c r="H36" s="304">
        <f>F36-G36</f>
        <v>0</v>
      </c>
      <c r="I36" s="310" t="str">
        <f>IF(H36=0,"","Does not match DOE25 page 9 and 13 Totals!!")</f>
        <v/>
      </c>
      <c r="N36"/>
    </row>
    <row r="37" spans="1:14" x14ac:dyDescent="0.2">
      <c r="A37" s="21" t="s">
        <v>1149</v>
      </c>
      <c r="B37" s="305">
        <f>IFERROR(VLOOKUP(A37,'School Tables'!$O$3:$P$122,2,FALSE),"")</f>
        <v>21050</v>
      </c>
      <c r="C37" s="297" t="str">
        <f t="array" ref="C37">IFERROR(INDEX('School Tables'!$N$3:$N$122,MATCH('School Level Expenditures'!B37,'School Tables'!$P$3:$P$122,0)),"")</f>
        <v>Hudson</v>
      </c>
      <c r="D37" s="294">
        <v>18422006.841015201</v>
      </c>
      <c r="E37" s="294">
        <v>520470.80532565468</v>
      </c>
      <c r="F37" s="308">
        <f>D37+E37</f>
        <v>18942477.646340854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1"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90" activePane="bottomLeft" state="frozen"/>
      <selection activeCell="F4" sqref="F4"/>
      <selection pane="bottomLeft" activeCell="F4" sqref="F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HUDSON SCHOOL DISTRICT-SAU81</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2645582.91</v>
      </c>
      <c r="D8" s="95">
        <f>'DOE25'!G9</f>
        <v>128610.6</v>
      </c>
      <c r="E8" s="95">
        <f>'DOE25'!H9</f>
        <v>180177.74</v>
      </c>
      <c r="F8" s="95">
        <f>'DOE25'!I9</f>
        <v>7076052.5300000003</v>
      </c>
      <c r="G8" s="95">
        <f>'DOE25'!J9</f>
        <v>734262.17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260232</v>
      </c>
      <c r="D11" s="95">
        <f>'DOE25'!G12</f>
        <v>0</v>
      </c>
      <c r="E11" s="95">
        <f>'DOE25'!H12</f>
        <v>0</v>
      </c>
      <c r="F11" s="95">
        <f>'DOE25'!I12</f>
        <v>0</v>
      </c>
      <c r="G11" s="95">
        <f>'DOE25'!J12</f>
        <v>0</v>
      </c>
      <c r="H11" s="124"/>
      <c r="I11" s="124"/>
    </row>
    <row r="12" spans="1:9" x14ac:dyDescent="0.2">
      <c r="A12" s="1" t="s">
        <v>143</v>
      </c>
      <c r="B12" s="6">
        <v>140</v>
      </c>
      <c r="C12" s="95">
        <f>'DOE25'!F13</f>
        <v>550966.07999999996</v>
      </c>
      <c r="D12" s="95">
        <f>'DOE25'!G13</f>
        <v>21864.02</v>
      </c>
      <c r="E12" s="95">
        <f>'DOE25'!H13</f>
        <v>279704.73</v>
      </c>
      <c r="F12" s="95">
        <f>'DOE25'!I13</f>
        <v>0</v>
      </c>
      <c r="G12" s="95">
        <f>'DOE25'!J13</f>
        <v>0</v>
      </c>
      <c r="H12" s="124"/>
      <c r="I12" s="124"/>
    </row>
    <row r="13" spans="1:9" x14ac:dyDescent="0.2">
      <c r="A13" s="1" t="s">
        <v>144</v>
      </c>
      <c r="B13" s="6">
        <v>150</v>
      </c>
      <c r="C13" s="95">
        <f>'DOE25'!F14</f>
        <v>451363.08</v>
      </c>
      <c r="D13" s="95">
        <f>'DOE25'!G14</f>
        <v>0</v>
      </c>
      <c r="E13" s="95">
        <f>'DOE25'!H14</f>
        <v>0</v>
      </c>
      <c r="F13" s="95">
        <f>'DOE25'!I14</f>
        <v>0</v>
      </c>
      <c r="G13" s="95">
        <f>'DOE25'!J14</f>
        <v>4002.95</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3908144.0700000003</v>
      </c>
      <c r="D18" s="41">
        <f>SUM(D8:D17)</f>
        <v>150474.62</v>
      </c>
      <c r="E18" s="41">
        <f>SUM(E8:E17)</f>
        <v>459882.47</v>
      </c>
      <c r="F18" s="41">
        <f>SUM(F8:F17)</f>
        <v>7076052.5300000003</v>
      </c>
      <c r="G18" s="41">
        <f>SUM(G8:G17)</f>
        <v>738265.12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272263.28999999998</v>
      </c>
      <c r="D23" s="95">
        <f>'DOE25'!G24</f>
        <v>1239.9000000000001</v>
      </c>
      <c r="E23" s="95">
        <f>'DOE25'!H24</f>
        <v>80078.55</v>
      </c>
      <c r="F23" s="95">
        <f>'DOE25'!I24</f>
        <v>149765.07999999999</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54426.65</v>
      </c>
      <c r="D27" s="95">
        <f>'DOE25'!G28</f>
        <v>0</v>
      </c>
      <c r="E27" s="95">
        <f>'DOE25'!H28</f>
        <v>2798.69</v>
      </c>
      <c r="F27" s="95">
        <f>'DOE25'!I28</f>
        <v>0</v>
      </c>
      <c r="G27" s="24" t="s">
        <v>288</v>
      </c>
      <c r="H27" s="124"/>
      <c r="I27" s="124"/>
    </row>
    <row r="28" spans="1:9" x14ac:dyDescent="0.2">
      <c r="A28" s="1" t="s">
        <v>157</v>
      </c>
      <c r="B28" s="6">
        <v>470</v>
      </c>
      <c r="C28" s="95">
        <f>'DOE25'!F29</f>
        <v>1713844.37</v>
      </c>
      <c r="D28" s="95">
        <f>'DOE25'!G29</f>
        <v>32304.82</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2040534.31</v>
      </c>
      <c r="D31" s="41">
        <f>SUM(D21:D30)</f>
        <v>33544.720000000001</v>
      </c>
      <c r="E31" s="41">
        <f>SUM(E21:E30)</f>
        <v>82877.240000000005</v>
      </c>
      <c r="F31" s="41">
        <f>SUM(F21:F30)</f>
        <v>149765.07999999999</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116929.9</v>
      </c>
      <c r="E47" s="95">
        <f>'DOE25'!H48</f>
        <v>377005.23</v>
      </c>
      <c r="F47" s="95">
        <f>'DOE25'!I48</f>
        <v>6926287.4500000002</v>
      </c>
      <c r="G47" s="95">
        <f>'DOE25'!J48</f>
        <v>738265.12</v>
      </c>
      <c r="H47" s="124"/>
      <c r="I47" s="124"/>
    </row>
    <row r="48" spans="1:9" x14ac:dyDescent="0.2">
      <c r="A48" s="1" t="s">
        <v>882</v>
      </c>
      <c r="B48" s="6">
        <v>753</v>
      </c>
      <c r="C48" s="95">
        <f>'DOE25'!F49</f>
        <v>940169</v>
      </c>
      <c r="D48" s="95">
        <f>'DOE25'!G49</f>
        <v>0</v>
      </c>
      <c r="E48" s="95">
        <f>'DOE25'!H49</f>
        <v>0</v>
      </c>
      <c r="F48" s="95">
        <f>'DOE25'!I49</f>
        <v>0</v>
      </c>
      <c r="G48" s="95">
        <f>'DOE25'!J49</f>
        <v>0</v>
      </c>
      <c r="H48" s="124"/>
      <c r="I48" s="124"/>
    </row>
    <row r="49" spans="1:9" ht="12" thickBot="1" x14ac:dyDescent="0.25">
      <c r="A49" s="29" t="s">
        <v>883</v>
      </c>
      <c r="B49" s="71">
        <v>770</v>
      </c>
      <c r="C49" s="95">
        <f>'DOE25'!F50</f>
        <v>827440.76</v>
      </c>
      <c r="D49" s="24" t="s">
        <v>288</v>
      </c>
      <c r="E49" s="24" t="s">
        <v>288</v>
      </c>
      <c r="F49" s="24" t="s">
        <v>288</v>
      </c>
      <c r="G49" s="24" t="s">
        <v>288</v>
      </c>
      <c r="H49" s="124"/>
      <c r="I49" s="124"/>
    </row>
    <row r="50" spans="1:9" ht="12.75" thickTop="1" thickBot="1" x14ac:dyDescent="0.25">
      <c r="A50" s="38" t="s">
        <v>884</v>
      </c>
      <c r="B50" s="48"/>
      <c r="C50" s="41">
        <f>SUM(C34:C49)</f>
        <v>1867609.76</v>
      </c>
      <c r="D50" s="41">
        <f>SUM(D34:D49)</f>
        <v>116929.9</v>
      </c>
      <c r="E50" s="41">
        <f>SUM(E34:E49)</f>
        <v>377005.23</v>
      </c>
      <c r="F50" s="41">
        <f>SUM(F34:F49)</f>
        <v>6926287.4500000002</v>
      </c>
      <c r="G50" s="41">
        <f>SUM(G34:G49)</f>
        <v>738265.12</v>
      </c>
      <c r="H50" s="124"/>
      <c r="I50" s="124"/>
    </row>
    <row r="51" spans="1:9" ht="12" thickTop="1" x14ac:dyDescent="0.2">
      <c r="A51" s="38" t="s">
        <v>885</v>
      </c>
      <c r="B51" s="2"/>
      <c r="C51" s="41">
        <f>C50+C31</f>
        <v>3908144.0700000003</v>
      </c>
      <c r="D51" s="41">
        <f>D50+D31</f>
        <v>150474.62</v>
      </c>
      <c r="E51" s="41">
        <f>E50+E31</f>
        <v>459882.47</v>
      </c>
      <c r="F51" s="41">
        <f>F50+F31</f>
        <v>7076052.5300000003</v>
      </c>
      <c r="G51" s="41">
        <f>G50+G31</f>
        <v>738265.12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35048956</v>
      </c>
      <c r="D56" s="95">
        <f>'DOE25'!G60</f>
        <v>0</v>
      </c>
      <c r="E56" s="95">
        <f>'DOE25'!H60</f>
        <v>0</v>
      </c>
      <c r="F56" s="95">
        <f>'DOE25'!I60</f>
        <v>0</v>
      </c>
      <c r="G56" s="95">
        <f>'DOE25'!J60</f>
        <v>0</v>
      </c>
      <c r="H56"/>
      <c r="I56"/>
    </row>
    <row r="57" spans="1:9" x14ac:dyDescent="0.2">
      <c r="A57" s="1" t="s">
        <v>164</v>
      </c>
      <c r="B57" s="6" t="s">
        <v>165</v>
      </c>
      <c r="C57" s="95">
        <f>'DOE25'!F79</f>
        <v>167701.49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79388.679999999993</v>
      </c>
      <c r="D59" s="95">
        <f>'DOE25'!G96</f>
        <v>1436.16</v>
      </c>
      <c r="E59" s="95">
        <f>'DOE25'!H96</f>
        <v>3897.57</v>
      </c>
      <c r="F59" s="95">
        <f>'DOE25'!I96</f>
        <v>0</v>
      </c>
      <c r="G59" s="95">
        <f>'DOE25'!J96</f>
        <v>15457.07</v>
      </c>
      <c r="H59"/>
      <c r="I59"/>
    </row>
    <row r="60" spans="1:9" x14ac:dyDescent="0.2">
      <c r="A60" s="1" t="s">
        <v>170</v>
      </c>
      <c r="B60" s="118" t="s">
        <v>171</v>
      </c>
      <c r="C60" s="24" t="s">
        <v>288</v>
      </c>
      <c r="D60" s="95">
        <f>'DOE25'!G97</f>
        <v>800598.84</v>
      </c>
      <c r="E60" s="24" t="s">
        <v>288</v>
      </c>
      <c r="F60" s="24" t="s">
        <v>288</v>
      </c>
      <c r="G60" s="24" t="s">
        <v>288</v>
      </c>
      <c r="H60"/>
      <c r="I60"/>
    </row>
    <row r="61" spans="1:9" ht="12" thickBot="1" x14ac:dyDescent="0.25">
      <c r="A61" s="1" t="s">
        <v>172</v>
      </c>
      <c r="B61" s="118" t="s">
        <v>173</v>
      </c>
      <c r="C61" s="95">
        <f>SUM('DOE25'!F98:F110)</f>
        <v>457341.67</v>
      </c>
      <c r="D61" s="95">
        <f>SUM('DOE25'!G98:G110)</f>
        <v>19458.72</v>
      </c>
      <c r="E61" s="95">
        <f>SUM('DOE25'!H98:H110)</f>
        <v>182313.63</v>
      </c>
      <c r="F61" s="95">
        <f>SUM('DOE25'!I98:I110)</f>
        <v>0</v>
      </c>
      <c r="G61" s="95">
        <f>SUM('DOE25'!J98:J110)</f>
        <v>121827.37</v>
      </c>
      <c r="H61"/>
      <c r="I61"/>
    </row>
    <row r="62" spans="1:9" ht="12.75" thickTop="1" thickBot="1" x14ac:dyDescent="0.25">
      <c r="A62" s="29" t="s">
        <v>174</v>
      </c>
      <c r="B62" s="6"/>
      <c r="C62" s="130">
        <f>SUM(C57:C61)</f>
        <v>704431.84</v>
      </c>
      <c r="D62" s="130">
        <f>SUM(D57:D61)</f>
        <v>821493.72</v>
      </c>
      <c r="E62" s="130">
        <f>SUM(E57:E61)</f>
        <v>186211.20000000001</v>
      </c>
      <c r="F62" s="130">
        <f>SUM(F57:F61)</f>
        <v>0</v>
      </c>
      <c r="G62" s="130">
        <f>SUM(G57:G61)</f>
        <v>137284.44</v>
      </c>
      <c r="H62"/>
      <c r="I62"/>
    </row>
    <row r="63" spans="1:9" ht="12" thickTop="1" x14ac:dyDescent="0.2">
      <c r="A63" s="29" t="s">
        <v>175</v>
      </c>
      <c r="B63" s="6"/>
      <c r="C63" s="22">
        <f>C56+C62</f>
        <v>35753387.840000004</v>
      </c>
      <c r="D63" s="22">
        <f>D56+D62</f>
        <v>821493.72</v>
      </c>
      <c r="E63" s="22">
        <f>E56+E62</f>
        <v>186211.20000000001</v>
      </c>
      <c r="F63" s="22">
        <f>F56+F62</f>
        <v>0</v>
      </c>
      <c r="G63" s="22">
        <f>G56+G62</f>
        <v>137284.44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7575891.3499999996</v>
      </c>
      <c r="D66" s="24" t="s">
        <v>288</v>
      </c>
      <c r="E66" s="24" t="s">
        <v>288</v>
      </c>
      <c r="F66" s="24" t="s">
        <v>288</v>
      </c>
      <c r="G66" s="24" t="s">
        <v>288</v>
      </c>
      <c r="H66"/>
      <c r="I66"/>
    </row>
    <row r="67" spans="1:9" x14ac:dyDescent="0.2">
      <c r="A67" s="1" t="s">
        <v>770</v>
      </c>
      <c r="B67" s="6">
        <v>3112</v>
      </c>
      <c r="C67" s="95">
        <f>'DOE25'!F118</f>
        <v>6325203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16794.400000000001</v>
      </c>
      <c r="D69" s="95">
        <f>'DOE25'!G120</f>
        <v>0</v>
      </c>
      <c r="E69" s="95">
        <f>'DOE25'!H120</f>
        <v>0</v>
      </c>
      <c r="F69" s="95">
        <f>'DOE25'!I120</f>
        <v>0</v>
      </c>
      <c r="G69" s="95">
        <f>'DOE25'!J120</f>
        <v>0</v>
      </c>
      <c r="H69"/>
      <c r="I69"/>
    </row>
    <row r="70" spans="1:9" ht="12" thickTop="1" x14ac:dyDescent="0.2">
      <c r="A70" s="29" t="s">
        <v>252</v>
      </c>
      <c r="B70" s="2"/>
      <c r="C70" s="139">
        <f>SUM(C66:C69)</f>
        <v>13917888.75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278631.90000000002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443772.17</v>
      </c>
      <c r="D75" s="24" t="s">
        <v>288</v>
      </c>
      <c r="E75" s="24" t="s">
        <v>288</v>
      </c>
      <c r="F75" s="24" t="s">
        <v>288</v>
      </c>
      <c r="G75" s="24" t="s">
        <v>288</v>
      </c>
      <c r="H75"/>
      <c r="I75"/>
    </row>
    <row r="76" spans="1:9" x14ac:dyDescent="0.2">
      <c r="A76" s="1" t="s">
        <v>257</v>
      </c>
      <c r="B76" s="6" t="s">
        <v>179</v>
      </c>
      <c r="C76" s="95">
        <f>SUM('DOE25'!F127:F130)</f>
        <v>126895.97</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18679.72</v>
      </c>
      <c r="E77" s="95">
        <f>SUM('DOE25'!H131:H135)</f>
        <v>0</v>
      </c>
      <c r="F77" s="95">
        <f>SUM('DOE25'!I131:I135)</f>
        <v>0</v>
      </c>
      <c r="G77" s="95">
        <f>SUM('DOE25'!J131:J135)</f>
        <v>0</v>
      </c>
      <c r="H77"/>
      <c r="I77"/>
    </row>
    <row r="78" spans="1:9" ht="12.75" thickTop="1" thickBot="1" x14ac:dyDescent="0.25">
      <c r="A78" s="29" t="s">
        <v>259</v>
      </c>
      <c r="B78" s="6"/>
      <c r="C78" s="130">
        <f>SUM(C72:C77)</f>
        <v>849300.04</v>
      </c>
      <c r="D78" s="130">
        <f>SUM(D72:D77)</f>
        <v>18679.72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14767188.789999999</v>
      </c>
      <c r="D81" s="130">
        <f>SUM(D79:D80)+D78+D70</f>
        <v>18679.72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240426.28</v>
      </c>
      <c r="D88" s="95">
        <f>SUM('DOE25'!G153:G161)</f>
        <v>408172.54</v>
      </c>
      <c r="E88" s="95">
        <f>SUM('DOE25'!H153:H161)</f>
        <v>1505242.98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240426.28</v>
      </c>
      <c r="D91" s="131">
        <f>SUM(D85:D90)</f>
        <v>408172.54</v>
      </c>
      <c r="E91" s="131">
        <f>SUM(E85:E90)</f>
        <v>1505242.98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8262500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100000</v>
      </c>
    </row>
    <row r="97" spans="1:7" x14ac:dyDescent="0.2">
      <c r="A97" t="s">
        <v>754</v>
      </c>
      <c r="B97" s="32" t="s">
        <v>188</v>
      </c>
      <c r="C97" s="95">
        <f>SUM('DOE25'!F180:F181)</f>
        <v>61508.36</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61508.36</v>
      </c>
      <c r="D103" s="86">
        <f>SUM(D93:D102)</f>
        <v>0</v>
      </c>
      <c r="E103" s="86">
        <f>SUM(E93:E102)</f>
        <v>0</v>
      </c>
      <c r="F103" s="86">
        <f>SUM(F93:F102)</f>
        <v>8262500</v>
      </c>
      <c r="G103" s="86">
        <f>SUM(G93:G102)</f>
        <v>100000</v>
      </c>
    </row>
    <row r="104" spans="1:7" ht="12.75" thickTop="1" thickBot="1" x14ac:dyDescent="0.25">
      <c r="A104" s="33" t="s">
        <v>761</v>
      </c>
      <c r="C104" s="86">
        <f>C63+C81+C91+C103</f>
        <v>50822511.270000003</v>
      </c>
      <c r="D104" s="86">
        <f>D63+D81+D91+D103</f>
        <v>1248345.98</v>
      </c>
      <c r="E104" s="86">
        <f>E63+E81+E91+E103</f>
        <v>1691454.18</v>
      </c>
      <c r="F104" s="86">
        <f>F63+F81+F91+F103</f>
        <v>8262500</v>
      </c>
      <c r="G104" s="86">
        <f>G63+G81+G103</f>
        <v>237284.44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19225187.210000001</v>
      </c>
      <c r="D109" s="24" t="s">
        <v>288</v>
      </c>
      <c r="E109" s="95">
        <f>('DOE25'!L276)+('DOE25'!L295)+('DOE25'!L314)</f>
        <v>461547.01999999996</v>
      </c>
      <c r="F109" s="24" t="s">
        <v>288</v>
      </c>
      <c r="G109" s="24" t="s">
        <v>288</v>
      </c>
    </row>
    <row r="110" spans="1:7" x14ac:dyDescent="0.2">
      <c r="A110" t="s">
        <v>198</v>
      </c>
      <c r="B110" s="32" t="s">
        <v>199</v>
      </c>
      <c r="C110" s="95">
        <f>('DOE25'!L198)+('DOE25'!L216)+('DOE25'!L234)</f>
        <v>7430698.620000001</v>
      </c>
      <c r="D110" s="24" t="s">
        <v>288</v>
      </c>
      <c r="E110" s="95">
        <f>('DOE25'!L277)+('DOE25'!L296)+('DOE25'!L315)</f>
        <v>777688.55</v>
      </c>
      <c r="F110" s="24" t="s">
        <v>288</v>
      </c>
      <c r="G110" s="24" t="s">
        <v>288</v>
      </c>
    </row>
    <row r="111" spans="1:7" x14ac:dyDescent="0.2">
      <c r="A111" t="s">
        <v>200</v>
      </c>
      <c r="B111" s="32" t="s">
        <v>165</v>
      </c>
      <c r="C111" s="95">
        <f>('DOE25'!L199)+('DOE25'!L217)+('DOE25'!L235)</f>
        <v>1817570.03</v>
      </c>
      <c r="D111" s="24" t="s">
        <v>288</v>
      </c>
      <c r="E111" s="95">
        <f>('DOE25'!L278)+('DOE25'!L297)+('DOE25'!L316)</f>
        <v>283052.74</v>
      </c>
      <c r="F111" s="24" t="s">
        <v>288</v>
      </c>
      <c r="G111" s="24" t="s">
        <v>288</v>
      </c>
    </row>
    <row r="112" spans="1:7" x14ac:dyDescent="0.2">
      <c r="A112" t="s">
        <v>201</v>
      </c>
      <c r="B112" s="32" t="s">
        <v>167</v>
      </c>
      <c r="C112" s="95">
        <f>('DOE25'!L200)+('DOE25'!L218)+('DOE25'!L236)</f>
        <v>694752.91000000015</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83968.85</v>
      </c>
      <c r="F114" s="24" t="s">
        <v>288</v>
      </c>
      <c r="G114" s="24" t="s">
        <v>288</v>
      </c>
    </row>
    <row r="115" spans="1:7" ht="12.75" thickTop="1" thickBot="1" x14ac:dyDescent="0.25">
      <c r="A115" s="33" t="s">
        <v>205</v>
      </c>
      <c r="C115" s="86">
        <f>SUM(C109:C114)</f>
        <v>29168208.770000003</v>
      </c>
      <c r="D115" s="86">
        <f>SUM(D109:D114)</f>
        <v>0</v>
      </c>
      <c r="E115" s="86">
        <f>SUM(E109:E114)</f>
        <v>1606257.1600000001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4622786.03</v>
      </c>
      <c r="D118" s="24" t="s">
        <v>288</v>
      </c>
      <c r="E118" s="95">
        <f>+('DOE25'!L281)+('DOE25'!L300)+('DOE25'!L319)</f>
        <v>18954.02</v>
      </c>
      <c r="F118" s="24" t="s">
        <v>288</v>
      </c>
      <c r="G118" s="24" t="s">
        <v>288</v>
      </c>
    </row>
    <row r="119" spans="1:7" x14ac:dyDescent="0.2">
      <c r="A119" t="s">
        <v>208</v>
      </c>
      <c r="B119" s="32" t="s">
        <v>209</v>
      </c>
      <c r="C119" s="95">
        <f>('DOE25'!L203)+('DOE25'!L221)+('DOE25'!L239)</f>
        <v>1578036.33</v>
      </c>
      <c r="D119" s="24" t="s">
        <v>288</v>
      </c>
      <c r="E119" s="95">
        <f>+('DOE25'!L282)+('DOE25'!L301)+('DOE25'!L320)</f>
        <v>41373.54</v>
      </c>
      <c r="F119" s="24" t="s">
        <v>288</v>
      </c>
      <c r="G119" s="24" t="s">
        <v>288</v>
      </c>
    </row>
    <row r="120" spans="1:7" x14ac:dyDescent="0.2">
      <c r="A120" t="s">
        <v>210</v>
      </c>
      <c r="B120" s="32" t="s">
        <v>211</v>
      </c>
      <c r="C120" s="95">
        <f>('DOE25'!L204)+('DOE25'!L222)+('DOE25'!L240)</f>
        <v>845029.24</v>
      </c>
      <c r="D120" s="24" t="s">
        <v>288</v>
      </c>
      <c r="E120" s="95">
        <f>+('DOE25'!L283)+('DOE25'!L302)+('DOE25'!L321)</f>
        <v>0</v>
      </c>
      <c r="F120" s="24" t="s">
        <v>288</v>
      </c>
      <c r="G120" s="24" t="s">
        <v>288</v>
      </c>
    </row>
    <row r="121" spans="1:7" x14ac:dyDescent="0.2">
      <c r="A121" t="s">
        <v>212</v>
      </c>
      <c r="B121" s="32" t="s">
        <v>213</v>
      </c>
      <c r="C121" s="95">
        <f>('DOE25'!L205)+('DOE25'!L223)+('DOE25'!L241)</f>
        <v>3162640.6899999995</v>
      </c>
      <c r="D121" s="24" t="s">
        <v>288</v>
      </c>
      <c r="E121" s="95">
        <f>+('DOE25'!L284)+('DOE25'!L303)+('DOE25'!L322)</f>
        <v>0</v>
      </c>
      <c r="F121" s="24" t="s">
        <v>288</v>
      </c>
      <c r="G121" s="24" t="s">
        <v>288</v>
      </c>
    </row>
    <row r="122" spans="1:7" x14ac:dyDescent="0.2">
      <c r="A122" t="s">
        <v>214</v>
      </c>
      <c r="B122" s="32" t="s">
        <v>215</v>
      </c>
      <c r="C122" s="95">
        <f>('DOE25'!L206)+('DOE25'!L224)+('DOE25'!L242)</f>
        <v>972191.26</v>
      </c>
      <c r="D122" s="24" t="s">
        <v>288</v>
      </c>
      <c r="E122" s="95">
        <f>+('DOE25'!L285)+('DOE25'!L304)+('DOE25'!L323)</f>
        <v>0</v>
      </c>
      <c r="F122" s="24" t="s">
        <v>288</v>
      </c>
      <c r="G122" s="24" t="s">
        <v>288</v>
      </c>
    </row>
    <row r="123" spans="1:7" x14ac:dyDescent="0.2">
      <c r="A123" t="s">
        <v>216</v>
      </c>
      <c r="B123" s="32" t="s">
        <v>217</v>
      </c>
      <c r="C123" s="95">
        <f>('DOE25'!L207)+('DOE25'!L225)+('DOE25'!L243)</f>
        <v>5535204.6900000004</v>
      </c>
      <c r="D123" s="24" t="s">
        <v>288</v>
      </c>
      <c r="E123" s="95">
        <f>+('DOE25'!L286)+('DOE25'!L305)+('DOE25'!L324)</f>
        <v>0</v>
      </c>
      <c r="F123" s="24" t="s">
        <v>288</v>
      </c>
      <c r="G123" s="24" t="s">
        <v>288</v>
      </c>
    </row>
    <row r="124" spans="1:7" x14ac:dyDescent="0.2">
      <c r="A124" t="s">
        <v>218</v>
      </c>
      <c r="B124" s="32" t="s">
        <v>219</v>
      </c>
      <c r="C124" s="95">
        <f>('DOE25'!L208)+('DOE25'!L226)+('DOE25'!L244+'DOE25'!L254)</f>
        <v>2233958.2800000003</v>
      </c>
      <c r="D124" s="24" t="s">
        <v>288</v>
      </c>
      <c r="E124" s="95">
        <f>+('DOE25'!L287)+('DOE25'!L306)+('DOE25'!L325)</f>
        <v>0</v>
      </c>
      <c r="F124" s="24" t="s">
        <v>288</v>
      </c>
      <c r="G124" s="24" t="s">
        <v>288</v>
      </c>
    </row>
    <row r="125" spans="1:7" x14ac:dyDescent="0.2">
      <c r="A125" t="s">
        <v>220</v>
      </c>
      <c r="B125" s="32" t="s">
        <v>221</v>
      </c>
      <c r="C125" s="95">
        <f>('DOE25'!L209)+('DOE25'!L227)+('DOE25'!L245)</f>
        <v>459761.62000000005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1211894.0100000002</v>
      </c>
      <c r="E127" s="24" t="s">
        <v>288</v>
      </c>
      <c r="F127" s="24" t="s">
        <v>288</v>
      </c>
      <c r="G127" s="24" t="s">
        <v>288</v>
      </c>
    </row>
    <row r="128" spans="1:7" ht="12.75" thickTop="1" thickBot="1" x14ac:dyDescent="0.25">
      <c r="A128" s="33" t="s">
        <v>226</v>
      </c>
      <c r="C128" s="86">
        <f>SUM(C118:C127)</f>
        <v>19409608.140000001</v>
      </c>
      <c r="D128" s="86">
        <f>SUM(D118:D127)</f>
        <v>1211894.0100000002</v>
      </c>
      <c r="E128" s="86">
        <f>SUM(E118:E127)</f>
        <v>60327.56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156481</v>
      </c>
      <c r="D130" s="24" t="s">
        <v>288</v>
      </c>
      <c r="E130" s="129">
        <f>'DOE25'!L336</f>
        <v>0</v>
      </c>
      <c r="F130" s="129">
        <f>SUM('DOE25'!L374:'DOE25'!L380)</f>
        <v>1336212.5499999998</v>
      </c>
      <c r="G130" s="24" t="s">
        <v>288</v>
      </c>
    </row>
    <row r="131" spans="1:7" x14ac:dyDescent="0.2">
      <c r="A131" t="s">
        <v>229</v>
      </c>
      <c r="B131" s="32">
        <v>5110</v>
      </c>
      <c r="C131" s="95">
        <f>'DOE25'!L260</f>
        <v>756000</v>
      </c>
      <c r="D131" s="24" t="s">
        <v>288</v>
      </c>
      <c r="E131" s="129">
        <f>'DOE25'!L341</f>
        <v>0</v>
      </c>
      <c r="F131" s="24" t="s">
        <v>288</v>
      </c>
      <c r="G131" s="24" t="s">
        <v>288</v>
      </c>
    </row>
    <row r="132" spans="1:7" x14ac:dyDescent="0.2">
      <c r="A132" t="s">
        <v>230</v>
      </c>
      <c r="B132" s="32">
        <v>5120</v>
      </c>
      <c r="C132" s="95">
        <f>'DOE25'!L261</f>
        <v>84908.55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227930.47</v>
      </c>
      <c r="D138" s="24" t="s">
        <v>288</v>
      </c>
      <c r="E138" s="24" t="s">
        <v>288</v>
      </c>
      <c r="F138" s="24" t="s">
        <v>288</v>
      </c>
      <c r="G138" s="24" t="s">
        <v>288</v>
      </c>
    </row>
    <row r="139" spans="1:7" x14ac:dyDescent="0.2">
      <c r="A139" t="s">
        <v>239</v>
      </c>
      <c r="B139" s="32">
        <v>5252</v>
      </c>
      <c r="C139" s="95">
        <f>'DOE25'!L401</f>
        <v>9353.9699999999993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-137284.44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1097389.55</v>
      </c>
      <c r="D144" s="141">
        <f>SUM(D130:D143)</f>
        <v>0</v>
      </c>
      <c r="E144" s="141">
        <f>SUM(E130:E143)</f>
        <v>0</v>
      </c>
      <c r="F144" s="141">
        <f>SUM(F130:F143)</f>
        <v>1336212.5499999998</v>
      </c>
      <c r="G144" s="141">
        <f>SUM(G130:G143)</f>
        <v>0</v>
      </c>
    </row>
    <row r="145" spans="1:9" ht="12.75" thickTop="1" thickBot="1" x14ac:dyDescent="0.25">
      <c r="A145" s="33" t="s">
        <v>244</v>
      </c>
      <c r="C145" s="86">
        <f>(C115+C128+C144)</f>
        <v>49675206.460000001</v>
      </c>
      <c r="D145" s="86">
        <f>(D115+D128+D144)</f>
        <v>1211894.0100000002</v>
      </c>
      <c r="E145" s="86">
        <f>(E115+E128+E144)</f>
        <v>1666584.7200000002</v>
      </c>
      <c r="F145" s="86">
        <f>(F115+F128+F144)</f>
        <v>1336212.5499999998</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12</v>
      </c>
      <c r="C151" s="153">
        <f>'DOE25'!G490</f>
        <v>20</v>
      </c>
      <c r="D151" s="153">
        <f>'DOE25'!H490</f>
        <v>0.5</v>
      </c>
      <c r="E151" s="153">
        <f>'DOE25'!I490</f>
        <v>0</v>
      </c>
      <c r="F151" s="153">
        <f>'DOE25'!J490</f>
        <v>0</v>
      </c>
      <c r="G151" s="24" t="s">
        <v>288</v>
      </c>
    </row>
    <row r="152" spans="1:9" x14ac:dyDescent="0.2">
      <c r="A152" s="136" t="s">
        <v>28</v>
      </c>
      <c r="B152" s="152" t="str">
        <f>'DOE25'!F491</f>
        <v>8/09</v>
      </c>
      <c r="C152" s="152" t="str">
        <f>'DOE25'!G491</f>
        <v>2/19</v>
      </c>
      <c r="D152" s="152" t="str">
        <f>'DOE25'!H491</f>
        <v>9/18</v>
      </c>
      <c r="E152" s="152">
        <f>'DOE25'!I491</f>
        <v>0</v>
      </c>
      <c r="F152" s="152">
        <f>'DOE25'!J491</f>
        <v>0</v>
      </c>
      <c r="G152" s="24" t="s">
        <v>288</v>
      </c>
    </row>
    <row r="153" spans="1:9" x14ac:dyDescent="0.2">
      <c r="A153" s="136" t="s">
        <v>29</v>
      </c>
      <c r="B153" s="152" t="str">
        <f>'DOE25'!F492</f>
        <v>6/21</v>
      </c>
      <c r="C153" s="152" t="str">
        <f>'DOE25'!G492</f>
        <v>2/39</v>
      </c>
      <c r="D153" s="152" t="str">
        <f>'DOE25'!H492</f>
        <v>2/19</v>
      </c>
      <c r="E153" s="152">
        <f>'DOE25'!I492</f>
        <v>0</v>
      </c>
      <c r="F153" s="152">
        <f>'DOE25'!J492</f>
        <v>0</v>
      </c>
      <c r="G153" s="24" t="s">
        <v>288</v>
      </c>
    </row>
    <row r="154" spans="1:9" x14ac:dyDescent="0.2">
      <c r="A154" s="136" t="s">
        <v>30</v>
      </c>
      <c r="B154" s="137">
        <f>'DOE25'!F493</f>
        <v>8220000</v>
      </c>
      <c r="C154" s="137">
        <f>'DOE25'!G493</f>
        <v>7685800</v>
      </c>
      <c r="D154" s="137">
        <f>'DOE25'!H493</f>
        <v>1500000</v>
      </c>
      <c r="E154" s="137">
        <f>'DOE25'!I493</f>
        <v>0</v>
      </c>
      <c r="F154" s="137">
        <f>'DOE25'!J493</f>
        <v>0</v>
      </c>
      <c r="G154" s="24" t="s">
        <v>288</v>
      </c>
    </row>
    <row r="155" spans="1:9" x14ac:dyDescent="0.2">
      <c r="A155" s="136" t="s">
        <v>31</v>
      </c>
      <c r="B155" s="137">
        <f>'DOE25'!F494</f>
        <v>2.7</v>
      </c>
      <c r="C155" s="137">
        <f>'DOE25'!G494</f>
        <v>5.0999999999999996</v>
      </c>
      <c r="D155" s="137">
        <f>'DOE25'!H494</f>
        <v>2.39</v>
      </c>
      <c r="E155" s="137">
        <f>'DOE25'!I494</f>
        <v>0</v>
      </c>
      <c r="F155" s="137">
        <f>'DOE25'!J494</f>
        <v>0</v>
      </c>
      <c r="G155" s="24" t="s">
        <v>288</v>
      </c>
    </row>
    <row r="156" spans="1:9" x14ac:dyDescent="0.2">
      <c r="A156" s="22" t="s">
        <v>32</v>
      </c>
      <c r="B156" s="137">
        <f>'DOE25'!F495</f>
        <v>2200000</v>
      </c>
      <c r="C156" s="137">
        <f>'DOE25'!G495</f>
        <v>0</v>
      </c>
      <c r="D156" s="137">
        <f>'DOE25'!H495</f>
        <v>0</v>
      </c>
      <c r="E156" s="137">
        <f>'DOE25'!I495</f>
        <v>0</v>
      </c>
      <c r="F156" s="137">
        <f>'DOE25'!J495</f>
        <v>0</v>
      </c>
      <c r="G156" s="138">
        <f>SUM(B156:F156)</f>
        <v>2200000</v>
      </c>
    </row>
    <row r="157" spans="1:9" x14ac:dyDescent="0.2">
      <c r="A157" s="22" t="s">
        <v>33</v>
      </c>
      <c r="B157" s="137">
        <f>'DOE25'!F496</f>
        <v>0</v>
      </c>
      <c r="C157" s="137">
        <f>'DOE25'!G496</f>
        <v>7685800</v>
      </c>
      <c r="D157" s="137">
        <f>'DOE25'!H496</f>
        <v>1500000</v>
      </c>
      <c r="E157" s="137">
        <f>'DOE25'!I496</f>
        <v>0</v>
      </c>
      <c r="F157" s="137">
        <f>'DOE25'!J496</f>
        <v>0</v>
      </c>
      <c r="G157" s="138">
        <f t="shared" ref="G157:G164" si="0">SUM(B157:F157)</f>
        <v>9185800</v>
      </c>
    </row>
    <row r="158" spans="1:9" x14ac:dyDescent="0.2">
      <c r="A158" s="22" t="s">
        <v>34</v>
      </c>
      <c r="B158" s="137">
        <f>'DOE25'!F497</f>
        <v>755000</v>
      </c>
      <c r="C158" s="137">
        <f>'DOE25'!G497</f>
        <v>0</v>
      </c>
      <c r="D158" s="137">
        <f>'DOE25'!H497</f>
        <v>1500000</v>
      </c>
      <c r="E158" s="137">
        <f>'DOE25'!I497</f>
        <v>0</v>
      </c>
      <c r="F158" s="137">
        <f>'DOE25'!J497</f>
        <v>0</v>
      </c>
      <c r="G158" s="138">
        <f t="shared" si="0"/>
        <v>2255000</v>
      </c>
    </row>
    <row r="159" spans="1:9" x14ac:dyDescent="0.2">
      <c r="A159" s="22" t="s">
        <v>35</v>
      </c>
      <c r="B159" s="137">
        <f>'DOE25'!F498</f>
        <v>1445000</v>
      </c>
      <c r="C159" s="137">
        <f>'DOE25'!G498</f>
        <v>7685800</v>
      </c>
      <c r="D159" s="137">
        <f>'DOE25'!H498</f>
        <v>0</v>
      </c>
      <c r="E159" s="137">
        <f>'DOE25'!I498</f>
        <v>0</v>
      </c>
      <c r="F159" s="137">
        <f>'DOE25'!J498</f>
        <v>0</v>
      </c>
      <c r="G159" s="138">
        <f t="shared" si="0"/>
        <v>9130800</v>
      </c>
    </row>
    <row r="160" spans="1:9" x14ac:dyDescent="0.2">
      <c r="A160" s="22" t="s">
        <v>36</v>
      </c>
      <c r="B160" s="137">
        <f>'DOE25'!F499</f>
        <v>63238</v>
      </c>
      <c r="C160" s="137">
        <f>'DOE25'!G499</f>
        <v>3135952.19</v>
      </c>
      <c r="D160" s="137">
        <f>'DOE25'!H499</f>
        <v>0</v>
      </c>
      <c r="E160" s="137">
        <f>'DOE25'!I499</f>
        <v>0</v>
      </c>
      <c r="F160" s="137">
        <f>'DOE25'!J499</f>
        <v>0</v>
      </c>
      <c r="G160" s="138">
        <f t="shared" si="0"/>
        <v>3199190.19</v>
      </c>
    </row>
    <row r="161" spans="1:7" x14ac:dyDescent="0.2">
      <c r="A161" s="22" t="s">
        <v>37</v>
      </c>
      <c r="B161" s="137">
        <f>'DOE25'!F500</f>
        <v>1508238</v>
      </c>
      <c r="C161" s="137">
        <f>'DOE25'!G500</f>
        <v>10821752.189999999</v>
      </c>
      <c r="D161" s="137">
        <f>'DOE25'!H500</f>
        <v>0</v>
      </c>
      <c r="E161" s="137">
        <f>'DOE25'!I500</f>
        <v>0</v>
      </c>
      <c r="F161" s="137">
        <f>'DOE25'!J500</f>
        <v>0</v>
      </c>
      <c r="G161" s="138">
        <f t="shared" si="0"/>
        <v>12329990.189999999</v>
      </c>
    </row>
    <row r="162" spans="1:7" x14ac:dyDescent="0.2">
      <c r="A162" s="22" t="s">
        <v>38</v>
      </c>
      <c r="B162" s="137">
        <f>'DOE25'!F501</f>
        <v>730000</v>
      </c>
      <c r="C162" s="137">
        <f>'DOE25'!G501</f>
        <v>382800</v>
      </c>
      <c r="D162" s="137">
        <f>'DOE25'!H501</f>
        <v>0</v>
      </c>
      <c r="E162" s="137">
        <f>'DOE25'!I501</f>
        <v>0</v>
      </c>
      <c r="F162" s="137">
        <f>'DOE25'!J501</f>
        <v>0</v>
      </c>
      <c r="G162" s="138">
        <f t="shared" si="0"/>
        <v>1112800</v>
      </c>
    </row>
    <row r="163" spans="1:7" x14ac:dyDescent="0.2">
      <c r="A163" s="22" t="s">
        <v>39</v>
      </c>
      <c r="B163" s="137">
        <f>'DOE25'!F502</f>
        <v>46113</v>
      </c>
      <c r="C163" s="137">
        <f>'DOE25'!G502</f>
        <v>329962.55</v>
      </c>
      <c r="D163" s="137">
        <f>'DOE25'!H502</f>
        <v>0</v>
      </c>
      <c r="E163" s="137">
        <f>'DOE25'!I502</f>
        <v>0</v>
      </c>
      <c r="F163" s="137">
        <f>'DOE25'!J502</f>
        <v>0</v>
      </c>
      <c r="G163" s="138">
        <f t="shared" si="0"/>
        <v>376075.55</v>
      </c>
    </row>
    <row r="164" spans="1:7" x14ac:dyDescent="0.2">
      <c r="A164" s="22" t="s">
        <v>246</v>
      </c>
      <c r="B164" s="137">
        <f>'DOE25'!F503</f>
        <v>776113</v>
      </c>
      <c r="C164" s="137">
        <f>'DOE25'!G503</f>
        <v>712762.55</v>
      </c>
      <c r="D164" s="137">
        <f>'DOE25'!H503</f>
        <v>0</v>
      </c>
      <c r="E164" s="137">
        <f>'DOE25'!I503</f>
        <v>0</v>
      </c>
      <c r="F164" s="137">
        <f>'DOE25'!J503</f>
        <v>0</v>
      </c>
      <c r="G164" s="138">
        <f t="shared" si="0"/>
        <v>1488875.55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4" sqref="F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HUDSON SCHOOL DISTRICT-SAU81</v>
      </c>
    </row>
    <row r="3" spans="1:4" x14ac:dyDescent="0.2">
      <c r="B3" s="188" t="s">
        <v>1602</v>
      </c>
    </row>
    <row r="4" spans="1:4" x14ac:dyDescent="0.2">
      <c r="B4" t="s">
        <v>61</v>
      </c>
      <c r="C4" s="179">
        <f>IF('DOE25'!F665+'DOE25'!F670=0,0,ROUND('DOE25'!F672,0))</f>
        <v>14312</v>
      </c>
    </row>
    <row r="5" spans="1:4" x14ac:dyDescent="0.2">
      <c r="B5" t="s">
        <v>700</v>
      </c>
      <c r="C5" s="179">
        <f>IF('DOE25'!G665+'DOE25'!G670=0,0,ROUND('DOE25'!G672,0))</f>
        <v>14064</v>
      </c>
    </row>
    <row r="6" spans="1:4" x14ac:dyDescent="0.2">
      <c r="B6" t="s">
        <v>62</v>
      </c>
      <c r="C6" s="179">
        <f>IF('DOE25'!H665+'DOE25'!H670=0,0,ROUND('DOE25'!H672,0))</f>
        <v>14948</v>
      </c>
    </row>
    <row r="7" spans="1:4" x14ac:dyDescent="0.2">
      <c r="B7" t="s">
        <v>701</v>
      </c>
      <c r="C7" s="179">
        <f>IF('DOE25'!I665+'DOE25'!I670=0,0,ROUND('DOE25'!I672,0))</f>
        <v>14478</v>
      </c>
    </row>
    <row r="9" spans="1:4" x14ac:dyDescent="0.2">
      <c r="A9" s="187" t="s">
        <v>94</v>
      </c>
      <c r="B9" s="188" t="s">
        <v>1603</v>
      </c>
      <c r="C9" s="181" t="s">
        <v>720</v>
      </c>
      <c r="D9" s="181" t="s">
        <v>721</v>
      </c>
    </row>
    <row r="10" spans="1:4" x14ac:dyDescent="0.2">
      <c r="A10">
        <v>1100</v>
      </c>
      <c r="B10" t="s">
        <v>702</v>
      </c>
      <c r="C10" s="179">
        <f>ROUND('DOE25'!L197+'DOE25'!L215+'DOE25'!L233+'DOE25'!L276+'DOE25'!L295+'DOE25'!L314,0)</f>
        <v>19686734</v>
      </c>
      <c r="D10" s="182">
        <f>ROUND((C10/$C$28)*100,1)</f>
        <v>38.799999999999997</v>
      </c>
    </row>
    <row r="11" spans="1:4" x14ac:dyDescent="0.2">
      <c r="A11">
        <v>1200</v>
      </c>
      <c r="B11" t="s">
        <v>703</v>
      </c>
      <c r="C11" s="179">
        <f>ROUND('DOE25'!L198+'DOE25'!L216+'DOE25'!L234+'DOE25'!L277+'DOE25'!L296+'DOE25'!L315,0)</f>
        <v>8208387</v>
      </c>
      <c r="D11" s="182">
        <f>ROUND((C11/$C$28)*100,1)</f>
        <v>16.2</v>
      </c>
    </row>
    <row r="12" spans="1:4" x14ac:dyDescent="0.2">
      <c r="A12">
        <v>1300</v>
      </c>
      <c r="B12" t="s">
        <v>704</v>
      </c>
      <c r="C12" s="179">
        <f>ROUND('DOE25'!L199+'DOE25'!L217+'DOE25'!L235+'DOE25'!L278+'DOE25'!L297+'DOE25'!L316,0)</f>
        <v>2100623</v>
      </c>
      <c r="D12" s="182">
        <f>ROUND((C12/$C$28)*100,1)</f>
        <v>4.0999999999999996</v>
      </c>
    </row>
    <row r="13" spans="1:4" x14ac:dyDescent="0.2">
      <c r="A13">
        <v>1400</v>
      </c>
      <c r="B13" t="s">
        <v>705</v>
      </c>
      <c r="C13" s="179">
        <f>ROUND('DOE25'!L200+'DOE25'!L218+'DOE25'!L236+'DOE25'!L279+'DOE25'!L298+'DOE25'!L317,0)</f>
        <v>694753</v>
      </c>
      <c r="D13" s="182">
        <f>ROUND((C13/$C$28)*100,1)</f>
        <v>1.4</v>
      </c>
    </row>
    <row r="14" spans="1:4" x14ac:dyDescent="0.2">
      <c r="D14" s="182"/>
    </row>
    <row r="15" spans="1:4" x14ac:dyDescent="0.2">
      <c r="A15">
        <v>2100</v>
      </c>
      <c r="B15" t="s">
        <v>706</v>
      </c>
      <c r="C15" s="179">
        <f>ROUND('DOE25'!L202+'DOE25'!L220+'DOE25'!L238+'DOE25'!L281+'DOE25'!L300+'DOE25'!L319,0)</f>
        <v>4641740</v>
      </c>
      <c r="D15" s="182">
        <f t="shared" ref="D15:D27" si="0">ROUND((C15/$C$28)*100,1)</f>
        <v>9.1999999999999993</v>
      </c>
    </row>
    <row r="16" spans="1:4" x14ac:dyDescent="0.2">
      <c r="A16">
        <v>2200</v>
      </c>
      <c r="B16" t="s">
        <v>707</v>
      </c>
      <c r="C16" s="179">
        <f>ROUND('DOE25'!L203+'DOE25'!L221+'DOE25'!L239+'DOE25'!L282+'DOE25'!L301+'DOE25'!L320,0)</f>
        <v>1619410</v>
      </c>
      <c r="D16" s="182">
        <f t="shared" si="0"/>
        <v>3.2</v>
      </c>
    </row>
    <row r="17" spans="1:4" x14ac:dyDescent="0.2">
      <c r="A17" s="183" t="s">
        <v>723</v>
      </c>
      <c r="B17" t="s">
        <v>738</v>
      </c>
      <c r="C17" s="179">
        <f>ROUND('DOE25'!L204+'DOE25'!L209+'DOE25'!L222+'DOE25'!L227+'DOE25'!L240+'DOE25'!L245+'DOE25'!L283+'DOE25'!L288+'DOE25'!L302+'DOE25'!L307+'DOE25'!L321+'DOE25'!L326,0)</f>
        <v>1304791</v>
      </c>
      <c r="D17" s="182">
        <f t="shared" si="0"/>
        <v>2.6</v>
      </c>
    </row>
    <row r="18" spans="1:4" x14ac:dyDescent="0.2">
      <c r="A18">
        <v>2400</v>
      </c>
      <c r="B18" t="s">
        <v>711</v>
      </c>
      <c r="C18" s="179">
        <f>ROUND('DOE25'!L205+'DOE25'!L223+'DOE25'!L241+'DOE25'!L284+'DOE25'!L303+'DOE25'!L322,0)</f>
        <v>3162641</v>
      </c>
      <c r="D18" s="182">
        <f t="shared" si="0"/>
        <v>6.2</v>
      </c>
    </row>
    <row r="19" spans="1:4" x14ac:dyDescent="0.2">
      <c r="A19">
        <v>2500</v>
      </c>
      <c r="B19" t="s">
        <v>708</v>
      </c>
      <c r="C19" s="179">
        <f>ROUND('DOE25'!L206+'DOE25'!L224+'DOE25'!L242+'DOE25'!L285+'DOE25'!L304+'DOE25'!L323,0)</f>
        <v>972191</v>
      </c>
      <c r="D19" s="182">
        <f t="shared" si="0"/>
        <v>1.9</v>
      </c>
    </row>
    <row r="20" spans="1:4" x14ac:dyDescent="0.2">
      <c r="A20">
        <v>2600</v>
      </c>
      <c r="B20" t="s">
        <v>709</v>
      </c>
      <c r="C20" s="179">
        <f>ROUND('DOE25'!L207+'DOE25'!L225+'DOE25'!L243+'DOE25'!L286+'DOE25'!L305+'DOE25'!L324,0)</f>
        <v>5535205</v>
      </c>
      <c r="D20" s="182">
        <f t="shared" si="0"/>
        <v>10.9</v>
      </c>
    </row>
    <row r="21" spans="1:4" x14ac:dyDescent="0.2">
      <c r="A21">
        <v>2700</v>
      </c>
      <c r="B21" t="s">
        <v>710</v>
      </c>
      <c r="C21" s="179">
        <f>ROUND('DOE25'!L208+'DOE25'!L226+'DOE25'!L244+'DOE25'!L287+'DOE25'!L306+'DOE25'!L325,0)</f>
        <v>2233958</v>
      </c>
      <c r="D21" s="182">
        <f t="shared" si="0"/>
        <v>4.4000000000000004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83969</v>
      </c>
      <c r="D24" s="182">
        <f t="shared" si="0"/>
        <v>0.2</v>
      </c>
    </row>
    <row r="25" spans="1:4" x14ac:dyDescent="0.2">
      <c r="A25">
        <v>5120</v>
      </c>
      <c r="B25" t="s">
        <v>716</v>
      </c>
      <c r="C25" s="179">
        <f>ROUND('DOE25'!L261+'DOE25'!L342,0)</f>
        <v>84909</v>
      </c>
      <c r="D25" s="182">
        <f t="shared" si="0"/>
        <v>0.2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391836.44000000006</v>
      </c>
      <c r="D27" s="182">
        <f t="shared" si="0"/>
        <v>0.8</v>
      </c>
    </row>
    <row r="28" spans="1:4" x14ac:dyDescent="0.2">
      <c r="B28" s="187" t="s">
        <v>719</v>
      </c>
      <c r="C28" s="180">
        <f>SUM(C10:C27)</f>
        <v>50721147.439999998</v>
      </c>
      <c r="D28" s="184">
        <f>ROUND(SUM(D10:D27),0)</f>
        <v>100</v>
      </c>
    </row>
    <row r="29" spans="1:4" x14ac:dyDescent="0.2">
      <c r="A29">
        <v>4000</v>
      </c>
      <c r="B29" t="s">
        <v>724</v>
      </c>
      <c r="C29" s="179">
        <f>ROUND('DOE25'!L255+'DOE25'!L336+'DOE25'!L374+'DOE25'!L375+'DOE25'!L376+'DOE25'!L377+'DOE25'!L378+'DOE25'!L379+'DOE25'!L380,0)</f>
        <v>1492694</v>
      </c>
    </row>
    <row r="30" spans="1:4" x14ac:dyDescent="0.2">
      <c r="B30" s="187" t="s">
        <v>725</v>
      </c>
      <c r="C30" s="180">
        <f>SUM(C28:C29)</f>
        <v>52213841.439999998</v>
      </c>
    </row>
    <row r="31" spans="1:4" x14ac:dyDescent="0.2">
      <c r="B31" s="33"/>
      <c r="C31" s="180"/>
    </row>
    <row r="32" spans="1:4" x14ac:dyDescent="0.2">
      <c r="A32">
        <v>5100</v>
      </c>
      <c r="B32" s="33" t="s">
        <v>726</v>
      </c>
      <c r="C32" s="180">
        <f>ROUND('DOE25'!L260+'DOE25'!L341,0)</f>
        <v>756000</v>
      </c>
    </row>
    <row r="34" spans="1:4" x14ac:dyDescent="0.2">
      <c r="A34" s="187" t="s">
        <v>94</v>
      </c>
      <c r="B34" s="188" t="s">
        <v>1604</v>
      </c>
      <c r="C34" s="181" t="s">
        <v>720</v>
      </c>
      <c r="D34" s="181" t="s">
        <v>721</v>
      </c>
    </row>
    <row r="35" spans="1:4" x14ac:dyDescent="0.2">
      <c r="A35">
        <v>1100</v>
      </c>
      <c r="B35" s="185" t="s">
        <v>727</v>
      </c>
      <c r="C35" s="179">
        <f>ROUND('DOE25'!F60+'DOE25'!G60+'DOE25'!H60+'DOE25'!I60+'DOE25'!J60,0)</f>
        <v>35048956</v>
      </c>
      <c r="D35" s="182">
        <f t="shared" ref="D35:D40" si="1">ROUND((C35/$C$41)*100,1)</f>
        <v>65.400000000000006</v>
      </c>
    </row>
    <row r="36" spans="1:4" x14ac:dyDescent="0.2">
      <c r="B36" s="185" t="s">
        <v>739</v>
      </c>
      <c r="C36" s="179">
        <f>SUM('DOE25'!F112:J112)-SUM('DOE25'!G97:G110)+('DOE25'!F174+'DOE25'!F175+'DOE25'!I174+'DOE25'!I175)-C35</f>
        <v>1606063.6400000006</v>
      </c>
      <c r="D36" s="182">
        <f t="shared" si="1"/>
        <v>3</v>
      </c>
    </row>
    <row r="37" spans="1:4" x14ac:dyDescent="0.2">
      <c r="A37" s="183" t="s">
        <v>835</v>
      </c>
      <c r="B37" s="185" t="s">
        <v>728</v>
      </c>
      <c r="C37" s="179">
        <f>ROUND('DOE25'!F117+'DOE25'!F118,0)</f>
        <v>13901094</v>
      </c>
      <c r="D37" s="182">
        <f t="shared" si="1"/>
        <v>25.9</v>
      </c>
    </row>
    <row r="38" spans="1:4" x14ac:dyDescent="0.2">
      <c r="A38" s="183" t="s">
        <v>734</v>
      </c>
      <c r="B38" s="185" t="s">
        <v>729</v>
      </c>
      <c r="C38" s="179">
        <f>ROUND(SUM('DOE25'!F140:J140)-SUM('DOE25'!F117:F119),0)</f>
        <v>884774</v>
      </c>
      <c r="D38" s="182">
        <f t="shared" si="1"/>
        <v>1.7</v>
      </c>
    </row>
    <row r="39" spans="1:4" x14ac:dyDescent="0.2">
      <c r="A39">
        <v>4000</v>
      </c>
      <c r="B39" s="185" t="s">
        <v>730</v>
      </c>
      <c r="C39" s="179">
        <f>ROUND('DOE25'!F169+'DOE25'!G169+'DOE25'!H169+'DOE25'!I169,0)</f>
        <v>2153842</v>
      </c>
      <c r="D39" s="182">
        <f t="shared" si="1"/>
        <v>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53594729.640000001</v>
      </c>
      <c r="D41" s="184">
        <f>SUM(D35:D40)</f>
        <v>100.00000000000001</v>
      </c>
    </row>
    <row r="42" spans="1:4" x14ac:dyDescent="0.2">
      <c r="A42" s="183" t="s">
        <v>737</v>
      </c>
      <c r="B42" s="185" t="s">
        <v>733</v>
      </c>
      <c r="C42" s="179">
        <f>ROUND('DOE25'!F173+'DOE25'!I173+'DOE25'!F176+'DOE25'!I176,0)</f>
        <v>7685800</v>
      </c>
    </row>
  </sheetData>
  <sheetProtection password="930A" sheet="1" objects="1" scenarios="1"/>
  <mergeCells count="1">
    <mergeCell ref="A1:D1"/>
  </mergeCells>
  <phoneticPr fontId="0" type="noConversion"/>
  <printOptions horizontalCentered="1" gridLines="1" gridLinesSet="0"/>
  <pageMargins left="1.25" right="1.25" top="1" bottom="1" header="0.5" footer="0.5"/>
  <pageSetup orientation="landscape"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HUDSON SCHOOL DISTRICT-SAU81</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2019-09-17T14:48:12Z</cp:lastPrinted>
  <dcterms:created xsi:type="dcterms:W3CDTF">1997-12-04T19:04:30Z</dcterms:created>
  <dcterms:modified xsi:type="dcterms:W3CDTF">2019-11-22T15:54:21Z</dcterms:modified>
</cp:coreProperties>
</file>