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5" i="1" l="1"/>
  <c r="J243" i="1" l="1"/>
  <c r="D5" i="14"/>
  <c r="E37" i="14"/>
  <c r="E5" i="14"/>
  <c r="E6" i="14"/>
  <c r="H472" i="1"/>
  <c r="F472" i="1"/>
  <c r="H468" i="1"/>
  <c r="F468" i="1"/>
  <c r="J324" i="1"/>
  <c r="J286" i="1"/>
  <c r="J207" i="1"/>
  <c r="H24" i="1"/>
  <c r="F24" i="1"/>
  <c r="F22" i="1"/>
  <c r="H22" i="1"/>
  <c r="H13" i="1"/>
  <c r="F13" i="1"/>
  <c r="B8" i="14" l="1"/>
  <c r="J595" i="1" l="1"/>
  <c r="G14" i="1" l="1"/>
  <c r="G158" i="1" l="1"/>
  <c r="G97" i="1"/>
  <c r="F12"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C112" i="2" s="1"/>
  <c r="G6" i="13"/>
  <c r="H6" i="13"/>
  <c r="L202" i="1"/>
  <c r="L220" i="1"/>
  <c r="L238" i="1"/>
  <c r="G7" i="13"/>
  <c r="H7" i="13"/>
  <c r="L203" i="1"/>
  <c r="L221" i="1"/>
  <c r="L239" i="1"/>
  <c r="C119" i="2" s="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D19" i="13" s="1"/>
  <c r="G29" i="13"/>
  <c r="H29" i="13"/>
  <c r="L358" i="1"/>
  <c r="L359" i="1"/>
  <c r="L360" i="1"/>
  <c r="H661" i="1" s="1"/>
  <c r="I367" i="1"/>
  <c r="J290" i="1"/>
  <c r="J309" i="1"/>
  <c r="J328" i="1"/>
  <c r="K290" i="1"/>
  <c r="K309" i="1"/>
  <c r="K328" i="1"/>
  <c r="L276" i="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I25" i="13" s="1"/>
  <c r="L261" i="1"/>
  <c r="C132" i="2" s="1"/>
  <c r="L341" i="1"/>
  <c r="L342" i="1"/>
  <c r="L255" i="1"/>
  <c r="L336" i="1"/>
  <c r="E130" i="2" s="1"/>
  <c r="C11" i="13"/>
  <c r="C10" i="13"/>
  <c r="C9" i="13"/>
  <c r="L361" i="1"/>
  <c r="B4" i="12"/>
  <c r="B36" i="12"/>
  <c r="C36" i="12"/>
  <c r="B40" i="12"/>
  <c r="A40" i="12" s="1"/>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I147" i="1"/>
  <c r="I162" i="1"/>
  <c r="L250" i="1"/>
  <c r="C113" i="2" s="1"/>
  <c r="L332" i="1"/>
  <c r="L254" i="1"/>
  <c r="L268" i="1"/>
  <c r="C142" i="2" s="1"/>
  <c r="L269" i="1"/>
  <c r="L349" i="1"/>
  <c r="L350" i="1"/>
  <c r="E143" i="2" s="1"/>
  <c r="I665" i="1"/>
  <c r="I670" i="1"/>
  <c r="F661" i="1"/>
  <c r="G662" i="1"/>
  <c r="I669" i="1"/>
  <c r="C42" i="10"/>
  <c r="C32" i="10"/>
  <c r="L374" i="1"/>
  <c r="L375" i="1"/>
  <c r="L376" i="1"/>
  <c r="F130" i="2" s="1"/>
  <c r="L377" i="1"/>
  <c r="L378" i="1"/>
  <c r="L379" i="1"/>
  <c r="L380" i="1"/>
  <c r="B2" i="10"/>
  <c r="L344" i="1"/>
  <c r="L345" i="1"/>
  <c r="L346" i="1"/>
  <c r="E137" i="2" s="1"/>
  <c r="L347" i="1"/>
  <c r="K351" i="1"/>
  <c r="L521" i="1"/>
  <c r="F549" i="1" s="1"/>
  <c r="L522" i="1"/>
  <c r="F550" i="1" s="1"/>
  <c r="K550" i="1" s="1"/>
  <c r="L523" i="1"/>
  <c r="F551" i="1" s="1"/>
  <c r="L526" i="1"/>
  <c r="G549" i="1" s="1"/>
  <c r="L527" i="1"/>
  <c r="G550" i="1" s="1"/>
  <c r="L528" i="1"/>
  <c r="G551" i="1" s="1"/>
  <c r="L531" i="1"/>
  <c r="H549" i="1" s="1"/>
  <c r="H552" i="1" s="1"/>
  <c r="L532" i="1"/>
  <c r="H550" i="1" s="1"/>
  <c r="L533" i="1"/>
  <c r="H551" i="1" s="1"/>
  <c r="L536" i="1"/>
  <c r="I549" i="1" s="1"/>
  <c r="L537" i="1"/>
  <c r="I550" i="1" s="1"/>
  <c r="I552" i="1" s="1"/>
  <c r="L538" i="1"/>
  <c r="I551" i="1" s="1"/>
  <c r="L541" i="1"/>
  <c r="J549" i="1" s="1"/>
  <c r="L542" i="1"/>
  <c r="J550" i="1" s="1"/>
  <c r="L543" i="1"/>
  <c r="J551" i="1" s="1"/>
  <c r="E132" i="2"/>
  <c r="E131" i="2"/>
  <c r="K270" i="1"/>
  <c r="L270" i="1" s="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I459" i="1"/>
  <c r="J48" i="1" s="1"/>
  <c r="G47" i="2" s="1"/>
  <c r="C49" i="2"/>
  <c r="D56" i="2"/>
  <c r="E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C78" i="2" s="1"/>
  <c r="D77" i="2"/>
  <c r="D78" i="2" s="1"/>
  <c r="E77" i="2"/>
  <c r="F77" i="2"/>
  <c r="G77" i="2"/>
  <c r="G78" i="2" s="1"/>
  <c r="G81" i="2" s="1"/>
  <c r="C79" i="2"/>
  <c r="D79" i="2"/>
  <c r="E79" i="2"/>
  <c r="C80" i="2"/>
  <c r="E80" i="2"/>
  <c r="D85" i="2"/>
  <c r="E85" i="2"/>
  <c r="F85" i="2"/>
  <c r="C87" i="2"/>
  <c r="E87" i="2"/>
  <c r="F87" i="2"/>
  <c r="C88" i="2"/>
  <c r="D88" i="2"/>
  <c r="D91" i="2" s="1"/>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C114" i="2"/>
  <c r="D115" i="2"/>
  <c r="F115" i="2"/>
  <c r="G115" i="2"/>
  <c r="E119" i="2"/>
  <c r="E120" i="2"/>
  <c r="E121" i="2"/>
  <c r="E123" i="2"/>
  <c r="E124" i="2"/>
  <c r="E125" i="2"/>
  <c r="F128" i="2"/>
  <c r="G128" i="2"/>
  <c r="C130"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H52" i="1" s="1"/>
  <c r="H619" i="1" s="1"/>
  <c r="I51" i="1"/>
  <c r="I52" i="1" s="1"/>
  <c r="H620" i="1" s="1"/>
  <c r="F177" i="1"/>
  <c r="F192" i="1" s="1"/>
  <c r="I177" i="1"/>
  <c r="F183" i="1"/>
  <c r="G183" i="1"/>
  <c r="G192" i="1" s="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F338" i="1" s="1"/>
  <c r="F352" i="1" s="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H408" i="1" s="1"/>
  <c r="H644" i="1" s="1"/>
  <c r="I401" i="1"/>
  <c r="F407" i="1"/>
  <c r="G407" i="1"/>
  <c r="H407" i="1"/>
  <c r="I407" i="1"/>
  <c r="F408" i="1"/>
  <c r="G408" i="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3" i="1" s="1"/>
  <c r="L430" i="1"/>
  <c r="L431" i="1"/>
  <c r="L432" i="1"/>
  <c r="F433" i="1"/>
  <c r="G433" i="1"/>
  <c r="H433" i="1"/>
  <c r="I433" i="1"/>
  <c r="J433" i="1"/>
  <c r="F446" i="1"/>
  <c r="G639" i="1" s="1"/>
  <c r="G446" i="1"/>
  <c r="H446" i="1"/>
  <c r="G641" i="1" s="1"/>
  <c r="F452" i="1"/>
  <c r="G452" i="1"/>
  <c r="H452" i="1"/>
  <c r="F460" i="1"/>
  <c r="G460" i="1"/>
  <c r="H460" i="1"/>
  <c r="H461" i="1" s="1"/>
  <c r="H641" i="1" s="1"/>
  <c r="F461" i="1"/>
  <c r="H639" i="1" s="1"/>
  <c r="G461" i="1"/>
  <c r="F470" i="1"/>
  <c r="G470" i="1"/>
  <c r="H470" i="1"/>
  <c r="I470" i="1"/>
  <c r="J470" i="1"/>
  <c r="J476" i="1" s="1"/>
  <c r="H626" i="1" s="1"/>
  <c r="F474" i="1"/>
  <c r="G474" i="1"/>
  <c r="H474" i="1"/>
  <c r="H476" i="1" s="1"/>
  <c r="H624" i="1" s="1"/>
  <c r="I474" i="1"/>
  <c r="J474" i="1"/>
  <c r="K495" i="1"/>
  <c r="K496" i="1"/>
  <c r="K497" i="1"/>
  <c r="K498" i="1"/>
  <c r="K499" i="1"/>
  <c r="K501" i="1"/>
  <c r="K502" i="1"/>
  <c r="F517" i="1"/>
  <c r="G517" i="1"/>
  <c r="H517" i="1"/>
  <c r="I517" i="1"/>
  <c r="F524" i="1"/>
  <c r="G524" i="1"/>
  <c r="G545" i="1" s="1"/>
  <c r="H524" i="1"/>
  <c r="I524" i="1"/>
  <c r="J524" i="1"/>
  <c r="K524" i="1"/>
  <c r="K545" i="1" s="1"/>
  <c r="F529" i="1"/>
  <c r="G529" i="1"/>
  <c r="H529" i="1"/>
  <c r="I529" i="1"/>
  <c r="J529" i="1"/>
  <c r="K529" i="1"/>
  <c r="L529" i="1"/>
  <c r="F534" i="1"/>
  <c r="G534" i="1"/>
  <c r="H534" i="1"/>
  <c r="I534" i="1"/>
  <c r="J534" i="1"/>
  <c r="K534" i="1"/>
  <c r="F539" i="1"/>
  <c r="G539" i="1"/>
  <c r="H539" i="1"/>
  <c r="H545" i="1" s="1"/>
  <c r="I539" i="1"/>
  <c r="J539" i="1"/>
  <c r="K539" i="1"/>
  <c r="F544" i="1"/>
  <c r="G544" i="1"/>
  <c r="H544" i="1"/>
  <c r="I544" i="1"/>
  <c r="J544" i="1"/>
  <c r="K544" i="1"/>
  <c r="L557" i="1"/>
  <c r="L558" i="1"/>
  <c r="L560" i="1" s="1"/>
  <c r="L559" i="1"/>
  <c r="F560" i="1"/>
  <c r="G560" i="1"/>
  <c r="H560" i="1"/>
  <c r="H571" i="1" s="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19" i="1"/>
  <c r="G622" i="1"/>
  <c r="G623" i="1"/>
  <c r="G625" i="1"/>
  <c r="H627" i="1"/>
  <c r="H628" i="1"/>
  <c r="H629" i="1"/>
  <c r="H630" i="1"/>
  <c r="H631" i="1"/>
  <c r="H632" i="1"/>
  <c r="H633" i="1"/>
  <c r="G634" i="1"/>
  <c r="H634" i="1"/>
  <c r="H635" i="1"/>
  <c r="H636" i="1"/>
  <c r="H637" i="1"/>
  <c r="H638" i="1"/>
  <c r="G640" i="1"/>
  <c r="H640" i="1"/>
  <c r="J640" i="1" s="1"/>
  <c r="G643" i="1"/>
  <c r="H643" i="1"/>
  <c r="G644" i="1"/>
  <c r="H645" i="1"/>
  <c r="G650" i="1"/>
  <c r="G651" i="1"/>
  <c r="G652" i="1"/>
  <c r="H652" i="1"/>
  <c r="G653" i="1"/>
  <c r="H653" i="1"/>
  <c r="G654" i="1"/>
  <c r="H654" i="1"/>
  <c r="H655" i="1"/>
  <c r="C26" i="10"/>
  <c r="D62" i="2"/>
  <c r="D63" i="2" s="1"/>
  <c r="G156" i="2"/>
  <c r="E62" i="2"/>
  <c r="E63" i="2" s="1"/>
  <c r="G62" i="2"/>
  <c r="C19" i="13"/>
  <c r="E78" i="2"/>
  <c r="L427" i="1"/>
  <c r="J571" i="1"/>
  <c r="K571" i="1"/>
  <c r="D81" i="2"/>
  <c r="I169" i="1"/>
  <c r="J643" i="1"/>
  <c r="I476" i="1"/>
  <c r="H625" i="1" s="1"/>
  <c r="G476" i="1"/>
  <c r="H623" i="1" s="1"/>
  <c r="J623" i="1" s="1"/>
  <c r="G338" i="1"/>
  <c r="G352" i="1" s="1"/>
  <c r="J140" i="1"/>
  <c r="H140" i="1"/>
  <c r="G22" i="13"/>
  <c r="C22" i="13" s="1"/>
  <c r="J634" i="1"/>
  <c r="L570" i="1"/>
  <c r="G36" i="2"/>
  <c r="C70" i="2" l="1"/>
  <c r="C81" i="2" s="1"/>
  <c r="G624" i="1"/>
  <c r="L362" i="1"/>
  <c r="G661" i="1"/>
  <c r="D31" i="2"/>
  <c r="D18" i="2"/>
  <c r="K549" i="1"/>
  <c r="K551" i="1"/>
  <c r="K552" i="1"/>
  <c r="G552" i="1"/>
  <c r="J552" i="1"/>
  <c r="I545" i="1"/>
  <c r="J545" i="1"/>
  <c r="J644" i="1"/>
  <c r="L401" i="1"/>
  <c r="C139" i="2" s="1"/>
  <c r="J641" i="1"/>
  <c r="G645" i="1"/>
  <c r="J645" i="1" s="1"/>
  <c r="J655" i="1"/>
  <c r="K598" i="1"/>
  <c r="G647" i="1" s="1"/>
  <c r="K605" i="1"/>
  <c r="G648" i="1" s="1"/>
  <c r="L565" i="1"/>
  <c r="I571" i="1"/>
  <c r="F571" i="1"/>
  <c r="F476" i="1"/>
  <c r="H622" i="1" s="1"/>
  <c r="J622" i="1" s="1"/>
  <c r="K257" i="1"/>
  <c r="K271" i="1" s="1"/>
  <c r="C125" i="2"/>
  <c r="A31" i="12"/>
  <c r="C18" i="10"/>
  <c r="C120" i="2"/>
  <c r="C111" i="2"/>
  <c r="C11" i="10"/>
  <c r="F257" i="1"/>
  <c r="F271" i="1" s="1"/>
  <c r="C110" i="2"/>
  <c r="C12" i="10"/>
  <c r="J617" i="1"/>
  <c r="C18" i="2"/>
  <c r="F112" i="1"/>
  <c r="C35" i="10"/>
  <c r="J624" i="1"/>
  <c r="J625" i="1"/>
  <c r="H662" i="1"/>
  <c r="E109" i="2"/>
  <c r="L290" i="1"/>
  <c r="C123" i="2"/>
  <c r="C121" i="2"/>
  <c r="D6" i="13"/>
  <c r="C6" i="13" s="1"/>
  <c r="E13" i="13"/>
  <c r="C13" i="13" s="1"/>
  <c r="C17" i="10"/>
  <c r="D15" i="13"/>
  <c r="C15" i="13" s="1"/>
  <c r="L247" i="1"/>
  <c r="G36" i="14" s="1"/>
  <c r="H36" i="14" s="1"/>
  <c r="I36" i="14" s="1"/>
  <c r="J651" i="1"/>
  <c r="C13" i="10"/>
  <c r="J257" i="1"/>
  <c r="J271" i="1" s="1"/>
  <c r="G649" i="1"/>
  <c r="J649" i="1" s="1"/>
  <c r="I257" i="1"/>
  <c r="I271" i="1" s="1"/>
  <c r="H257" i="1"/>
  <c r="H271" i="1" s="1"/>
  <c r="L211" i="1"/>
  <c r="H169" i="1"/>
  <c r="E31" i="2"/>
  <c r="C25" i="13"/>
  <c r="I33" i="13"/>
  <c r="I661" i="1"/>
  <c r="J639" i="1"/>
  <c r="F18" i="2"/>
  <c r="C29" i="10"/>
  <c r="E81" i="2"/>
  <c r="L534" i="1"/>
  <c r="I460" i="1"/>
  <c r="I446" i="1"/>
  <c r="G642" i="1" s="1"/>
  <c r="C56" i="2"/>
  <c r="F662" i="1"/>
  <c r="D14" i="13"/>
  <c r="C14" i="13" s="1"/>
  <c r="L351" i="1"/>
  <c r="L539" i="1"/>
  <c r="K503" i="1"/>
  <c r="L382" i="1"/>
  <c r="G636" i="1" s="1"/>
  <c r="J636" i="1" s="1"/>
  <c r="K338" i="1"/>
  <c r="K352" i="1" s="1"/>
  <c r="G257" i="1"/>
  <c r="G271" i="1" s="1"/>
  <c r="C131" i="2"/>
  <c r="C20" i="10"/>
  <c r="C15" i="10"/>
  <c r="A13" i="12"/>
  <c r="D29" i="13"/>
  <c r="C29" i="13" s="1"/>
  <c r="D12" i="13"/>
  <c r="C12" i="13" s="1"/>
  <c r="D5" i="13"/>
  <c r="C5" i="13" s="1"/>
  <c r="E8" i="13"/>
  <c r="C8" i="13" s="1"/>
  <c r="E128" i="2"/>
  <c r="C62" i="2"/>
  <c r="F552" i="1"/>
  <c r="H647" i="1"/>
  <c r="K500" i="1"/>
  <c r="I452" i="1"/>
  <c r="H338" i="1"/>
  <c r="H352" i="1" s="1"/>
  <c r="C25" i="10"/>
  <c r="C21" i="10"/>
  <c r="L544" i="1"/>
  <c r="L524" i="1"/>
  <c r="J338" i="1"/>
  <c r="J352" i="1" s="1"/>
  <c r="D127" i="2"/>
  <c r="D128" i="2" s="1"/>
  <c r="D145" i="2" s="1"/>
  <c r="C124" i="2"/>
  <c r="C122" i="2"/>
  <c r="C118" i="2"/>
  <c r="E112" i="2"/>
  <c r="E115" i="2" s="1"/>
  <c r="C19" i="10"/>
  <c r="C16" i="10"/>
  <c r="D17" i="13"/>
  <c r="C17" i="13" s="1"/>
  <c r="D7" i="13"/>
  <c r="C7" i="13" s="1"/>
  <c r="E16" i="13"/>
  <c r="C16" i="13" s="1"/>
  <c r="C10" i="10"/>
  <c r="C109" i="2"/>
  <c r="L229" i="1"/>
  <c r="G24" i="14" s="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C36" i="10"/>
  <c r="G63" i="2"/>
  <c r="G104" i="2" s="1"/>
  <c r="J618" i="1"/>
  <c r="G42" i="2"/>
  <c r="J51" i="1"/>
  <c r="G16" i="2"/>
  <c r="G18" i="2" s="1"/>
  <c r="J19" i="1"/>
  <c r="G621" i="1" s="1"/>
  <c r="F545" i="1"/>
  <c r="H434" i="1"/>
  <c r="J620" i="1"/>
  <c r="J619" i="1"/>
  <c r="D103" i="2"/>
  <c r="D104" i="2" s="1"/>
  <c r="I140" i="1"/>
  <c r="I193" i="1" s="1"/>
  <c r="G630" i="1" s="1"/>
  <c r="J630" i="1" s="1"/>
  <c r="A22" i="12"/>
  <c r="G50" i="2"/>
  <c r="G51" i="2" s="1"/>
  <c r="J652" i="1"/>
  <c r="G571" i="1"/>
  <c r="I434" i="1"/>
  <c r="G434" i="1"/>
  <c r="I663" i="1"/>
  <c r="C27" i="10"/>
  <c r="G635" i="1"/>
  <c r="J635" i="1" s="1"/>
  <c r="E51" i="2" l="1"/>
  <c r="H646" i="1"/>
  <c r="J647" i="1"/>
  <c r="I662" i="1"/>
  <c r="C115" i="2"/>
  <c r="H660" i="1"/>
  <c r="H664" i="1" s="1"/>
  <c r="H667" i="1" s="1"/>
  <c r="G4" i="14"/>
  <c r="H4" i="14" s="1"/>
  <c r="I4" i="14" s="1"/>
  <c r="F193" i="1"/>
  <c r="G627" i="1" s="1"/>
  <c r="J627" i="1" s="1"/>
  <c r="E145" i="2"/>
  <c r="L338" i="1"/>
  <c r="L352" i="1" s="1"/>
  <c r="G633" i="1" s="1"/>
  <c r="J633" i="1" s="1"/>
  <c r="F660" i="1"/>
  <c r="F664" i="1" s="1"/>
  <c r="F667" i="1" s="1"/>
  <c r="C128" i="2"/>
  <c r="E104" i="2"/>
  <c r="L545" i="1"/>
  <c r="C63" i="2"/>
  <c r="C104" i="2" s="1"/>
  <c r="L257" i="1"/>
  <c r="L271" i="1" s="1"/>
  <c r="G632" i="1" s="1"/>
  <c r="J632" i="1" s="1"/>
  <c r="D31" i="13"/>
  <c r="C31" i="13" s="1"/>
  <c r="H648" i="1"/>
  <c r="J648" i="1" s="1"/>
  <c r="G660" i="1"/>
  <c r="G664" i="1" s="1"/>
  <c r="G672" i="1" s="1"/>
  <c r="C5" i="10" s="1"/>
  <c r="E33" i="13"/>
  <c r="D35" i="13" s="1"/>
  <c r="I461" i="1"/>
  <c r="H642" i="1" s="1"/>
  <c r="J642" i="1" s="1"/>
  <c r="C28" i="10"/>
  <c r="D23" i="10" s="1"/>
  <c r="H24" i="14"/>
  <c r="I24" i="14" s="1"/>
  <c r="C51" i="2"/>
  <c r="G631" i="1"/>
  <c r="J631" i="1" s="1"/>
  <c r="J646" i="1"/>
  <c r="G193" i="1"/>
  <c r="G628" i="1" s="1"/>
  <c r="J628" i="1" s="1"/>
  <c r="G626" i="1"/>
  <c r="J626" i="1" s="1"/>
  <c r="J52" i="1"/>
  <c r="H621" i="1" s="1"/>
  <c r="J621" i="1" s="1"/>
  <c r="C38" i="10"/>
  <c r="G667" i="1" l="1"/>
  <c r="C145" i="2"/>
  <c r="H672" i="1"/>
  <c r="C6" i="10" s="1"/>
  <c r="F672" i="1"/>
  <c r="C4" i="10" s="1"/>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<sst xmlns="http://schemas.openxmlformats.org/spreadsheetml/2006/main" count="5509" uniqueCount="1611">
  <si>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</si>
  <si>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</si>
  <si>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</si>
  <si>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</si>
  <si>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</si>
  <si>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</si>
  <si>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</si>
  <si>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</si>
  <si>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</si>
  <si>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</si>
  <si>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</si>
  <si>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</si>
  <si>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</si>
  <si>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</si>
  <si>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</si>
  <si>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</si>
  <si>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</si>
  <si>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</si>
  <si>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</si>
  <si>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</si>
  <si>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</si>
  <si>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</si>
  <si>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</si>
  <si>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</si>
  <si>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</si>
  <si>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</si>
  <si>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</si>
  <si>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</si>
  <si>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</si>
  <si>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</si>
  <si>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</si>
  <si>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</si>
  <si>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</si>
  <si>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</si>
  <si>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</si>
  <si>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</si>
  <si>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</si>
  <si>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</si>
  <si>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</si>
  <si>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</si>
  <si>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</si>
  <si>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</si>
  <si>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</si>
  <si>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</si>
  <si>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</si>
  <si>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</si>
  <si>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</si>
  <si>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</si>
  <si>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</si>
  <si>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</si>
  <si>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</si>
  <si>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</si>
  <si>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</si>
  <si>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</si>
  <si>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</si>
  <si>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</si>
  <si>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</si>
  <si>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</si>
  <si>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</si>
  <si>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</si>
  <si>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</si>
  <si>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</si>
  <si>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</si>
  <si>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</si>
  <si>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</si>
  <si>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</si>
  <si>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</si>
  <si>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</si>
  <si>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</si>
  <si>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</si>
  <si>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</si>
  <si>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</si>
  <si>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</si>
  <si>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</si>
  <si>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</si>
  <si>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</si>
  <si>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</si>
  <si>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</si>
  <si>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</si>
  <si>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</si>
  <si>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</si>
  <si>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</si>
  <si>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</si>
  <si>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</si>
  <si>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</si>
  <si>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</si>
  <si>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</si>
  <si>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</si>
  <si>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</si>
  <si>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</si>
  <si>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</si>
  <si>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</si>
  <si>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</si>
  <si>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</si>
  <si>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</si>
  <si>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</si>
  <si>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</si>
  <si>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</si>
  <si>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</si>
  <si>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</si>
  <si>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</si>
  <si>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</si>
  <si>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</si>
  <si>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</si>
  <si>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</si>
  <si>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</si>
  <si>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</si>
  <si>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</si>
  <si>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</si>
  <si>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</si>
  <si>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</si>
  <si>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</si>
  <si>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</si>
  <si>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</si>
  <si>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</si>
  <si>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</si>
  <si>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</si>
  <si>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</si>
  <si>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</si>
  <si>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</si>
  <si>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</si>
  <si>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</si>
  <si>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</si>
  <si>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</si>
  <si>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</si>
  <si>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</si>
  <si>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</si>
  <si>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</si>
  <si>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</si>
  <si>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</si>
  <si>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</si>
  <si>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</si>
  <si>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</si>
  <si>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</si>
  <si>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</si>
  <si>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</si>
  <si>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</si>
  <si>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</si>
  <si>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</si>
  <si>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</si>
  <si>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</si>
  <si>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</si>
  <si>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</si>
  <si>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</si>
  <si>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</si>
  <si>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</si>
  <si>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</si>
  <si>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</si>
  <si>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</si>
  <si>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</si>
  <si>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</si>
  <si>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</si>
  <si>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</si>
  <si>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</si>
  <si>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</si>
  <si>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</si>
  <si>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</si>
  <si>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</si>
  <si>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</si>
  <si>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</si>
  <si>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</si>
  <si>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</si>
  <si>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</si>
  <si>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</si>
  <si>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</si>
  <si>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</si>
  <si>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</si>
  <si>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</si>
  <si>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</si>
  <si>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</si>
  <si>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</si>
  <si>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</si>
  <si>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</si>
  <si>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</si>
  <si>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</si>
  <si>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</si>
  <si>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</si>
  <si>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</si>
  <si>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</si>
  <si>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</si>
  <si>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</si>
  <si>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</si>
  <si>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</si>
  <si>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</si>
  <si>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</si>
  <si>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</si>
  <si>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</si>
  <si>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</si>
  <si>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</si>
  <si>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</si>
  <si>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</si>
  <si>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</si>
  <si>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</si>
  <si>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</si>
  <si>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</si>
  <si>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</si>
  <si>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</si>
  <si>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</si>
  <si>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</si>
  <si>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</si>
  <si>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</si>
  <si>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</si>
  <si>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</si>
  <si>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</si>
  <si>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</si>
  <si>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</si>
  <si>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</si>
  <si>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</si>
  <si>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</si>
  <si>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</si>
  <si>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</si>
  <si>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</si>
  <si>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</si>
  <si>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</si>
  <si>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</si>
  <si>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</si>
  <si>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</si>
  <si>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</si>
  <si>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</si>
  <si>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</si>
  <si>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</si>
  <si>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</si>
  <si>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</si>
  <si>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</si>
  <si>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</si>
  <si>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</si>
  <si>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</si>
  <si>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</si>
  <si>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</si>
  <si>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</si>
  <si>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</si>
  <si>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</si>
  <si>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</si>
  <si>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</si>
  <si>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</si>
  <si>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</si>
  <si>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</si>
  <si>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</si>
  <si>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</si>
  <si>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</si>
  <si>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</si>
  <si>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</si>
  <si>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</si>
  <si>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</si>
  <si>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</si>
  <si>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</si>
  <si>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</si>
  <si>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</si>
  <si>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</si>
  <si>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</si>
  <si>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</si>
  <si>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</si>
  <si>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</si>
  <si>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</si>
  <si>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</si>
  <si>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</si>
  <si>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</si>
  <si>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</si>
  <si>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</si>
  <si>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</si>
  <si>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</si>
  <si>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</si>
  <si>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</si>
  <si>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</si>
  <si>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</si>
  <si>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</si>
  <si>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</si>
  <si>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</si>
  <si>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</si>
  <si>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</si>
  <si>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</si>
  <si>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</si>
  <si>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</si>
  <si>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</si>
  <si>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</si>
  <si>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</si>
  <si>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</si>
  <si>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</si>
  <si>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</si>
  <si>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</si>
  <si>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</si>
  <si>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</si>
  <si>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</si>
  <si>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</si>
  <si>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</si>
  <si>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</si>
  <si>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</si>
  <si>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</si>
  <si>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</si>
  <si>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</si>
  <si>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</si>
  <si>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</si>
  <si>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</si>
  <si>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</si>
  <si>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</si>
  <si>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</si>
  <si>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</si>
  <si>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</si>
  <si>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</si>
  <si>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</si>
  <si>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</si>
  <si>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</si>
  <si>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</si>
  <si>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</si>
  <si>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</si>
  <si>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</si>
  <si>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</si>
  <si>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</si>
  <si>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</si>
  <si>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</si>
  <si>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</si>
  <si>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</si>
  <si>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</si>
  <si>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</si>
  <si>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</si>
  <si>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</si>
  <si>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</si>
  <si>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</si>
  <si>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</si>
  <si>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</si>
  <si>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</si>
  <si>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</si>
  <si>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</si>
  <si>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</si>
  <si>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</si>
  <si>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</si>
  <si>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</si>
  <si>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</si>
  <si>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</si>
  <si>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</si>
  <si>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</si>
  <si>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</si>
  <si>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</si>
  <si>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</si>
  <si>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</si>
  <si>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</si>
  <si>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</si>
  <si>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</si>
  <si>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</si>
  <si>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</si>
  <si>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</si>
  <si>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</si>
  <si>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</si>
  <si>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</si>
  <si>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</si>
  <si>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</si>
  <si>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</si>
  <si>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</si>
  <si>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</si>
  <si>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</si>
  <si>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</si>
  <si>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</si>
  <si>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</si>
  <si>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</si>
  <si>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</si>
  <si>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</si>
  <si>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</si>
  <si>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</si>
  <si>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</si>
  <si>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</si>
  <si>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</si>
  <si>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</si>
  <si>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</si>
  <si>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</si>
  <si>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</si>
  <si>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</si>
  <si>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</si>
  <si>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</si>
  <si>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</si>
  <si>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</si>
  <si>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</si>
  <si>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</si>
  <si>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</si>
  <si>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</si>
  <si>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</si>
  <si>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</si>
  <si>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</si>
  <si>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</si>
  <si>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</si>
  <si>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</si>
  <si>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</si>
  <si>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</si>
  <si>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</si>
  <si>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</si>
  <si>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</si>
  <si>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</si>
  <si>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</si>
  <si>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</si>
  <si>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</si>
  <si>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</si>
  <si>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</si>
  <si>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</si>
  <si>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</si>
  <si>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</si>
  <si>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</si>
  <si>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</si>
  <si>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</si>
  <si>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</si>
  <si>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</si>
  <si>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</si>
  <si>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</si>
  <si>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</si>
  <si>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</si>
  <si>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</si>
  <si>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</si>
  <si>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</si>
  <si>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</si>
  <si>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</si>
  <si>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</si>
  <si>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</si>
  <si>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</si>
  <si>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</si>
  <si>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</si>
  <si>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</si>
  <si>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</si>
  <si>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</si>
  <si>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</si>
  <si>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</si>
  <si>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</si>
  <si>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</si>
  <si>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</si>
  <si>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</si>
  <si>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</si>
  <si>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</si>
  <si>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</si>
  <si>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</si>
  <si>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</si>
  <si>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</si>
  <si>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</si>
  <si>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</si>
  <si>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</si>
  <si>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</si>
  <si>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</si>
  <si>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</si>
  <si>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</si>
  <si>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</si>
  <si>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</si>
  <si>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</si>
  <si>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</si>
  <si>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</si>
  <si>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</si>
  <si>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</si>
  <si>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</si>
  <si>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</si>
  <si>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</si>
  <si>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</si>
  <si>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</si>
  <si>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</si>
  <si>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</si>
  <si>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</si>
  <si>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</si>
  <si>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</si>
  <si>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</si>
  <si>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</si>
  <si>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</si>
  <si>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</si>
  <si>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</si>
  <si>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</si>
  <si>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</si>
  <si>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</si>
  <si>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</si>
  <si>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</si>
  <si>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</si>
  <si>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</si>
  <si>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</si>
  <si>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</si>
  <si>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</si>
  <si>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</si>
  <si>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</si>
  <si>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</si>
  <si>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</si>
  <si>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</si>
  <si>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</si>
  <si>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</si>
  <si>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</si>
  <si>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</si>
  <si>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</si>
  <si>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</si>
  <si>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</si>
  <si>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</si>
  <si>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</si>
  <si>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</si>
  <si>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</si>
  <si>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</si>
  <si>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</si>
  <si>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</si>
  <si>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</si>
  <si>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</si>
  <si>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</si>
  <si>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</si>
  <si>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</si>
  <si>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</si>
  <si>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</si>
  <si>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</si>
  <si>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</si>
  <si>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</si>
  <si>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</si>
  <si>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</si>
  <si>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</si>
  <si>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</si>
  <si>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</si>
  <si>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</si>
  <si>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</si>
  <si>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</si>
  <si>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</si>
  <si>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</si>
  <si>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</si>
  <si>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</si>
  <si>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</si>
  <si>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</si>
  <si>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</si>
  <si>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</si>
  <si>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</si>
  <si>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</si>
  <si>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</si>
  <si>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</si>
  <si>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</si>
  <si>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</si>
  <si>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</si>
  <si>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</si>
  <si>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</si>
  <si>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</si>
  <si>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</si>
  <si>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</si>
  <si>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</si>
  <si>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</si>
  <si>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</si>
  <si>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</si>
  <si>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</si>
  <si>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</si>
  <si>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</si>
  <si>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</si>
  <si>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</si>
  <si>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</si>
  <si>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</si>
  <si>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</si>
  <si>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</si>
  <si>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</si>
  <si>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</si>
  <si>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</si>
  <si>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</si>
  <si>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</si>
  <si>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</si>
  <si>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</si>
  <si>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</si>
  <si>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</si>
  <si>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</si>
  <si>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</si>
  <si>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</si>
  <si>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</si>
  <si>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</si>
  <si>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</si>
  <si>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</si>
  <si>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</si>
  <si>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</si>
  <si>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</si>
  <si>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</si>
  <si>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</si>
  <si>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</si>
  <si>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</si>
  <si>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</si>
  <si>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</si>
  <si>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</si>
  <si>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</si>
  <si>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</si>
  <si>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</si>
  <si>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</si>
  <si>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</si>
  <si>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</si>
  <si>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</si>
  <si>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</si>
  <si>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</si>
  <si>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</si>
  <si>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</si>
  <si>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</si>
  <si>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</si>
  <si>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</si>
  <si>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</si>
  <si>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</si>
  <si>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</si>
  <si>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</si>
  <si>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</si>
  <si>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</si>
  <si>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</si>
  <si>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</si>
  <si>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</si>
  <si>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</si>
  <si>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</si>
  <si>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</si>
  <si>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</si>
  <si>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</si>
  <si>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</si>
  <si>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</si>
  <si>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</si>
  <si>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</si>
  <si>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</si>
  <si>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</si>
  <si>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</si>
  <si>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</si>
  <si>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</si>
  <si>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</si>
  <si>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</si>
  <si>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</si>
  <si>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</si>
  <si>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</si>
  <si>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</si>
  <si>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</si>
  <si>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</si>
  <si>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</si>
  <si>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</si>
  <si>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</si>
  <si>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</si>
  <si>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</si>
  <si>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</si>
  <si>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</si>
  <si>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</si>
  <si>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</si>
  <si>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</si>
  <si>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</si>
  <si>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</si>
  <si>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</si>
  <si>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</si>
  <si>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</si>
  <si>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</si>
  <si>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</si>
  <si>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</si>
  <si>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</si>
  <si>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</si>
  <si>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</si>
  <si>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</si>
  <si>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</si>
  <si>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</si>
  <si>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</si>
  <si>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</si>
  <si>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</si>
  <si>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</si>
  <si>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</si>
  <si>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</si>
  <si>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</si>
  <si>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</si>
  <si>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</si>
  <si>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</si>
  <si>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</si>
  <si>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</si>
  <si>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</si>
  <si>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</si>
  <si>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</si>
  <si>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</si>
  <si>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</si>
  <si>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</si>
  <si>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</si>
  <si>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</si>
  <si>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</si>
  <si>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</si>
  <si>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</si>
  <si>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</si>
  <si>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</si>
  <si>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</si>
  <si>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</si>
  <si>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</si>
  <si>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</si>
  <si>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</si>
  <si>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</si>
  <si>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</si>
  <si>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</si>
  <si>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</si>
  <si>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</si>
  <si>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</si>
  <si>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</si>
  <si>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</si>
  <si>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</si>
  <si>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</si>
  <si>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</si>
  <si>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</si>
  <si>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</si>
  <si>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</si>
  <si>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</si>
  <si>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</si>
  <si>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</si>
  <si>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</si>
  <si>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</si>
  <si>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</si>
  <si>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</si>
  <si>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</si>
  <si>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</si>
  <si>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</si>
  <si>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</si>
  <si>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</si>
  <si>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</si>
  <si>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</si>
  <si>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</si>
  <si>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</si>
  <si>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</si>
  <si>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</si>
  <si>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</si>
  <si>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</si>
  <si>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</si>
  <si>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</si>
  <si>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</si>
  <si>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</si>
  <si>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</si>
  <si>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</si>
  <si>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</si>
  <si>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</si>
  <si>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</si>
  <si>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</si>
  <si>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</si>
  <si>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</si>
  <si>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</si>
  <si>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</si>
  <si>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</si>
  <si>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</si>
  <si>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</si>
  <si>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</si>
  <si>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</si>
  <si>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</si>
  <si>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</si>
  <si>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</si>
  <si>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</si>
  <si>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</si>
  <si>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</si>
  <si>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</si>
  <si>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</si>
  <si>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</si>
  <si>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</si>
  <si>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</si>
  <si>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</si>
  <si>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</si>
  <si>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</si>
  <si>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</si>
  <si>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</si>
  <si>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</si>
  <si>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</si>
  <si>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</si>
  <si>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</si>
  <si>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</si>
  <si>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</si>
  <si>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</si>
  <si>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</si>
  <si>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</si>
  <si>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</si>
  <si>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</si>
  <si>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</si>
  <si>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</si>
  <si>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</si>
  <si>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</si>
  <si>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</si>
  <si>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</si>
  <si>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</si>
  <si>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</si>
  <si>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</si>
  <si>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</si>
  <si>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</si>
  <si>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</si>
  <si>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</si>
  <si>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</si>
  <si>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</si>
  <si>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</si>
  <si>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</si>
  <si>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</si>
  <si>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</si>
  <si>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</si>
  <si>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</si>
  <si>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</si>
  <si>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</si>
  <si>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</si>
  <si>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</si>
  <si>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</si>
  <si>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</si>
  <si>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</si>
  <si>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</si>
  <si>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</si>
  <si>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</si>
  <si>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</si>
  <si>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</si>
  <si>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</si>
  <si>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</si>
  <si>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</si>
  <si>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</si>
  <si>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</si>
  <si>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</si>
  <si>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</si>
  <si>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</si>
  <si>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</si>
  <si>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</si>
  <si>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</si>
  <si>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</si>
  <si>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</si>
  <si>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</si>
  <si>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</si>
  <si>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</si>
  <si>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</si>
  <si>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</si>
  <si>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</si>
  <si>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</si>
  <si>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</si>
  <si>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</si>
  <si>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</si>
  <si>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</si>
  <si>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</si>
  <si>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</si>
  <si>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</si>
  <si>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</si>
  <si>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</si>
  <si>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</si>
  <si>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</si>
  <si>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</si>
  <si>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</si>
  <si>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</si>
  <si>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</si>
  <si>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</si>
  <si>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</si>
  <si>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</si>
  <si>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</si>
  <si>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</si>
  <si>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</si>
  <si>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</si>
  <si>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</si>
  <si>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</si>
  <si>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</si>
  <si>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</si>
  <si>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</si>
  <si>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</si>
  <si>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</si>
  <si>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</si>
  <si>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</si>
  <si>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</si>
  <si>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</si>
  <si>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</si>
  <si>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</si>
  <si>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</si>
  <si>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</si>
  <si>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</si>
  <si>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</si>
  <si>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</si>
  <si>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</si>
  <si>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</si>
  <si>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</si>
  <si>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</si>
  <si>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</si>
  <si>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</si>
  <si>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</si>
  <si>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</si>
  <si>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</si>
  <si>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</si>
  <si>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</si>
  <si>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</si>
  <si>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</si>
  <si>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</si>
  <si>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</si>
  <si>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</si>
  <si>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</si>
  <si>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</si>
  <si>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</si>
  <si>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</si>
  <si>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</si>
  <si>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</si>
  <si>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</si>
  <si>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</si>
  <si>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</si>
  <si>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</si>
  <si>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</si>
  <si>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</si>
  <si>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</si>
  <si>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</si>
  <si>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</si>
  <si>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</si>
  <si>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</si>
  <si>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</si>
  <si>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</si>
  <si>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</si>
  <si>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</si>
  <si>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</si>
  <si>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</si>
  <si>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</si>
  <si>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</si>
  <si>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</si>
  <si>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</si>
  <si>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</si>
  <si>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</si>
  <si>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</si>
  <si>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</si>
  <si>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</si>
  <si>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</si>
  <si>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</si>
  <si>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</si>
  <si>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</si>
  <si>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</si>
  <si>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</si>
  <si>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</si>
  <si>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</si>
  <si>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</si>
  <si>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</si>
  <si>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</si>
  <si>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</si>
  <si>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</si>
  <si>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</si>
  <si>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</si>
  <si>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</si>
  <si>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</si>
  <si>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</si>
  <si>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</si>
  <si>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</si>
  <si>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</si>
  <si>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</si>
  <si>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</si>
  <si>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</si>
  <si>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</si>
  <si>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</si>
  <si>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</si>
  <si>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</si>
  <si>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</si>
  <si>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</si>
  <si>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</si>
  <si>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</si>
  <si>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</si>
  <si>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</si>
  <si>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</si>
  <si>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</si>
  <si>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</si>
  <si>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</si>
  <si>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</si>
  <si>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</si>
  <si>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</si>
  <si>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</si>
  <si>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</si>
  <si>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</si>
  <si>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</si>
  <si>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</si>
  <si>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</si>
  <si>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</si>
  <si>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</si>
  <si>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</si>
  <si>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</si>
  <si>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</si>
  <si>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</si>
  <si>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</si>
  <si>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</si>
  <si>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</si>
  <si>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</si>
  <si>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</si>
  <si>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</si>
  <si>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</si>
  <si>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</si>
  <si>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</si>
  <si>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</si>
  <si>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</si>
  <si>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</si>
  <si>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</si>
  <si>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</si>
  <si>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</si>
  <si>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</si>
  <si>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</si>
  <si>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</si>
  <si>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</si>
  <si>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</si>
  <si>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</si>
  <si>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</si>
  <si>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</si>
  <si>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</si>
  <si>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</si>
  <si>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</si>
  <si>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</si>
  <si>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</si>
  <si>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</si>
  <si>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</si>
  <si>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</si>
  <si>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</si>
  <si>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</si>
  <si>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</si>
  <si>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</si>
  <si>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</si>
  <si>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</si>
  <si>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</si>
  <si>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</si>
  <si>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</si>
  <si>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</si>
  <si>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</si>
  <si>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</si>
  <si>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</si>
  <si>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</si>
  <si>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</si>
  <si>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</si>
  <si>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</si>
  <si>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</si>
  <si>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</si>
  <si>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</si>
  <si>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</si>
  <si>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</si>
  <si>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</si>
  <si>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</si>
  <si>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</si>
  <si>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</si>
  <si>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</si>
  <si>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</si>
  <si>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</si>
  <si>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</si>
  <si>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</si>
  <si>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</si>
  <si>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</si>
  <si>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</si>
  <si>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</si>
  <si>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</si>
  <si>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</si>
  <si>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</si>
  <si>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</si>
  <si>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</si>
  <si>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</si>
  <si>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</si>
  <si>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</si>
  <si>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</si>
  <si>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</si>
  <si>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</si>
  <si>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</si>
  <si>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</si>
  <si>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</si>
  <si>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</si>
  <si>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</si>
  <si>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</si>
  <si>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</si>
  <si>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</si>
  <si>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</si>
  <si>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</si>
  <si>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</si>
  <si>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</si>
  <si>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</si>
  <si>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</si>
  <si>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</si>
  <si>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</si>
  <si>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</si>
  <si>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</si>
  <si>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</si>
  <si>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</si>
  <si>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</si>
  <si>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</si>
  <si>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</si>
  <si>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</si>
  <si>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</si>
  <si>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</si>
  <si>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</si>
  <si>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</si>
  <si>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</si>
  <si>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</si>
  <si>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</si>
  <si>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</si>
  <si>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</si>
  <si>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</si>
  <si>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</si>
  <si>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</si>
  <si>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</si>
  <si>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</si>
  <si>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</si>
  <si>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</si>
  <si>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</si>
  <si>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</si>
  <si>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</si>
  <si>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</si>
  <si>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</si>
  <si>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</si>
  <si>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</si>
  <si>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</si>
  <si>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</si>
  <si>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</si>
  <si>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</si>
  <si>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</si>
  <si>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</si>
  <si>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</si>
  <si>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</si>
  <si>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</si>
  <si>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</si>
  <si>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</si>
  <si>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</si>
  <si>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</si>
  <si>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</si>
  <si>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</si>
  <si>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</si>
  <si>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</si>
  <si>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</si>
  <si>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</si>
  <si>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</si>
  <si>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</si>
  <si>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</si>
  <si>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</si>
  <si>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</si>
  <si>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</si>
  <si>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</si>
  <si>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</si>
  <si>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</si>
  <si>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</si>
  <si>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</si>
  <si>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</si>
  <si>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</si>
  <si>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</si>
  <si>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</si>
  <si>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</si>
  <si>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</si>
  <si>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</si>
  <si>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</si>
  <si>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</si>
  <si>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</si>
  <si>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</si>
  <si>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</si>
  <si>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</si>
  <si>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</si>
  <si>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</si>
  <si>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</si>
  <si>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</si>
  <si>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</si>
  <si>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</si>
  <si>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</si>
  <si>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</si>
  <si>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</si>
  <si>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</si>
  <si>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</si>
  <si>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</si>
  <si>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</si>
  <si>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</si>
  <si>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</si>
  <si>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</si>
  <si>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</si>
  <si>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</si>
  <si>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</si>
  <si>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</si>
  <si>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</si>
  <si>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</si>
  <si>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</si>
  <si>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</si>
  <si>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</si>
  <si>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</si>
  <si>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</si>
  <si>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</si>
  <si>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</si>
  <si>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</si>
  <si>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</si>
  <si>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</si>
  <si>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</si>
  <si>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</si>
  <si>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</si>
  <si>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</si>
  <si>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</si>
  <si>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</si>
  <si>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</si>
  <si>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</si>
  <si>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</si>
  <si>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</si>
  <si>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</si>
  <si>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</si>
  <si>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</si>
  <si>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</si>
  <si>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</si>
  <si>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</si>
  <si>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</si>
  <si>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</si>
  <si>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</si>
  <si>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</si>
  <si>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</si>
  <si>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</si>
  <si>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</si>
  <si>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</si>
  <si>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</si>
  <si>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</si>
  <si>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</si>
  <si>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</si>
  <si>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</si>
  <si>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</si>
  <si>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</si>
  <si>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</si>
  <si>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</si>
  <si>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</si>
  <si>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</si>
  <si>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</si>
  <si>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</si>
  <si>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</si>
  <si>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</si>
  <si>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</si>
  <si>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</si>
  <si>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</si>
  <si>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</si>
  <si>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</si>
  <si>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</si>
  <si>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</si>
  <si>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</si>
  <si>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</si>
  <si>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</si>
  <si>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</si>
  <si>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</si>
  <si>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</si>
  <si>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</si>
  <si>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</si>
  <si>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</si>
  <si>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</si>
  <si>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</si>
  <si>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</si>
  <si>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</si>
  <si>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</si>
  <si>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</si>
  <si>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</si>
  <si>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</si>
  <si>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</si>
  <si>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</si>
  <si>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</si>
  <si>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</si>
  <si>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</si>
  <si>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</si>
  <si>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</si>
  <si>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</si>
  <si>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</si>
  <si>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</si>
  <si>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</si>
  <si>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</si>
  <si>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</si>
  <si>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</si>
  <si>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</si>
  <si>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</si>
  <si>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</si>
  <si>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</si>
  <si>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</si>
  <si>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</si>
  <si>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</si>
  <si>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</si>
  <si>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</si>
  <si>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</si>
  <si>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</si>
  <si>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</si>
  <si>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</si>
  <si>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</si>
  <si>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</si>
  <si>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</si>
  <si>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</si>
  <si>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</si>
  <si>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</si>
  <si>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</si>
  <si>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</si>
  <si>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</si>
  <si>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</si>
  <si>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</si>
  <si>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</si>
  <si>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</si>
  <si>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</si>
  <si>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</si>
  <si>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</si>
  <si>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</si>
  <si>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</si>
  <si>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</si>
  <si>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</si>
  <si>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</si>
  <si>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</si>
  <si>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</si>
  <si>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</si>
  <si>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</si>
  <si>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</si>
  <si>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</si>
  <si>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</si>
  <si>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</si>
  <si>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</si>
  <si>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</si>
  <si>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</si>
  <si>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</si>
  <si>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</si>
  <si>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</si>
  <si>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</si>
  <si>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</si>
  <si>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</si>
  <si>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</si>
  <si>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</si>
  <si>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</si>
  <si>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</si>
  <si>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</si>
  <si>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</si>
  <si>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</si>
  <si>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</si>
  <si>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</si>
  <si>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</si>
  <si>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</si>
  <si>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</si>
  <si>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</si>
  <si>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</si>
  <si>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</si>
  <si>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</si>
  <si>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</si>
  <si>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</si>
  <si>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</si>
  <si>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</si>
  <si>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</si>
  <si>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</si>
  <si>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</si>
  <si>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</si>
  <si>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</si>
  <si>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</si>
  <si>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</si>
  <si>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</si>
  <si>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</si>
  <si>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</si>
  <si>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</si>
  <si>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</si>
  <si>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</si>
  <si>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</si>
  <si>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</si>
  <si>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</si>
  <si>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</si>
  <si>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</si>
  <si>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</si>
  <si>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</si>
  <si>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</si>
  <si>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</si>
  <si>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</si>
  <si>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</si>
  <si>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</si>
  <si>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</si>
  <si>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</si>
  <si>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</si>
  <si>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</si>
  <si>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</si>
  <si>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</si>
  <si>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</si>
  <si>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</si>
  <si>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</si>
  <si>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</si>
  <si>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</si>
  <si>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</si>
  <si>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</si>
  <si>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</si>
  <si>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</si>
  <si>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</si>
  <si>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</si>
  <si>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</si>
  <si>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</si>
  <si>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</si>
  <si>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</si>
  <si>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</si>
  <si>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</si>
  <si>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</si>
  <si>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</si>
  <si>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</si>
  <si>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</si>
  <si>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</si>
  <si>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</si>
  <si>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</si>
  <si>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</si>
  <si>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</si>
  <si>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</si>
  <si>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</si>
  <si>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</si>
  <si>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</si>
  <si>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</si>
  <si>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</si>
  <si>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</si>
  <si>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</si>
  <si>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</si>
  <si>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</si>
  <si>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</si>
  <si>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</si>
  <si>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</si>
  <si>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</si>
  <si>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</si>
  <si>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</si>
  <si>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</si>
  <si>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</si>
  <si>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</si>
  <si>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</si>
  <si>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</si>
  <si>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</si>
  <si>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</si>
  <si>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</si>
  <si>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</si>
  <si>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</si>
  <si>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</si>
  <si>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</si>
  <si>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</si>
  <si>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</si>
  <si>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</si>
  <si>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</si>
  <si>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</si>
  <si>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</si>
  <si>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</si>
  <si>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</si>
  <si>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</si>
  <si>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</si>
  <si>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</si>
  <si>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</si>
  <si>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</si>
  <si>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</si>
  <si>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</si>
  <si>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</si>
  <si>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</si>
  <si>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</si>
  <si>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</si>
  <si>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</si>
  <si>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</si>
  <si>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</si>
  <si>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</si>
  <si>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</si>
  <si>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</si>
  <si>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</si>
  <si>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</si>
  <si>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</si>
  <si>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</si>
  <si>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</si>
  <si>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</si>
  <si>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</si>
  <si>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</si>
  <si>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</si>
  <si>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</si>
  <si>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</si>
  <si>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</si>
  <si>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</si>
  <si>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</si>
  <si>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</si>
  <si>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</si>
  <si>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</si>
  <si>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</si>
  <si>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</si>
  <si>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</si>
  <si>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</si>
  <si>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</si>
  <si>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</si>
  <si>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</si>
  <si>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</si>
  <si>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</si>
  <si>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</si>
  <si>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</si>
  <si>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</si>
  <si>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</si>
  <si>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</si>
  <si>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</si>
  <si>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</si>
  <si>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</si>
  <si>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</si>
  <si>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</si>
  <si>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</si>
  <si>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</si>
  <si>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</si>
  <si>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</si>
  <si>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</si>
  <si>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</si>
  <si>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</si>
  <si>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</si>
  <si>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</si>
  <si>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</si>
  <si>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</si>
  <si>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</si>
  <si>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</si>
  <si>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</si>
  <si>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</si>
  <si>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</si>
  <si>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</si>
  <si>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</si>
  <si>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</si>
  <si>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</si>
  <si>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</si>
  <si>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</si>
  <si>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</si>
  <si>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</si>
  <si>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</si>
  <si>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</si>
  <si>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</si>
  <si>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</si>
  <si>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</si>
  <si>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</si>
  <si>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</si>
  <si>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</si>
  <si>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</si>
  <si>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</si>
  <si>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</si>
  <si>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</si>
  <si>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</si>
  <si>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</si>
  <si>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</si>
  <si>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</si>
  <si>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</si>
  <si>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</si>
  <si>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</si>
  <si>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</si>
  <si>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</si>
  <si>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</si>
  <si>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</si>
  <si>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</si>
  <si>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</si>
  <si>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</si>
  <si>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</si>
  <si>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</si>
  <si>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</si>
  <si>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</si>
  <si>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</si>
  <si>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</si>
  <si>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</si>
  <si>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</si>
  <si>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</si>
  <si>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</si>
  <si>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</si>
  <si>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</si>
  <si>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</si>
  <si>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</si>
  <si>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</si>
  <si>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</si>
  <si>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</si>
  <si>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</si>
  <si>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</si>
  <si>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</si>
  <si>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</si>
  <si>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</si>
  <si>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</si>
  <si>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</si>
  <si>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</si>
  <si>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</si>
  <si>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</si>
  <si>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</si>
  <si>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</si>
  <si>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</si>
  <si>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</si>
  <si>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</si>
  <si>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</si>
  <si>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</si>
  <si>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</si>
  <si>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</si>
  <si>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</si>
  <si>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</si>
  <si>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</si>
  <si>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</si>
  <si>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</si>
  <si>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</si>
  <si>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</si>
  <si>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</si>
  <si>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</si>
  <si>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</si>
  <si>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</si>
  <si>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</si>
  <si>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</si>
  <si>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</si>
  <si>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</si>
  <si>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</si>
  <si>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</si>
  <si>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</si>
  <si>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</si>
  <si>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</si>
  <si>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</si>
  <si>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</si>
  <si>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</si>
  <si>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</si>
  <si>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</si>
  <si>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</si>
  <si>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</si>
  <si>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</si>
  <si>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</si>
  <si>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</si>
  <si>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</si>
  <si>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</si>
  <si>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</si>
  <si>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</si>
  <si>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</si>
  <si>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</si>
  <si>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</si>
  <si>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</si>
  <si>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</si>
  <si>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</si>
  <si>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</si>
  <si>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</si>
  <si>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</si>
  <si>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</si>
  <si>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</si>
  <si>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</si>
  <si>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</si>
  <si>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</si>
  <si>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</si>
  <si>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</si>
  <si>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</si>
  <si>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</si>
  <si>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</si>
  <si>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</si>
  <si>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</si>
  <si>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</si>
  <si>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</si>
  <si>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</si>
  <si>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</si>
  <si>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</si>
  <si>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</si>
  <si>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</si>
  <si>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</si>
  <si>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</si>
  <si>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</si>
  <si>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</si>
  <si>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</si>
  <si>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</si>
  <si>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</si>
  <si>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</si>
  <si>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</si>
  <si>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</si>
  <si>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</si>
  <si>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</si>
  <si>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</si>
  <si>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</si>
  <si>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</si>
  <si>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</si>
  <si>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</si>
  <si>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</si>
  <si>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</si>
  <si>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</si>
  <si>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</si>
  <si>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</si>
  <si>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</si>
  <si>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</si>
  <si>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</si>
  <si>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</si>
  <si>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</si>
  <si>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</si>
  <si>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</si>
  <si>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</si>
  <si>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</si>
  <si>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</si>
  <si>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Food Service - Duplicate receivables recorded</t>
  </si>
  <si>
    <t>Inter-Lakes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</si>
</sst>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zoomScaleSheetLayoutView="110" workbookViewId="0">
      <pane xSplit="5" ySplit="3" topLeftCell="F64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269</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27408.54</v>
      </c>
      <c r="G9" s="18"/>
      <c r="H9" s="18"/>
      <c r="I9" s="18">
        <v>3231.11</v>
      </c>
      <c r="J9" s="67">
        <f>SUM(I439)</f>
        <v>733625.3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1407042.24</f>
        <v>1407042.24</v>
      </c>
      <c r="G12" s="18">
        <v>377671.94</v>
      </c>
      <c r="H12" s="18">
        <v>381668.78</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55721.37</f>
        <v>55721.37</v>
      </c>
      <c r="G13" s="18">
        <v>103041.87</v>
      </c>
      <c r="H13" s="18">
        <f>110825.26+320718.88</f>
        <v>431544.14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118.99</v>
      </c>
      <c r="G14" s="18">
        <f>7203.58-15883</f>
        <v>-8679.42</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23519.27</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1513810.4100000001</v>
      </c>
      <c r="G19" s="41">
        <f>SUM(G9:G18)</f>
        <v>472034.39</v>
      </c>
      <c r="H19" s="41">
        <f>SUM(H9:H18)</f>
        <v>813212.92</v>
      </c>
      <c r="I19" s="41">
        <f>SUM(I9:I18)</f>
        <v>3231.11</v>
      </c>
      <c r="J19" s="41">
        <f>SUM(J9:J18)</f>
        <v>733625.3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746380.21</f>
        <v>746380.21</v>
      </c>
      <c r="G22" s="18">
        <v>426516.7</v>
      </c>
      <c r="H22" s="18">
        <f>419952.78+300153.38</f>
        <v>720106.16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319942.03</f>
        <v>319942.03000000003</v>
      </c>
      <c r="G24" s="18">
        <v>21854.55</v>
      </c>
      <c r="H24" s="18">
        <f>11776.77+3033.44+20565.5</f>
        <v>35375.71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22393.65</v>
      </c>
      <c r="G28" s="18"/>
      <c r="H28" s="18">
        <v>104.69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9391.66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-4030.99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1098107.5499999998</v>
      </c>
      <c r="G32" s="41">
        <f>SUM(G22:G31)</f>
        <v>444340.26</v>
      </c>
      <c r="H32" s="41">
        <f>SUM(H22:H31)</f>
        <v>755586.55999999994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27694.13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57626.36</v>
      </c>
      <c r="I48" s="18">
        <v>3231.11</v>
      </c>
      <c r="J48" s="13">
        <f>SUM(I459)</f>
        <v>733625.3</v>
      </c>
      <c r="K48" s="24" t="s">
        <v>288</v>
      </c>
      <c r="L48" s="24" t="s">
        <v>288</v>
      </c>
      <c r="M48" s="8"/>
      <c r="N48" s="266"/>
    </row>
    <row r="49" spans="1:14" s="3" customFormat="1" ht="12.2" customHeight="1" x14ac:dyDescent="0.15">
      <c r="A49" s="1" t="s">
        <v>859</v>
      </c>
      <c r="B49" s="2" t="s">
        <v>289</v>
      </c>
      <c r="C49" s="6">
        <v>34</v>
      </c>
      <c r="D49" s="2"/>
      <c r="E49" s="6">
        <v>753</v>
      </c>
      <c r="F49" s="18">
        <v>220998.68</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49704.18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415702.86</v>
      </c>
      <c r="G51" s="41">
        <f>SUM(G35:G50)</f>
        <v>27694.13</v>
      </c>
      <c r="H51" s="41">
        <f>SUM(H35:H50)</f>
        <v>57626.36</v>
      </c>
      <c r="I51" s="41">
        <f>SUM(I35:I50)</f>
        <v>3231.11</v>
      </c>
      <c r="J51" s="41">
        <f>SUM(J35:J50)</f>
        <v>733625.3</v>
      </c>
      <c r="K51" s="45" t="s">
        <v>288</v>
      </c>
      <c r="L51" s="45" t="s">
        <v>288</v>
      </c>
      <c r="N51" s="264"/>
    </row>
    <row r="52" spans="1:14" s="3" customFormat="1" ht="12.2" customHeight="1" thickTop="1" x14ac:dyDescent="0.15">
      <c r="A52" s="38" t="s">
        <v>455</v>
      </c>
      <c r="B52" s="39" t="s">
        <v>289</v>
      </c>
      <c r="C52" s="6">
        <v>37</v>
      </c>
      <c r="D52" s="39" t="s">
        <v>653</v>
      </c>
      <c r="E52" s="39"/>
      <c r="F52" s="41">
        <f>F51+F32</f>
        <v>1513810.4099999997</v>
      </c>
      <c r="G52" s="41">
        <f>G51+G32</f>
        <v>472034.39</v>
      </c>
      <c r="H52" s="41">
        <f>H51+H32</f>
        <v>813212.91999999993</v>
      </c>
      <c r="I52" s="41">
        <f>I51+I32</f>
        <v>3231.11</v>
      </c>
      <c r="J52" s="41">
        <f>J51+J32</f>
        <v>733625.3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18295313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18295313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34240.629999999997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34240.629999999997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5508.43</v>
      </c>
      <c r="G96" s="18"/>
      <c r="H96" s="18"/>
      <c r="I96" s="18"/>
      <c r="J96" s="18">
        <v>13428.79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219630.95+21476.6+955.75</f>
        <v>242063.30000000002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5931</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33332</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14.86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v>60019.38</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44786.29</v>
      </c>
      <c r="G111" s="41">
        <f>SUM(G96:G110)</f>
        <v>242063.30000000002</v>
      </c>
      <c r="H111" s="41">
        <f>SUM(H96:H110)</f>
        <v>60019.38</v>
      </c>
      <c r="I111" s="41">
        <f>SUM(I96:I110)</f>
        <v>0</v>
      </c>
      <c r="J111" s="41">
        <f>SUM(J96:J110)</f>
        <v>13428.79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18374339.919999998</v>
      </c>
      <c r="G112" s="41">
        <f>G60+G111</f>
        <v>242063.30000000002</v>
      </c>
      <c r="H112" s="41">
        <f>H60+H79+H94+H111</f>
        <v>60019.38</v>
      </c>
      <c r="I112" s="41">
        <f>I60+I111</f>
        <v>0</v>
      </c>
      <c r="J112" s="41">
        <f>J60+J111</f>
        <v>13428.79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6040001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6040001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91545.03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85593.31</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16878.599999999999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3139</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5798.81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320718.88</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194016.94</v>
      </c>
      <c r="G136" s="41">
        <f>SUM(G123:G135)</f>
        <v>5798.81</v>
      </c>
      <c r="H136" s="41">
        <f>SUM(H123:H135)</f>
        <v>323857.88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6234017.9400000004</v>
      </c>
      <c r="G140" s="41">
        <f>G121+SUM(G136:G137)</f>
        <v>5798.81</v>
      </c>
      <c r="H140" s="41">
        <f>H121+SUM(H136:H139)</f>
        <v>323857.88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244975.94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70584.73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179247.18+18237.73</f>
        <v>197484.91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141162.85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50714.91</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191877.76000000001</v>
      </c>
      <c r="G162" s="41">
        <f>SUM(G150:G161)</f>
        <v>197484.91</v>
      </c>
      <c r="H162" s="41">
        <f>SUM(H150:H161)</f>
        <v>315560.67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8495.8799999999992</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200373.64</v>
      </c>
      <c r="G169" s="41">
        <f>G147+G162+SUM(G163:G168)</f>
        <v>197484.91</v>
      </c>
      <c r="H169" s="41">
        <f>H147+H162+SUM(H163:H168)</f>
        <v>315560.67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24808731.5</v>
      </c>
      <c r="G193" s="47">
        <f>G112+G140+G169+G192</f>
        <v>445347.02</v>
      </c>
      <c r="H193" s="47">
        <f>H112+H140+H169+H192</f>
        <v>699437.92999999993</v>
      </c>
      <c r="I193" s="47">
        <f>I112+I140+I169+I192</f>
        <v>0</v>
      </c>
      <c r="J193" s="47">
        <f>J112+J140+J192</f>
        <v>138428.79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4288710.1399999997</v>
      </c>
      <c r="G197" s="18">
        <v>1913958.32</v>
      </c>
      <c r="H197" s="18">
        <v>76517.16</v>
      </c>
      <c r="I197" s="18">
        <v>105955.33</v>
      </c>
      <c r="J197" s="18">
        <v>16979.900000000001</v>
      </c>
      <c r="K197" s="18">
        <v>54</v>
      </c>
      <c r="L197" s="19">
        <f>SUM(F197:K197)</f>
        <v>6402174.8500000006</v>
      </c>
      <c r="M197" s="8"/>
      <c r="N197" s="266"/>
    </row>
    <row r="198" spans="1:14" s="3" customFormat="1" ht="12.2" customHeight="1" x14ac:dyDescent="0.15">
      <c r="A198" s="1" t="s">
        <v>439</v>
      </c>
      <c r="B198" s="2" t="s">
        <v>341</v>
      </c>
      <c r="C198" s="2" t="s">
        <v>291</v>
      </c>
      <c r="D198" s="2" t="s">
        <v>431</v>
      </c>
      <c r="E198" s="6">
        <v>1200</v>
      </c>
      <c r="F198" s="18">
        <v>1828284.29</v>
      </c>
      <c r="G198" s="18">
        <v>751254.41</v>
      </c>
      <c r="H198" s="18">
        <v>207407.21</v>
      </c>
      <c r="I198" s="18">
        <v>18560.419999999998</v>
      </c>
      <c r="J198" s="18">
        <v>0</v>
      </c>
      <c r="K198" s="18">
        <v>0</v>
      </c>
      <c r="L198" s="19">
        <f>SUM(F198:K198)</f>
        <v>2805506.33</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99482</v>
      </c>
      <c r="G200" s="18">
        <v>18855.3</v>
      </c>
      <c r="H200" s="18">
        <v>6448.43</v>
      </c>
      <c r="I200" s="18">
        <v>4797.42</v>
      </c>
      <c r="J200" s="18">
        <v>0</v>
      </c>
      <c r="K200" s="18">
        <v>3320</v>
      </c>
      <c r="L200" s="19">
        <f>SUM(F200:K200)</f>
        <v>132903.15000000002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659540.92000000004</v>
      </c>
      <c r="G202" s="18">
        <v>304920.89</v>
      </c>
      <c r="H202" s="18">
        <v>96288.39</v>
      </c>
      <c r="I202" s="18">
        <v>8319.94</v>
      </c>
      <c r="J202" s="18">
        <v>916.74</v>
      </c>
      <c r="K202" s="18">
        <v>320.75</v>
      </c>
      <c r="L202" s="19">
        <f t="shared" ref="L202:L208" si="0">SUM(F202:K202)</f>
        <v>1070307.6299999999</v>
      </c>
      <c r="M202" s="8"/>
      <c r="N202" s="266"/>
    </row>
    <row r="203" spans="1:14" s="3" customFormat="1" ht="12.2" customHeight="1" x14ac:dyDescent="0.15">
      <c r="A203" s="1" t="s">
        <v>443</v>
      </c>
      <c r="B203" s="2" t="s">
        <v>341</v>
      </c>
      <c r="C203" s="2" t="s">
        <v>295</v>
      </c>
      <c r="D203" s="2" t="s">
        <v>431</v>
      </c>
      <c r="E203" s="6">
        <v>2200</v>
      </c>
      <c r="F203" s="18">
        <v>435522.64</v>
      </c>
      <c r="G203" s="18">
        <v>243647.91</v>
      </c>
      <c r="H203" s="18">
        <v>176098.63</v>
      </c>
      <c r="I203" s="18">
        <v>107810.77</v>
      </c>
      <c r="J203" s="18">
        <v>218893.4</v>
      </c>
      <c r="K203" s="18">
        <v>383.68</v>
      </c>
      <c r="L203" s="19">
        <f t="shared" si="0"/>
        <v>1182357.03</v>
      </c>
      <c r="M203" s="8"/>
      <c r="N203" s="266"/>
    </row>
    <row r="204" spans="1:14" s="3" customFormat="1" ht="12.2" customHeight="1" x14ac:dyDescent="0.15">
      <c r="A204" s="1" t="s">
        <v>444</v>
      </c>
      <c r="B204" s="2" t="s">
        <v>341</v>
      </c>
      <c r="C204" s="2" t="s">
        <v>296</v>
      </c>
      <c r="D204" s="2" t="s">
        <v>431</v>
      </c>
      <c r="E204" s="6">
        <v>2300</v>
      </c>
      <c r="F204" s="18">
        <v>8774.61</v>
      </c>
      <c r="G204" s="18">
        <v>693.17</v>
      </c>
      <c r="H204" s="18">
        <v>698773.46</v>
      </c>
      <c r="I204" s="18">
        <v>6812.01</v>
      </c>
      <c r="J204" s="18">
        <v>0</v>
      </c>
      <c r="K204" s="18">
        <v>6656.93</v>
      </c>
      <c r="L204" s="19">
        <f t="shared" si="0"/>
        <v>721710.18</v>
      </c>
      <c r="M204" s="8"/>
      <c r="N204" s="266"/>
    </row>
    <row r="205" spans="1:14" s="3" customFormat="1" ht="12.2" customHeight="1" x14ac:dyDescent="0.15">
      <c r="A205" s="1" t="s">
        <v>445</v>
      </c>
      <c r="B205" s="2" t="s">
        <v>341</v>
      </c>
      <c r="C205" s="2" t="s">
        <v>297</v>
      </c>
      <c r="D205" s="2" t="s">
        <v>431</v>
      </c>
      <c r="E205" s="6">
        <v>2400</v>
      </c>
      <c r="F205" s="18">
        <v>627843.82999999996</v>
      </c>
      <c r="G205" s="18">
        <v>318528.25</v>
      </c>
      <c r="H205" s="18">
        <v>49238.39</v>
      </c>
      <c r="I205" s="18">
        <v>5103.54</v>
      </c>
      <c r="J205" s="18">
        <v>313.98</v>
      </c>
      <c r="K205" s="18">
        <v>1303</v>
      </c>
      <c r="L205" s="19">
        <f t="shared" si="0"/>
        <v>1002330.99</v>
      </c>
      <c r="M205" s="8"/>
      <c r="N205" s="266"/>
    </row>
    <row r="206" spans="1:14" s="3" customFormat="1" ht="12.2" customHeight="1" x14ac:dyDescent="0.15">
      <c r="A206" s="1" t="s">
        <v>446</v>
      </c>
      <c r="B206" s="2" t="s">
        <v>341</v>
      </c>
      <c r="C206" s="2" t="s">
        <v>298</v>
      </c>
      <c r="D206" s="2" t="s">
        <v>431</v>
      </c>
      <c r="E206" s="6">
        <v>2500</v>
      </c>
      <c r="F206" s="18">
        <v>9519.6299999999992</v>
      </c>
      <c r="G206" s="18">
        <v>752.05</v>
      </c>
      <c r="H206" s="18">
        <v>0</v>
      </c>
      <c r="I206" s="18">
        <v>725.67</v>
      </c>
      <c r="J206" s="18">
        <v>4715.92</v>
      </c>
      <c r="K206" s="18">
        <v>0</v>
      </c>
      <c r="L206" s="19">
        <f t="shared" si="0"/>
        <v>15713.269999999999</v>
      </c>
      <c r="M206" s="8"/>
      <c r="N206" s="266"/>
    </row>
    <row r="207" spans="1:14" s="3" customFormat="1" ht="12.2" customHeight="1" x14ac:dyDescent="0.15">
      <c r="A207" s="1" t="s">
        <v>447</v>
      </c>
      <c r="B207" s="2" t="s">
        <v>341</v>
      </c>
      <c r="C207" s="2" t="s">
        <v>299</v>
      </c>
      <c r="D207" s="2" t="s">
        <v>431</v>
      </c>
      <c r="E207" s="6">
        <v>2600</v>
      </c>
      <c r="F207" s="18">
        <v>417020.76</v>
      </c>
      <c r="G207" s="18">
        <v>282613.08</v>
      </c>
      <c r="H207" s="18">
        <v>618625.18999999994</v>
      </c>
      <c r="I207" s="18">
        <v>283511.82</v>
      </c>
      <c r="J207" s="18">
        <f>386162.41-193516.83-24661.04</f>
        <v>167984.53999999998</v>
      </c>
      <c r="K207" s="18">
        <v>6.8</v>
      </c>
      <c r="L207" s="19">
        <f t="shared" si="0"/>
        <v>1769762.1900000002</v>
      </c>
      <c r="M207" s="8"/>
      <c r="N207" s="266"/>
    </row>
    <row r="208" spans="1:14" s="3" customFormat="1" ht="12.2" customHeight="1" x14ac:dyDescent="0.15">
      <c r="A208" s="1" t="s">
        <v>448</v>
      </c>
      <c r="B208" s="2" t="s">
        <v>341</v>
      </c>
      <c r="C208" s="2" t="s">
        <v>300</v>
      </c>
      <c r="D208" s="2" t="s">
        <v>431</v>
      </c>
      <c r="E208" s="6">
        <v>2700</v>
      </c>
      <c r="F208" s="18">
        <v>0</v>
      </c>
      <c r="G208" s="18">
        <v>0</v>
      </c>
      <c r="H208" s="18">
        <v>804949.6</v>
      </c>
      <c r="I208" s="18">
        <v>0</v>
      </c>
      <c r="J208" s="18">
        <v>0</v>
      </c>
      <c r="K208" s="18">
        <v>0</v>
      </c>
      <c r="L208" s="19">
        <f t="shared" si="0"/>
        <v>804949.6</v>
      </c>
      <c r="M208" s="8"/>
      <c r="N208" s="266"/>
    </row>
    <row r="209" spans="1:14" s="3" customFormat="1" ht="12.2" customHeight="1" x14ac:dyDescent="0.15">
      <c r="A209" s="1" t="s">
        <v>449</v>
      </c>
      <c r="B209" s="2" t="s">
        <v>341</v>
      </c>
      <c r="C209" s="2" t="s">
        <v>343</v>
      </c>
      <c r="D209" s="2" t="s">
        <v>431</v>
      </c>
      <c r="E209" s="6">
        <v>2800</v>
      </c>
      <c r="F209" s="18">
        <v>0</v>
      </c>
      <c r="G209" s="18">
        <v>671923.87</v>
      </c>
      <c r="H209" s="18">
        <v>0</v>
      </c>
      <c r="I209" s="18">
        <v>0</v>
      </c>
      <c r="J209" s="18">
        <v>0</v>
      </c>
      <c r="K209" s="18">
        <v>0</v>
      </c>
      <c r="L209" s="19">
        <f>SUM(F209:K209)</f>
        <v>671923.87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8374698.8199999994</v>
      </c>
      <c r="G211" s="41">
        <f t="shared" si="1"/>
        <v>4507147.25</v>
      </c>
      <c r="H211" s="41">
        <f t="shared" si="1"/>
        <v>2734346.46</v>
      </c>
      <c r="I211" s="41">
        <f t="shared" si="1"/>
        <v>541596.92000000004</v>
      </c>
      <c r="J211" s="41">
        <f t="shared" si="1"/>
        <v>409804.48</v>
      </c>
      <c r="K211" s="41">
        <f t="shared" si="1"/>
        <v>12045.16</v>
      </c>
      <c r="L211" s="41">
        <f t="shared" si="1"/>
        <v>16579639.089999998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1936884.04</v>
      </c>
      <c r="G233" s="18">
        <v>910890.21</v>
      </c>
      <c r="H233" s="18">
        <v>31368.02</v>
      </c>
      <c r="I233" s="18">
        <v>55220.18</v>
      </c>
      <c r="J233" s="18">
        <v>19904.07</v>
      </c>
      <c r="K233" s="18">
        <v>0</v>
      </c>
      <c r="L233" s="19">
        <f>SUM(F233:K233)</f>
        <v>2954266.52</v>
      </c>
      <c r="M233" s="8"/>
      <c r="N233" s="266"/>
    </row>
    <row r="234" spans="1:14" s="3" customFormat="1" ht="12.2" customHeight="1" x14ac:dyDescent="0.15">
      <c r="A234" s="1" t="s">
        <v>439</v>
      </c>
      <c r="B234" s="2" t="s">
        <v>350</v>
      </c>
      <c r="C234" s="2" t="s">
        <v>291</v>
      </c>
      <c r="D234" s="2" t="s">
        <v>431</v>
      </c>
      <c r="E234" s="6">
        <v>1200</v>
      </c>
      <c r="F234" s="18">
        <v>669001.36</v>
      </c>
      <c r="G234" s="18">
        <v>271581</v>
      </c>
      <c r="H234" s="18">
        <v>98877.66</v>
      </c>
      <c r="I234" s="18">
        <v>6806.18</v>
      </c>
      <c r="J234" s="18">
        <v>0</v>
      </c>
      <c r="K234" s="18">
        <v>0</v>
      </c>
      <c r="L234" s="19">
        <f>SUM(F234:K234)</f>
        <v>1046266.2000000001</v>
      </c>
      <c r="M234" s="8"/>
      <c r="N234" s="266"/>
    </row>
    <row r="235" spans="1:14" s="3" customFormat="1" ht="12.2" customHeight="1" x14ac:dyDescent="0.15">
      <c r="A235" s="1" t="s">
        <v>440</v>
      </c>
      <c r="B235" s="2" t="s">
        <v>350</v>
      </c>
      <c r="C235" s="2" t="s">
        <v>292</v>
      </c>
      <c r="D235" s="2" t="s">
        <v>431</v>
      </c>
      <c r="E235" s="6">
        <v>1300</v>
      </c>
      <c r="F235" s="18">
        <v>0</v>
      </c>
      <c r="G235" s="18">
        <v>0</v>
      </c>
      <c r="H235" s="18">
        <v>117042.61</v>
      </c>
      <c r="I235" s="18">
        <v>0</v>
      </c>
      <c r="J235" s="18">
        <v>0</v>
      </c>
      <c r="K235" s="18">
        <v>0</v>
      </c>
      <c r="L235" s="19">
        <f>SUM(F235:K235)</f>
        <v>117042.61</v>
      </c>
      <c r="M235" s="8"/>
      <c r="N235" s="266"/>
    </row>
    <row r="236" spans="1:14" s="3" customFormat="1" ht="12.2" customHeight="1" x14ac:dyDescent="0.15">
      <c r="A236" s="1" t="s">
        <v>441</v>
      </c>
      <c r="B236" s="2" t="s">
        <v>350</v>
      </c>
      <c r="C236" s="2" t="s">
        <v>293</v>
      </c>
      <c r="D236" s="2" t="s">
        <v>431</v>
      </c>
      <c r="E236" s="6">
        <v>1400</v>
      </c>
      <c r="F236" s="18">
        <v>197964.5</v>
      </c>
      <c r="G236" s="18">
        <v>38666.120000000003</v>
      </c>
      <c r="H236" s="18">
        <v>111397.29</v>
      </c>
      <c r="I236" s="18">
        <v>21340.33</v>
      </c>
      <c r="J236" s="18">
        <v>12443.31</v>
      </c>
      <c r="K236" s="18">
        <v>15368</v>
      </c>
      <c r="L236" s="19">
        <f>SUM(F236:K236)</f>
        <v>397179.55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298167.52</v>
      </c>
      <c r="G238" s="18">
        <v>159073.76999999999</v>
      </c>
      <c r="H238" s="18">
        <v>56264.17</v>
      </c>
      <c r="I238" s="18">
        <v>7062.68</v>
      </c>
      <c r="J238" s="18">
        <v>430.86</v>
      </c>
      <c r="K238" s="18">
        <v>230.25</v>
      </c>
      <c r="L238" s="19">
        <f t="shared" ref="L238:L244" si="4">SUM(F238:K238)</f>
        <v>521229.25</v>
      </c>
      <c r="M238" s="8"/>
      <c r="N238" s="266"/>
    </row>
    <row r="239" spans="1:14" s="3" customFormat="1" ht="12.2" customHeight="1" x14ac:dyDescent="0.15">
      <c r="A239" s="1" t="s">
        <v>443</v>
      </c>
      <c r="B239" s="2" t="s">
        <v>350</v>
      </c>
      <c r="C239" s="2" t="s">
        <v>295</v>
      </c>
      <c r="D239" s="2" t="s">
        <v>431</v>
      </c>
      <c r="E239" s="6">
        <v>2200</v>
      </c>
      <c r="F239" s="18">
        <v>216127.07</v>
      </c>
      <c r="G239" s="18">
        <v>118927.82</v>
      </c>
      <c r="H239" s="18">
        <v>84303.81</v>
      </c>
      <c r="I239" s="18">
        <v>61402.13</v>
      </c>
      <c r="J239" s="18">
        <v>104325.95</v>
      </c>
      <c r="K239" s="18">
        <v>744.32</v>
      </c>
      <c r="L239" s="19">
        <f t="shared" si="4"/>
        <v>585831.1</v>
      </c>
      <c r="M239" s="8"/>
      <c r="N239" s="266"/>
    </row>
    <row r="240" spans="1:14" s="3" customFormat="1" ht="12.2" customHeight="1" x14ac:dyDescent="0.15">
      <c r="A240" s="1" t="s">
        <v>444</v>
      </c>
      <c r="B240" s="2" t="s">
        <v>350</v>
      </c>
      <c r="C240" s="2" t="s">
        <v>296</v>
      </c>
      <c r="D240" s="2" t="s">
        <v>431</v>
      </c>
      <c r="E240" s="6">
        <v>2300</v>
      </c>
      <c r="F240" s="18">
        <v>4123.97</v>
      </c>
      <c r="G240" s="18">
        <v>325.77999999999997</v>
      </c>
      <c r="H240" s="18">
        <v>328415.3</v>
      </c>
      <c r="I240" s="18">
        <v>3201.56</v>
      </c>
      <c r="J240" s="18">
        <v>0</v>
      </c>
      <c r="K240" s="18">
        <v>3128.68</v>
      </c>
      <c r="L240" s="19">
        <f t="shared" si="4"/>
        <v>339195.29</v>
      </c>
      <c r="M240" s="8"/>
      <c r="N240" s="266"/>
    </row>
    <row r="241" spans="1:14" s="3" customFormat="1" ht="12.2" customHeight="1" x14ac:dyDescent="0.15">
      <c r="A241" s="1" t="s">
        <v>445</v>
      </c>
      <c r="B241" s="2" t="s">
        <v>350</v>
      </c>
      <c r="C241" s="2" t="s">
        <v>297</v>
      </c>
      <c r="D241" s="2" t="s">
        <v>431</v>
      </c>
      <c r="E241" s="6">
        <v>2400</v>
      </c>
      <c r="F241" s="18">
        <v>291018.13</v>
      </c>
      <c r="G241" s="18">
        <v>124531.25</v>
      </c>
      <c r="H241" s="18">
        <v>51350.55</v>
      </c>
      <c r="I241" s="18">
        <v>5089.97</v>
      </c>
      <c r="J241" s="18">
        <v>0</v>
      </c>
      <c r="K241" s="18">
        <v>10064</v>
      </c>
      <c r="L241" s="19">
        <f t="shared" si="4"/>
        <v>482053.89999999997</v>
      </c>
      <c r="M241" s="8"/>
      <c r="N241" s="266"/>
    </row>
    <row r="242" spans="1:14" s="3" customFormat="1" ht="12.2" customHeight="1" x14ac:dyDescent="0.15">
      <c r="A242" s="1" t="s">
        <v>446</v>
      </c>
      <c r="B242" s="2" t="s">
        <v>350</v>
      </c>
      <c r="C242" s="2" t="s">
        <v>298</v>
      </c>
      <c r="D242" s="2" t="s">
        <v>431</v>
      </c>
      <c r="E242" s="6">
        <v>2500</v>
      </c>
      <c r="F242" s="18">
        <v>4474.12</v>
      </c>
      <c r="G242" s="18">
        <v>353.46</v>
      </c>
      <c r="H242" s="18">
        <v>0</v>
      </c>
      <c r="I242" s="18">
        <v>341.06</v>
      </c>
      <c r="J242" s="18">
        <v>2216.42</v>
      </c>
      <c r="K242" s="18">
        <v>0</v>
      </c>
      <c r="L242" s="19">
        <f t="shared" si="4"/>
        <v>7385.06</v>
      </c>
      <c r="M242" s="8"/>
      <c r="N242" s="266"/>
    </row>
    <row r="243" spans="1:14" s="3" customFormat="1" ht="12.2" customHeight="1" x14ac:dyDescent="0.15">
      <c r="A243" s="1" t="s">
        <v>447</v>
      </c>
      <c r="B243" s="2" t="s">
        <v>350</v>
      </c>
      <c r="C243" s="2" t="s">
        <v>299</v>
      </c>
      <c r="D243" s="2" t="s">
        <v>431</v>
      </c>
      <c r="E243" s="6">
        <v>2600</v>
      </c>
      <c r="F243" s="18">
        <v>228543.96</v>
      </c>
      <c r="G243" s="18">
        <v>142856.63</v>
      </c>
      <c r="H243" s="18">
        <v>388369.71</v>
      </c>
      <c r="I243" s="18">
        <v>153803.48000000001</v>
      </c>
      <c r="J243" s="18">
        <f>381302.67-102541.01</f>
        <v>278761.65999999997</v>
      </c>
      <c r="K243" s="18">
        <v>3.2</v>
      </c>
      <c r="L243" s="19">
        <f t="shared" si="4"/>
        <v>1192338.6399999999</v>
      </c>
      <c r="M243" s="8"/>
      <c r="N243" s="266"/>
    </row>
    <row r="244" spans="1:14" s="3" customFormat="1" ht="12.2" customHeight="1" x14ac:dyDescent="0.15">
      <c r="A244" s="1" t="s">
        <v>448</v>
      </c>
      <c r="B244" s="2" t="s">
        <v>350</v>
      </c>
      <c r="C244" s="2" t="s">
        <v>300</v>
      </c>
      <c r="D244" s="2" t="s">
        <v>431</v>
      </c>
      <c r="E244" s="6">
        <v>2700</v>
      </c>
      <c r="F244" s="18">
        <v>0</v>
      </c>
      <c r="G244" s="18">
        <v>0</v>
      </c>
      <c r="H244" s="18">
        <v>610747.91</v>
      </c>
      <c r="I244" s="18">
        <v>0</v>
      </c>
      <c r="J244" s="18">
        <v>0</v>
      </c>
      <c r="K244" s="18">
        <v>0</v>
      </c>
      <c r="L244" s="19">
        <f t="shared" si="4"/>
        <v>610747.91</v>
      </c>
      <c r="M244" s="8"/>
      <c r="N244" s="266"/>
    </row>
    <row r="245" spans="1:14" s="3" customFormat="1" ht="12.2" customHeight="1" x14ac:dyDescent="0.15">
      <c r="A245" s="1" t="s">
        <v>449</v>
      </c>
      <c r="B245" s="2" t="s">
        <v>350</v>
      </c>
      <c r="C245" s="2" t="s">
        <v>343</v>
      </c>
      <c r="D245" s="2" t="s">
        <v>431</v>
      </c>
      <c r="E245" s="6">
        <v>2800</v>
      </c>
      <c r="F245" s="18">
        <v>0</v>
      </c>
      <c r="G245" s="18">
        <v>315796.31</v>
      </c>
      <c r="H245" s="18">
        <v>0</v>
      </c>
      <c r="I245" s="18">
        <v>0</v>
      </c>
      <c r="J245" s="18">
        <v>0</v>
      </c>
      <c r="K245" s="18">
        <v>0</v>
      </c>
      <c r="L245" s="19">
        <f>SUM(F245:K245)</f>
        <v>315796.31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3846304.67</v>
      </c>
      <c r="G247" s="41">
        <f t="shared" si="5"/>
        <v>2083002.35</v>
      </c>
      <c r="H247" s="41">
        <f t="shared" si="5"/>
        <v>1878137.0300000003</v>
      </c>
      <c r="I247" s="41">
        <f t="shared" si="5"/>
        <v>314267.57</v>
      </c>
      <c r="J247" s="41">
        <f t="shared" si="5"/>
        <v>418082.27</v>
      </c>
      <c r="K247" s="41">
        <f t="shared" si="5"/>
        <v>29538.45</v>
      </c>
      <c r="L247" s="41">
        <f t="shared" si="5"/>
        <v>8569332.3399999999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12221003.489999998</v>
      </c>
      <c r="G257" s="41">
        <f t="shared" si="8"/>
        <v>6590149.5999999996</v>
      </c>
      <c r="H257" s="41">
        <f t="shared" si="8"/>
        <v>4612483.49</v>
      </c>
      <c r="I257" s="41">
        <f t="shared" si="8"/>
        <v>855864.49</v>
      </c>
      <c r="J257" s="41">
        <f t="shared" si="8"/>
        <v>827886.75</v>
      </c>
      <c r="K257" s="41">
        <f t="shared" si="8"/>
        <v>41583.61</v>
      </c>
      <c r="L257" s="41">
        <f t="shared" si="8"/>
        <v>25148971.43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125000</v>
      </c>
      <c r="L266" s="19">
        <f t="shared" si="9"/>
        <v>125000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125000</v>
      </c>
      <c r="L270" s="41">
        <f t="shared" si="9"/>
        <v>125000</v>
      </c>
      <c r="N270" s="264"/>
    </row>
    <row r="271" spans="1:14" s="3" customFormat="1" ht="12.2" customHeight="1" thickTop="1" x14ac:dyDescent="0.2">
      <c r="A271" s="43" t="s">
        <v>464</v>
      </c>
      <c r="B271" s="40">
        <v>10</v>
      </c>
      <c r="C271" s="40">
        <v>18</v>
      </c>
      <c r="D271" s="39" t="s">
        <v>431</v>
      </c>
      <c r="E271" s="40"/>
      <c r="F271" s="42">
        <f t="shared" ref="F271:L271" si="11">F257+F270</f>
        <v>12221003.489999998</v>
      </c>
      <c r="G271" s="42">
        <f t="shared" si="11"/>
        <v>6590149.5999999996</v>
      </c>
      <c r="H271" s="42">
        <f t="shared" si="11"/>
        <v>4612483.49</v>
      </c>
      <c r="I271" s="42">
        <f t="shared" si="11"/>
        <v>855864.49</v>
      </c>
      <c r="J271" s="42">
        <f t="shared" si="11"/>
        <v>827886.75</v>
      </c>
      <c r="K271" s="42">
        <f t="shared" si="11"/>
        <v>166583.60999999999</v>
      </c>
      <c r="L271" s="42">
        <f t="shared" si="11"/>
        <v>25273971.43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162800.28</v>
      </c>
      <c r="G276" s="18">
        <v>59993.71</v>
      </c>
      <c r="H276" s="18">
        <v>13421.94</v>
      </c>
      <c r="I276" s="18">
        <v>11914.02</v>
      </c>
      <c r="J276" s="18">
        <v>852.05</v>
      </c>
      <c r="K276" s="18"/>
      <c r="L276" s="19">
        <f>SUM(F276:K276)</f>
        <v>248981.99999999997</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2718.6</v>
      </c>
      <c r="G281" s="18">
        <v>654.77</v>
      </c>
      <c r="H281" s="18"/>
      <c r="I281" s="18">
        <v>323.36</v>
      </c>
      <c r="J281" s="18"/>
      <c r="K281" s="18"/>
      <c r="L281" s="19">
        <f t="shared" ref="L281:L287" si="12">SUM(F281:K281)</f>
        <v>3696.73</v>
      </c>
      <c r="M281" s="8"/>
      <c r="N281" s="266"/>
    </row>
    <row r="282" spans="1:14" s="3" customFormat="1" ht="12.2" customHeight="1" x14ac:dyDescent="0.15">
      <c r="A282" s="1" t="s">
        <v>443</v>
      </c>
      <c r="B282" s="2" t="s">
        <v>357</v>
      </c>
      <c r="C282" s="2" t="s">
        <v>295</v>
      </c>
      <c r="D282" s="2" t="s">
        <v>431</v>
      </c>
      <c r="E282" s="6">
        <v>2200</v>
      </c>
      <c r="F282" s="18"/>
      <c r="G282" s="18">
        <v>5583.72</v>
      </c>
      <c r="H282" s="18">
        <v>46062.22</v>
      </c>
      <c r="I282" s="18"/>
      <c r="J282" s="18">
        <v>17501.560000000001</v>
      </c>
      <c r="K282" s="18"/>
      <c r="L282" s="19">
        <f t="shared" si="12"/>
        <v>69147.5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18547.169999999998</v>
      </c>
      <c r="L283" s="19">
        <f t="shared" si="12"/>
        <v>18547.169999999998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f>193516.83+24661.04</f>
        <v>218177.87</v>
      </c>
      <c r="K286" s="18"/>
      <c r="L286" s="19">
        <f t="shared" si="12"/>
        <v>218177.87</v>
      </c>
      <c r="M286" s="8"/>
      <c r="N286" s="266"/>
    </row>
    <row r="287" spans="1:14" s="3" customFormat="1" ht="12.2" customHeight="1" x14ac:dyDescent="0.15">
      <c r="A287" s="1" t="s">
        <v>448</v>
      </c>
      <c r="B287" s="2" t="s">
        <v>357</v>
      </c>
      <c r="C287" s="2" t="s">
        <v>300</v>
      </c>
      <c r="D287" s="2" t="s">
        <v>431</v>
      </c>
      <c r="E287" s="6">
        <v>2700</v>
      </c>
      <c r="F287" s="18"/>
      <c r="G287" s="18"/>
      <c r="H287" s="18">
        <v>1080.83</v>
      </c>
      <c r="I287" s="18"/>
      <c r="J287" s="18"/>
      <c r="K287" s="18"/>
      <c r="L287" s="19">
        <f t="shared" si="12"/>
        <v>1080.83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165518.88</v>
      </c>
      <c r="G290" s="42">
        <f t="shared" si="13"/>
        <v>66232.2</v>
      </c>
      <c r="H290" s="42">
        <f t="shared" si="13"/>
        <v>60564.990000000005</v>
      </c>
      <c r="I290" s="42">
        <f t="shared" si="13"/>
        <v>12237.380000000001</v>
      </c>
      <c r="J290" s="42">
        <f t="shared" si="13"/>
        <v>236531.47999999998</v>
      </c>
      <c r="K290" s="42">
        <f t="shared" si="13"/>
        <v>18547.169999999998</v>
      </c>
      <c r="L290" s="41">
        <f t="shared" si="13"/>
        <v>559632.1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3180</v>
      </c>
      <c r="I314" s="18">
        <v>546.29999999999995</v>
      </c>
      <c r="J314" s="18"/>
      <c r="K314" s="18"/>
      <c r="L314" s="19">
        <f>SUM(F314:K314)</f>
        <v>3726.3</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v>1267.4000000000001</v>
      </c>
      <c r="J317" s="18">
        <v>4500</v>
      </c>
      <c r="K317" s="18"/>
      <c r="L317" s="19">
        <f>SUM(F317:K317)</f>
        <v>5767.4</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v>34.67</v>
      </c>
      <c r="J319" s="18"/>
      <c r="K319" s="18"/>
      <c r="L319" s="19">
        <f t="shared" ref="L319:L325" si="16">SUM(F319:K319)</f>
        <v>34.67</v>
      </c>
      <c r="M319" s="8"/>
      <c r="N319" s="266"/>
    </row>
    <row r="320" spans="1:14" s="3" customFormat="1" ht="12.2" customHeight="1" x14ac:dyDescent="0.15">
      <c r="A320" s="1" t="s">
        <v>443</v>
      </c>
      <c r="B320" s="2" t="s">
        <v>359</v>
      </c>
      <c r="C320" s="2" t="s">
        <v>295</v>
      </c>
      <c r="D320" s="2" t="s">
        <v>431</v>
      </c>
      <c r="E320" s="6">
        <v>2200</v>
      </c>
      <c r="F320" s="18"/>
      <c r="G320" s="18">
        <v>2624.28</v>
      </c>
      <c r="H320" s="18">
        <v>21134.19</v>
      </c>
      <c r="I320" s="18"/>
      <c r="J320" s="18">
        <v>8225.52</v>
      </c>
      <c r="K320" s="18"/>
      <c r="L320" s="19">
        <f t="shared" si="16"/>
        <v>31983.989999999998</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v>1389.75</v>
      </c>
      <c r="L321" s="19">
        <f t="shared" si="16"/>
        <v>1389.75</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f>102541.01</f>
        <v>102541.01</v>
      </c>
      <c r="K324" s="18"/>
      <c r="L324" s="19">
        <f t="shared" si="16"/>
        <v>102541.01</v>
      </c>
      <c r="M324" s="8"/>
      <c r="N324" s="266"/>
    </row>
    <row r="325" spans="1:14" s="3" customFormat="1" ht="12.2" customHeight="1" x14ac:dyDescent="0.15">
      <c r="A325" s="1" t="s">
        <v>448</v>
      </c>
      <c r="B325" s="2" t="s">
        <v>359</v>
      </c>
      <c r="C325" s="2" t="s">
        <v>300</v>
      </c>
      <c r="D325" s="2" t="s">
        <v>431</v>
      </c>
      <c r="E325" s="6">
        <v>2700</v>
      </c>
      <c r="F325" s="18"/>
      <c r="G325" s="18"/>
      <c r="H325" s="18">
        <v>320</v>
      </c>
      <c r="I325" s="18"/>
      <c r="J325" s="18"/>
      <c r="K325" s="18"/>
      <c r="L325" s="19">
        <f t="shared" si="16"/>
        <v>320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2624.28</v>
      </c>
      <c r="H328" s="42">
        <f t="shared" si="17"/>
        <v>24634.19</v>
      </c>
      <c r="I328" s="42">
        <f t="shared" si="17"/>
        <v>1848.3700000000001</v>
      </c>
      <c r="J328" s="42">
        <f t="shared" si="17"/>
        <v>115266.53</v>
      </c>
      <c r="K328" s="42">
        <f t="shared" si="17"/>
        <v>1389.75</v>
      </c>
      <c r="L328" s="41">
        <f t="shared" si="17"/>
        <v>145763.12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165518.88</v>
      </c>
      <c r="G338" s="41">
        <f t="shared" si="20"/>
        <v>68856.479999999996</v>
      </c>
      <c r="H338" s="41">
        <f t="shared" si="20"/>
        <v>85199.180000000008</v>
      </c>
      <c r="I338" s="41">
        <f t="shared" si="20"/>
        <v>14085.750000000002</v>
      </c>
      <c r="J338" s="41">
        <f t="shared" si="20"/>
        <v>351798.01</v>
      </c>
      <c r="K338" s="41">
        <f t="shared" si="20"/>
        <v>19936.919999999998</v>
      </c>
      <c r="L338" s="41">
        <f t="shared" si="20"/>
        <v>705395.22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165518.88</v>
      </c>
      <c r="G352" s="41">
        <f>G338</f>
        <v>68856.479999999996</v>
      </c>
      <c r="H352" s="41">
        <f>H338</f>
        <v>85199.180000000008</v>
      </c>
      <c r="I352" s="41">
        <f>I338</f>
        <v>14085.750000000002</v>
      </c>
      <c r="J352" s="41">
        <f>J338</f>
        <v>351798.01</v>
      </c>
      <c r="K352" s="47">
        <f>K338+K351</f>
        <v>19936.919999999998</v>
      </c>
      <c r="L352" s="41">
        <f>L338+L351</f>
        <v>705395.22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285998.7</v>
      </c>
      <c r="I358" s="18"/>
      <c r="J358" s="18"/>
      <c r="K358" s="18">
        <v>258.38</v>
      </c>
      <c r="L358" s="13">
        <f>SUM(F358:K358)</f>
        <v>286257.08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v>153999.29999999999</v>
      </c>
      <c r="I360" s="18"/>
      <c r="J360" s="18"/>
      <c r="K360" s="18">
        <v>139.12</v>
      </c>
      <c r="L360" s="19">
        <f>SUM(F360:K360)</f>
        <v>154138.41999999998</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439998</v>
      </c>
      <c r="I362" s="47">
        <f t="shared" si="22"/>
        <v>0</v>
      </c>
      <c r="J362" s="47">
        <f t="shared" si="22"/>
        <v>0</v>
      </c>
      <c r="K362" s="47">
        <f t="shared" si="22"/>
        <v>397.5</v>
      </c>
      <c r="L362" s="47">
        <f t="shared" si="22"/>
        <v>440395.5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v>1638.94</v>
      </c>
      <c r="I395" s="18"/>
      <c r="J395" s="24" t="s">
        <v>288</v>
      </c>
      <c r="K395" s="24" t="s">
        <v>288</v>
      </c>
      <c r="L395" s="56">
        <f t="shared" ref="L395:L400" si="26">SUM(F395:K395)</f>
        <v>1638.94</v>
      </c>
      <c r="M395" s="8"/>
      <c r="N395" s="266"/>
    </row>
    <row r="396" spans="1:14" s="3" customFormat="1" ht="12.2" customHeight="1" x14ac:dyDescent="0.15">
      <c r="A396" s="79" t="s">
        <v>557</v>
      </c>
      <c r="B396" s="2" t="s">
        <v>381</v>
      </c>
      <c r="C396" s="6">
        <v>9</v>
      </c>
      <c r="D396" s="2" t="s">
        <v>432</v>
      </c>
      <c r="E396" s="6"/>
      <c r="F396" s="18"/>
      <c r="G396" s="18">
        <v>100000</v>
      </c>
      <c r="H396" s="18">
        <v>8858.86</v>
      </c>
      <c r="I396" s="18"/>
      <c r="J396" s="24" t="s">
        <v>288</v>
      </c>
      <c r="K396" s="24" t="s">
        <v>288</v>
      </c>
      <c r="L396" s="56">
        <f t="shared" si="26"/>
        <v>108858.86</v>
      </c>
      <c r="M396" s="8"/>
      <c r="N396" s="266"/>
    </row>
    <row r="397" spans="1:14" s="3" customFormat="1" ht="12.2" customHeight="1" x14ac:dyDescent="0.15">
      <c r="A397" s="79" t="s">
        <v>515</v>
      </c>
      <c r="B397" s="2" t="s">
        <v>381</v>
      </c>
      <c r="C397" s="6">
        <v>10</v>
      </c>
      <c r="D397" s="2" t="s">
        <v>432</v>
      </c>
      <c r="E397" s="6"/>
      <c r="F397" s="18"/>
      <c r="G397" s="18">
        <v>25000</v>
      </c>
      <c r="H397" s="18">
        <v>2930.99</v>
      </c>
      <c r="I397" s="18"/>
      <c r="J397" s="24" t="s">
        <v>288</v>
      </c>
      <c r="K397" s="24" t="s">
        <v>288</v>
      </c>
      <c r="L397" s="56">
        <f t="shared" si="26"/>
        <v>27930.989999999998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125000</v>
      </c>
      <c r="H401" s="47">
        <f>SUM(H395:H400)</f>
        <v>13428.79</v>
      </c>
      <c r="I401" s="47">
        <f>SUM(I395:I400)</f>
        <v>0</v>
      </c>
      <c r="J401" s="45" t="s">
        <v>288</v>
      </c>
      <c r="K401" s="45" t="s">
        <v>288</v>
      </c>
      <c r="L401" s="47">
        <f>SUM(L395:L400)</f>
        <v>138428.79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125000</v>
      </c>
      <c r="H408" s="47">
        <f>H393+H401+H407</f>
        <v>13428.79</v>
      </c>
      <c r="I408" s="47">
        <f>I393+I401+I407</f>
        <v>0</v>
      </c>
      <c r="J408" s="24" t="s">
        <v>288</v>
      </c>
      <c r="K408" s="24" t="s">
        <v>288</v>
      </c>
      <c r="L408" s="47">
        <f>L393+L401+L407</f>
        <v>138428.79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v>733625.3</v>
      </c>
      <c r="I439" s="56">
        <f t="shared" ref="I439:I445" si="33">SUM(F439:H439)</f>
        <v>733625.3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733625.3</v>
      </c>
      <c r="I446" s="13">
        <f>SUM(I439:I445)</f>
        <v>733625.3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v>733625.3</v>
      </c>
      <c r="I459" s="56">
        <f t="shared" si="34"/>
        <v>733625.3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733625.3</v>
      </c>
      <c r="I460" s="83">
        <f>SUM(I454:I459)</f>
        <v>733625.3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733625.3</v>
      </c>
      <c r="I461" s="42">
        <f>I452+I460</f>
        <v>733625.3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880942.79</v>
      </c>
      <c r="G465" s="18">
        <v>38625.61</v>
      </c>
      <c r="H465" s="18">
        <v>63583.65</v>
      </c>
      <c r="I465" s="18">
        <v>3231.11</v>
      </c>
      <c r="J465" s="18">
        <v>595196.51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24808731.5</f>
        <v>24808731.5</v>
      </c>
      <c r="G468" s="18">
        <v>445347.02</v>
      </c>
      <c r="H468" s="18">
        <f>378719.05+320718.88</f>
        <v>699437.92999999993</v>
      </c>
      <c r="I468" s="18"/>
      <c r="J468" s="18">
        <v>138428.79</v>
      </c>
      <c r="K468" s="24" t="s">
        <v>288</v>
      </c>
      <c r="L468" s="24" t="s">
        <v>288</v>
      </c>
      <c r="N468" s="265"/>
    </row>
    <row r="469" spans="1:14" s="52" customFormat="1" ht="12.2" customHeight="1" x14ac:dyDescent="0.2">
      <c r="A469" s="93" t="s">
        <v>611</v>
      </c>
      <c r="B469" s="75">
        <v>19</v>
      </c>
      <c r="C469" s="80">
        <v>3</v>
      </c>
      <c r="D469" s="2" t="s">
        <v>432</v>
      </c>
      <c r="E469" s="80"/>
      <c r="F469" s="18"/>
      <c r="G469" s="18">
        <v>-15883</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24808731.5</v>
      </c>
      <c r="G470" s="53">
        <f>SUM(G468:G469)</f>
        <v>429464.02</v>
      </c>
      <c r="H470" s="53">
        <f>SUM(H468:H469)</f>
        <v>699437.92999999993</v>
      </c>
      <c r="I470" s="53">
        <f>SUM(I468:I469)</f>
        <v>0</v>
      </c>
      <c r="J470" s="53">
        <f>SUM(J468:J469)</f>
        <v>138428.79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25273971.43</f>
        <v>25273971.43</v>
      </c>
      <c r="G472" s="18">
        <v>440395.5</v>
      </c>
      <c r="H472" s="18">
        <f>384676.34+320718.88</f>
        <v>705395.22</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25273971.43</v>
      </c>
      <c r="G474" s="53">
        <f>SUM(G472:G473)</f>
        <v>440395.5</v>
      </c>
      <c r="H474" s="53">
        <f>SUM(H472:H473)</f>
        <v>705395.22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415702.8599999994</v>
      </c>
      <c r="G476" s="53">
        <f>(G465+G470)- G474</f>
        <v>27694.130000000005</v>
      </c>
      <c r="H476" s="53">
        <f>(H465+H470)- H474</f>
        <v>57626.359999999986</v>
      </c>
      <c r="I476" s="53">
        <f>(I465+I470)- I474</f>
        <v>3231.11</v>
      </c>
      <c r="J476" s="53">
        <f>(J465+J470)- J474</f>
        <v>733625.3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1828284.29</v>
      </c>
      <c r="G521" s="18">
        <v>751254.41</v>
      </c>
      <c r="H521" s="18">
        <v>207407.21</v>
      </c>
      <c r="I521" s="18">
        <v>18560.419999999998</v>
      </c>
      <c r="J521" s="18">
        <v>0</v>
      </c>
      <c r="K521" s="18">
        <v>0</v>
      </c>
      <c r="L521" s="88">
        <f>SUM(F521:K521)</f>
        <v>2805506.33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669001.36</v>
      </c>
      <c r="G523" s="18">
        <v>271581</v>
      </c>
      <c r="H523" s="18">
        <v>98877.66</v>
      </c>
      <c r="I523" s="18">
        <v>6806.18</v>
      </c>
      <c r="J523" s="18">
        <v>0</v>
      </c>
      <c r="K523" s="18">
        <v>0</v>
      </c>
      <c r="L523" s="88">
        <f>SUM(F523:K523)</f>
        <v>1046266.2000000001</v>
      </c>
      <c r="N523" s="265"/>
    </row>
    <row r="524" spans="1:14" s="52" customFormat="1" ht="12.2" customHeight="1" thickTop="1" x14ac:dyDescent="0.2">
      <c r="A524" s="139" t="s">
        <v>63</v>
      </c>
      <c r="B524" s="107">
        <v>21</v>
      </c>
      <c r="C524" s="195">
        <v>4</v>
      </c>
      <c r="D524" s="196" t="s">
        <v>432</v>
      </c>
      <c r="E524" s="195"/>
      <c r="F524" s="108">
        <f>SUM(F521:F523)</f>
        <v>2497285.65</v>
      </c>
      <c r="G524" s="108">
        <f t="shared" ref="G524:L524" si="36">SUM(G521:G523)</f>
        <v>1022835.41</v>
      </c>
      <c r="H524" s="108">
        <f t="shared" si="36"/>
        <v>306284.87</v>
      </c>
      <c r="I524" s="108">
        <f t="shared" si="36"/>
        <v>25366.6</v>
      </c>
      <c r="J524" s="108">
        <f t="shared" si="36"/>
        <v>0</v>
      </c>
      <c r="K524" s="108">
        <f t="shared" si="36"/>
        <v>0</v>
      </c>
      <c r="L524" s="89">
        <f t="shared" si="36"/>
        <v>3851772.5300000003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375422</v>
      </c>
      <c r="G526" s="18">
        <v>193482.06</v>
      </c>
      <c r="H526" s="18">
        <v>89852.65</v>
      </c>
      <c r="I526" s="18">
        <v>5602.05</v>
      </c>
      <c r="J526" s="18">
        <v>875.94</v>
      </c>
      <c r="K526" s="18">
        <v>125.26</v>
      </c>
      <c r="L526" s="88">
        <f>SUM(F526:K526)</f>
        <v>665359.96000000008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176152.19</v>
      </c>
      <c r="G528" s="18">
        <v>95906.55</v>
      </c>
      <c r="H528" s="18">
        <v>45989.04</v>
      </c>
      <c r="I528" s="18">
        <v>3898.47</v>
      </c>
      <c r="J528" s="18">
        <v>471.66</v>
      </c>
      <c r="K528" s="18">
        <v>95.14</v>
      </c>
      <c r="L528" s="88">
        <f>SUM(F528:K528)</f>
        <v>322513.04999999993</v>
      </c>
      <c r="M528" s="8"/>
      <c r="N528" s="266"/>
    </row>
    <row r="529" spans="1:14" s="3" customFormat="1" ht="12.2" customHeight="1" thickTop="1" x14ac:dyDescent="0.15">
      <c r="A529" s="139" t="s">
        <v>65</v>
      </c>
      <c r="B529" s="107">
        <v>21</v>
      </c>
      <c r="C529" s="107">
        <v>8</v>
      </c>
      <c r="D529" s="158" t="s">
        <v>432</v>
      </c>
      <c r="E529" s="107"/>
      <c r="F529" s="89">
        <f>SUM(F526:F528)</f>
        <v>551574.18999999994</v>
      </c>
      <c r="G529" s="89">
        <f t="shared" ref="G529:L529" si="37">SUM(G526:G528)</f>
        <v>289388.61</v>
      </c>
      <c r="H529" s="89">
        <f t="shared" si="37"/>
        <v>135841.69</v>
      </c>
      <c r="I529" s="89">
        <f t="shared" si="37"/>
        <v>9500.52</v>
      </c>
      <c r="J529" s="89">
        <f t="shared" si="37"/>
        <v>1347.6000000000001</v>
      </c>
      <c r="K529" s="89">
        <f t="shared" si="37"/>
        <v>220.4</v>
      </c>
      <c r="L529" s="89">
        <f t="shared" si="37"/>
        <v>987873.01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77377.039999999994</v>
      </c>
      <c r="I531" s="18"/>
      <c r="J531" s="18"/>
      <c r="K531" s="18"/>
      <c r="L531" s="88">
        <f>SUM(F531:K531)</f>
        <v>77377.039999999994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41664.559999999998</v>
      </c>
      <c r="I533" s="18"/>
      <c r="J533" s="18"/>
      <c r="K533" s="18"/>
      <c r="L533" s="88">
        <f>SUM(F533:K533)</f>
        <v>41664.559999999998</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119041.59999999999</v>
      </c>
      <c r="I534" s="89">
        <f t="shared" si="38"/>
        <v>0</v>
      </c>
      <c r="J534" s="89">
        <f t="shared" si="38"/>
        <v>0</v>
      </c>
      <c r="K534" s="89">
        <f t="shared" si="38"/>
        <v>0</v>
      </c>
      <c r="L534" s="89">
        <f t="shared" si="38"/>
        <v>119041.59999999999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15377.5</v>
      </c>
      <c r="I538" s="18"/>
      <c r="J538" s="18"/>
      <c r="K538" s="18"/>
      <c r="L538" s="88">
        <f>SUM(F538:K538)</f>
        <v>15377.5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15377.5</v>
      </c>
      <c r="I539" s="89">
        <f t="shared" si="39"/>
        <v>0</v>
      </c>
      <c r="J539" s="89">
        <f t="shared" si="39"/>
        <v>0</v>
      </c>
      <c r="K539" s="89">
        <f t="shared" si="39"/>
        <v>0</v>
      </c>
      <c r="L539" s="89">
        <f t="shared" si="39"/>
        <v>15377.5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141235.99</v>
      </c>
      <c r="I541" s="18"/>
      <c r="J541" s="18"/>
      <c r="K541" s="18"/>
      <c r="L541" s="88">
        <f>SUM(F541:K541)</f>
        <v>141235.99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163597.72</v>
      </c>
      <c r="I543" s="18"/>
      <c r="J543" s="18"/>
      <c r="K543" s="18"/>
      <c r="L543" s="88">
        <f>SUM(F543:K543)</f>
        <v>163597.72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304833.70999999996</v>
      </c>
      <c r="I544" s="193">
        <f t="shared" si="40"/>
        <v>0</v>
      </c>
      <c r="J544" s="193">
        <f t="shared" si="40"/>
        <v>0</v>
      </c>
      <c r="K544" s="193">
        <f t="shared" si="40"/>
        <v>0</v>
      </c>
      <c r="L544" s="193">
        <f t="shared" si="40"/>
        <v>304833.70999999996</v>
      </c>
      <c r="M544" s="8"/>
      <c r="N544" s="266"/>
    </row>
    <row r="545" spans="1:14" s="3" customFormat="1" ht="12.2" customHeight="1" thickTop="1" x14ac:dyDescent="0.15">
      <c r="A545" s="98" t="s">
        <v>72</v>
      </c>
      <c r="B545" s="107">
        <v>21</v>
      </c>
      <c r="C545" s="107">
        <v>21</v>
      </c>
      <c r="D545" s="158" t="s">
        <v>432</v>
      </c>
      <c r="E545" s="107"/>
      <c r="F545" s="89">
        <f>F524+F529+F534+F539+F544</f>
        <v>3048859.84</v>
      </c>
      <c r="G545" s="89">
        <f t="shared" ref="G545:L545" si="41">G524+G529+G534+G539+G544</f>
        <v>1312224.02</v>
      </c>
      <c r="H545" s="89">
        <f t="shared" si="41"/>
        <v>881379.37</v>
      </c>
      <c r="I545" s="89">
        <f t="shared" si="41"/>
        <v>34867.119999999995</v>
      </c>
      <c r="J545" s="89">
        <f t="shared" si="41"/>
        <v>1347.6000000000001</v>
      </c>
      <c r="K545" s="89">
        <f t="shared" si="41"/>
        <v>220.4</v>
      </c>
      <c r="L545" s="89">
        <f t="shared" si="41"/>
        <v>5278898.3499999996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2805506.33</v>
      </c>
      <c r="G549" s="87">
        <f>L526</f>
        <v>665359.96000000008</v>
      </c>
      <c r="H549" s="87">
        <f>L531</f>
        <v>77377.039999999994</v>
      </c>
      <c r="I549" s="87">
        <f>L536</f>
        <v>0</v>
      </c>
      <c r="J549" s="87">
        <f>L541</f>
        <v>141235.99</v>
      </c>
      <c r="K549" s="87">
        <f>SUM(F549:J549)</f>
        <v>3689479.3200000003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1046266.2000000001</v>
      </c>
      <c r="G551" s="87">
        <f>L528</f>
        <v>322513.04999999993</v>
      </c>
      <c r="H551" s="87">
        <f>L533</f>
        <v>41664.559999999998</v>
      </c>
      <c r="I551" s="87">
        <f>L538</f>
        <v>15377.5</v>
      </c>
      <c r="J551" s="87">
        <f>L543</f>
        <v>163597.72</v>
      </c>
      <c r="K551" s="87">
        <f>SUM(F551:J551)</f>
        <v>1589419.03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3851772.5300000003</v>
      </c>
      <c r="G552" s="89">
        <f t="shared" si="42"/>
        <v>987873.01</v>
      </c>
      <c r="H552" s="89">
        <f t="shared" si="42"/>
        <v>119041.59999999999</v>
      </c>
      <c r="I552" s="89">
        <f t="shared" si="42"/>
        <v>15377.5</v>
      </c>
      <c r="J552" s="89">
        <f t="shared" si="42"/>
        <v>304833.70999999996</v>
      </c>
      <c r="K552" s="89">
        <f t="shared" si="42"/>
        <v>5278898.3500000006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31208.959999999999</v>
      </c>
      <c r="G562" s="18">
        <v>12358.16</v>
      </c>
      <c r="H562" s="18"/>
      <c r="I562" s="18">
        <v>682.5</v>
      </c>
      <c r="J562" s="18"/>
      <c r="K562" s="18"/>
      <c r="L562" s="88">
        <f>SUM(F562:K562)</f>
        <v>44249.619999999995</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v>16804.830000000002</v>
      </c>
      <c r="G564" s="18">
        <v>6654.39</v>
      </c>
      <c r="H564" s="18"/>
      <c r="I564" s="18">
        <v>367.5</v>
      </c>
      <c r="J564" s="18"/>
      <c r="K564" s="18"/>
      <c r="L564" s="88">
        <f>SUM(F564:K564)</f>
        <v>23826.720000000001</v>
      </c>
      <c r="M564" s="8"/>
      <c r="N564" s="266"/>
    </row>
    <row r="565" spans="1:14" s="3" customFormat="1" ht="12.2" customHeight="1" thickTop="1" x14ac:dyDescent="0.15">
      <c r="A565" s="139" t="s">
        <v>65</v>
      </c>
      <c r="B565" s="107">
        <v>22</v>
      </c>
      <c r="C565" s="107">
        <v>8</v>
      </c>
      <c r="D565" s="196" t="s">
        <v>432</v>
      </c>
      <c r="E565" s="107"/>
      <c r="F565" s="89">
        <f t="shared" ref="F565:L565" si="44">SUM(F562:F564)</f>
        <v>48013.79</v>
      </c>
      <c r="G565" s="89">
        <f t="shared" si="44"/>
        <v>19012.55</v>
      </c>
      <c r="H565" s="89">
        <f t="shared" si="44"/>
        <v>0</v>
      </c>
      <c r="I565" s="89">
        <f t="shared" si="44"/>
        <v>1050</v>
      </c>
      <c r="J565" s="89">
        <f t="shared" si="44"/>
        <v>0</v>
      </c>
      <c r="K565" s="89">
        <f t="shared" si="44"/>
        <v>0</v>
      </c>
      <c r="L565" s="89">
        <f t="shared" si="44"/>
        <v>68076.34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48013.79</v>
      </c>
      <c r="G571" s="89">
        <f t="shared" ref="G571:L571" si="46">G560+G565+G570</f>
        <v>19012.55</v>
      </c>
      <c r="H571" s="89">
        <f t="shared" si="46"/>
        <v>0</v>
      </c>
      <c r="I571" s="89">
        <f t="shared" si="46"/>
        <v>1050</v>
      </c>
      <c r="J571" s="89">
        <f t="shared" si="46"/>
        <v>0</v>
      </c>
      <c r="K571" s="89">
        <f t="shared" si="46"/>
        <v>0</v>
      </c>
      <c r="L571" s="89">
        <f t="shared" si="46"/>
        <v>68076.34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24838.04</v>
      </c>
      <c r="I575" s="87">
        <f>SUM(F575:H575)</f>
        <v>24838.04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19600</v>
      </c>
      <c r="G579" s="18"/>
      <c r="H579" s="18">
        <v>18801.98</v>
      </c>
      <c r="I579" s="87">
        <f t="shared" si="47"/>
        <v>38401.979999999996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70305.2</v>
      </c>
      <c r="G582" s="18"/>
      <c r="H582" s="18">
        <v>15192</v>
      </c>
      <c r="I582" s="87">
        <f t="shared" si="47"/>
        <v>85497.2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117042.61</v>
      </c>
      <c r="I584" s="87">
        <f t="shared" si="47"/>
        <v>117042.61</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602866.65</v>
      </c>
      <c r="I591" s="18"/>
      <c r="J591" s="18">
        <v>283340.23</v>
      </c>
      <c r="K591" s="104">
        <f t="shared" ref="K591:K597" si="48">SUM(H591:J591)</f>
        <v>886206.88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141235.99</v>
      </c>
      <c r="I592" s="18"/>
      <c r="J592" s="18">
        <v>163597.72</v>
      </c>
      <c r="K592" s="104">
        <f t="shared" si="48"/>
        <v>304833.70999999996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60012</v>
      </c>
      <c r="K593" s="104">
        <f t="shared" si="48"/>
        <v>60012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80351.600000000006</v>
      </c>
      <c r="K594" s="104">
        <f t="shared" si="48"/>
        <v>80351.600000000006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35377.83</v>
      </c>
      <c r="I595" s="18"/>
      <c r="J595" s="18">
        <f>11476.17</f>
        <v>11476.17</v>
      </c>
      <c r="K595" s="104">
        <f t="shared" si="48"/>
        <v>46854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25469.13</v>
      </c>
      <c r="I597" s="18"/>
      <c r="J597" s="18">
        <v>11970.19</v>
      </c>
      <c r="K597" s="104">
        <f t="shared" si="48"/>
        <v>37439.32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804949.6</v>
      </c>
      <c r="I598" s="108">
        <f>SUM(I591:I597)</f>
        <v>0</v>
      </c>
      <c r="J598" s="108">
        <f>SUM(J591:J597)</f>
        <v>610747.90999999992</v>
      </c>
      <c r="K598" s="108">
        <f>SUM(K591:K597)</f>
        <v>1415697.51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646335.96</v>
      </c>
      <c r="I604" s="18"/>
      <c r="J604" s="18">
        <v>533348.80000000005</v>
      </c>
      <c r="K604" s="104">
        <f>SUM(H604:J604)</f>
        <v>1179684.76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646335.96</v>
      </c>
      <c r="I605" s="108">
        <f>SUM(I602:I604)</f>
        <v>0</v>
      </c>
      <c r="J605" s="108">
        <f>SUM(J602:J604)</f>
        <v>533348.80000000005</v>
      </c>
      <c r="K605" s="108">
        <f>SUM(K602:K604)</f>
        <v>1179684.76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19440</v>
      </c>
      <c r="G611" s="18">
        <v>4062.91</v>
      </c>
      <c r="H611" s="18"/>
      <c r="I611" s="18">
        <v>375.11</v>
      </c>
      <c r="J611" s="18"/>
      <c r="K611" s="18"/>
      <c r="L611" s="88">
        <f>SUM(F611:K611)</f>
        <v>23878.02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19440</v>
      </c>
      <c r="G614" s="108">
        <f t="shared" si="49"/>
        <v>4062.91</v>
      </c>
      <c r="H614" s="108">
        <f t="shared" si="49"/>
        <v>0</v>
      </c>
      <c r="I614" s="108">
        <f t="shared" si="49"/>
        <v>375.11</v>
      </c>
      <c r="J614" s="108">
        <f t="shared" si="49"/>
        <v>0</v>
      </c>
      <c r="K614" s="108">
        <f t="shared" si="49"/>
        <v>0</v>
      </c>
      <c r="L614" s="89">
        <f t="shared" si="49"/>
        <v>23878.02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1513810.4100000001</v>
      </c>
      <c r="H617" s="109">
        <f>SUM(F52)</f>
        <v>1513810.4099999997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472034.39</v>
      </c>
      <c r="H618" s="109">
        <f>SUM(G52)</f>
        <v>472034.39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813212.92</v>
      </c>
      <c r="H619" s="109">
        <f>SUM(H52)</f>
        <v>813212.91999999993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3231.11</v>
      </c>
      <c r="H620" s="109">
        <f>SUM(I52)</f>
        <v>3231.11</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733625.3</v>
      </c>
      <c r="H621" s="109">
        <f>SUM(J52)</f>
        <v>733625.3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415702.86</v>
      </c>
      <c r="H622" s="109">
        <f>F476</f>
        <v>415702.8599999994</v>
      </c>
      <c r="I622" s="121" t="s">
        <v>101</v>
      </c>
      <c r="J622" s="109">
        <f t="shared" ref="J622:J655" si="50">G622-H622</f>
        <v>5.8207660913467407E-10</v>
      </c>
      <c r="K622" s="109"/>
      <c r="L622" s="109"/>
      <c r="M622" s="8"/>
    </row>
    <row r="623" spans="1:14" s="3" customFormat="1" ht="12.2" customHeight="1" x14ac:dyDescent="0.15">
      <c r="A623" s="97"/>
      <c r="B623" s="105"/>
      <c r="C623" s="119"/>
      <c r="D623" s="119"/>
      <c r="E623" s="119"/>
      <c r="F623" s="119" t="s">
        <v>866</v>
      </c>
      <c r="G623" s="109">
        <f>G51</f>
        <v>27694.13</v>
      </c>
      <c r="H623" s="109">
        <f>G476</f>
        <v>27694.130000000005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57626.36</v>
      </c>
      <c r="H624" s="109">
        <f>H476</f>
        <v>57626.359999999986</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3231.11</v>
      </c>
      <c r="H625" s="109">
        <f>I476</f>
        <v>3231.11</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733625.3</v>
      </c>
      <c r="H626" s="109">
        <f>J476</f>
        <v>733625.3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24808731.5</v>
      </c>
      <c r="H627" s="104">
        <f>SUM(F468)</f>
        <v>24808731.5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445347.02</v>
      </c>
      <c r="H628" s="104">
        <f>SUM(G468)</f>
        <v>445347.02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699437.92999999993</v>
      </c>
      <c r="H629" s="104">
        <f>SUM(H468)</f>
        <v>699437.92999999993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138428.79</v>
      </c>
      <c r="H631" s="104">
        <f>SUM(J468)</f>
        <v>138428.79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25273971.43</v>
      </c>
      <c r="H632" s="104">
        <f>SUM(F472)</f>
        <v>25273971.43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705395.22</v>
      </c>
      <c r="H633" s="104">
        <f>SUM(H472)</f>
        <v>705395.22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440395.5</v>
      </c>
      <c r="H635" s="104">
        <f>SUM(G472)</f>
        <v>440395.5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138428.79</v>
      </c>
      <c r="H637" s="164">
        <f>SUM(J468)</f>
        <v>138428.79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733625.3</v>
      </c>
      <c r="H641" s="104">
        <f>SUM(H461)</f>
        <v>733625.3</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733625.3</v>
      </c>
      <c r="H642" s="104">
        <f>SUM(I461)</f>
        <v>733625.3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13428.79</v>
      </c>
      <c r="H644" s="104">
        <f>H408</f>
        <v>13428.79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125000</v>
      </c>
      <c r="H645" s="104">
        <f>G408</f>
        <v>125000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138428.79</v>
      </c>
      <c r="H646" s="104">
        <f>L408</f>
        <v>138428.79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1415697.51</v>
      </c>
      <c r="H647" s="104">
        <f>L208+L226+L244</f>
        <v>1415697.51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1179684.76</v>
      </c>
      <c r="H648" s="104">
        <f>(J257+J338)-(J255+J336)</f>
        <v>1179684.76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804949.6</v>
      </c>
      <c r="H649" s="104">
        <f>H598</f>
        <v>804949.6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610747.91</v>
      </c>
      <c r="H651" s="104">
        <f>J598</f>
        <v>610747.90999999992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125000</v>
      </c>
      <c r="H655" s="104">
        <f>K266+K347</f>
        <v>125000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17425528.269999996</v>
      </c>
      <c r="G660" s="19">
        <f>(L229+L309+L359)</f>
        <v>0</v>
      </c>
      <c r="H660" s="19">
        <f>(L247+L328+L360)</f>
        <v>8869233.879999999</v>
      </c>
      <c r="I660" s="19">
        <f>SUM(F660:H660)</f>
        <v>26294762.149999995</v>
      </c>
      <c r="J660" s="13"/>
      <c r="K660" s="13"/>
      <c r="L660" s="13"/>
      <c r="M660" s="9"/>
    </row>
    <row r="661" spans="1:13" s="3" customFormat="1" ht="12.2" customHeight="1" x14ac:dyDescent="0.2">
      <c r="A661" s="1" t="s">
        <v>127</v>
      </c>
      <c r="F661" s="19">
        <f>(L358/IF(SUM(L358:L360)=0,1,SUM(L358:L360))*(SUM(G97:G110)))</f>
        <v>157341.14774824903</v>
      </c>
      <c r="G661" s="19">
        <f>(L359/IF(SUM(L358:L360)=0,1,SUM(L358:L360))*(SUM(G97:G110)))</f>
        <v>0</v>
      </c>
      <c r="H661" s="19">
        <f>(L360/IF(SUM(L358:L360)=0,1,SUM(L358:L360))*(SUM(G97:G110)))</f>
        <v>84722.152251750973</v>
      </c>
      <c r="I661" s="19">
        <f>SUM(F661:H661)</f>
        <v>242063.3</v>
      </c>
      <c r="J661"/>
      <c r="K661" s="13"/>
      <c r="L661" s="13"/>
      <c r="M661" s="9"/>
    </row>
    <row r="662" spans="1:13" s="3" customFormat="1" ht="12.2" customHeight="1" x14ac:dyDescent="0.2">
      <c r="A662" s="1" t="s">
        <v>128</v>
      </c>
      <c r="F662" s="19">
        <f>(L208+L287)-(J208+J287)</f>
        <v>806030.42999999993</v>
      </c>
      <c r="G662" s="19">
        <f>(L226+L306)-(J226+J306)</f>
        <v>0</v>
      </c>
      <c r="H662" s="19">
        <f>(L244+L325)-(J244+J325)</f>
        <v>611067.91</v>
      </c>
      <c r="I662" s="19">
        <f>SUM(F662:H662)</f>
        <v>1417098.3399999999</v>
      </c>
      <c r="J662"/>
      <c r="K662" s="13"/>
      <c r="L662" s="13"/>
      <c r="M662" s="8"/>
    </row>
    <row r="663" spans="1:13" s="3" customFormat="1" ht="12.2" customHeight="1" x14ac:dyDescent="0.15">
      <c r="A663" s="198" t="s">
        <v>129</v>
      </c>
      <c r="B663" s="169"/>
      <c r="C663" s="169"/>
      <c r="D663" s="169"/>
      <c r="E663" s="169"/>
      <c r="F663" s="199">
        <f>SUM(F575:F587)+SUM(H602:H604)+SUM(L611)</f>
        <v>760119.17999999993</v>
      </c>
      <c r="G663" s="199">
        <f>SUM(G575:G587)+SUM(I602:I604)+L612</f>
        <v>0</v>
      </c>
      <c r="H663" s="199">
        <f>SUM(H575:H587)+SUM(J602:J604)+L613</f>
        <v>709223.43</v>
      </c>
      <c r="I663" s="19">
        <f>SUM(F663:H663)</f>
        <v>1469342.6099999999</v>
      </c>
      <c r="J663" s="13"/>
      <c r="K663" s="13"/>
      <c r="L663" s="13"/>
      <c r="M663" s="9"/>
    </row>
    <row r="664" spans="1:13" s="3" customFormat="1" ht="12.2" customHeight="1" x14ac:dyDescent="0.15">
      <c r="A664" s="1" t="s">
        <v>130</v>
      </c>
      <c r="F664" s="19">
        <f>F660-SUM(F661:F663)</f>
        <v>15702037.512251746</v>
      </c>
      <c r="G664" s="19">
        <f>G660-SUM(G661:G663)</f>
        <v>0</v>
      </c>
      <c r="H664" s="19">
        <f>H660-SUM(H661:H663)</f>
        <v>7464220.3877482479</v>
      </c>
      <c r="I664" s="19">
        <f>I660-SUM(I661:I663)</f>
        <v>23166257.899999995</v>
      </c>
      <c r="J664" s="13"/>
      <c r="K664" s="13"/>
      <c r="L664" s="13"/>
      <c r="M664" s="9"/>
    </row>
    <row r="665" spans="1:13" s="3" customFormat="1" ht="12.2" customHeight="1" x14ac:dyDescent="0.2">
      <c r="A665" s="1" t="s">
        <v>131</v>
      </c>
      <c r="F665" s="246">
        <f>618.27+78.78</f>
        <v>697.05</v>
      </c>
      <c r="G665" s="247"/>
      <c r="H665" s="247">
        <v>327.61</v>
      </c>
      <c r="I665" s="19">
        <f>SUM(F665:H665)</f>
        <v>1024.6599999999999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22526.41</v>
      </c>
      <c r="G667" s="19" t="e">
        <f>ROUND(G664/G665,2)</f>
        <v>#DIV/0!</v>
      </c>
      <c r="H667" s="19">
        <f>ROUND(H664/H665,2)</f>
        <v>22783.86</v>
      </c>
      <c r="I667" s="19">
        <f>ROUND(I664/I665,2)</f>
        <v>22608.73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-9.33</v>
      </c>
      <c r="I670" s="19">
        <f>SUM(F670:H670)</f>
        <v>-9.33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22526.41</v>
      </c>
      <c r="G672" s="19" t="e">
        <f>ROUND((G664+G669)/(G665+G670),2)</f>
        <v>#DIV/0!</v>
      </c>
      <c r="H672" s="19">
        <f>ROUND((H664+H669)/(H665+H670),2)</f>
        <v>23451.74</v>
      </c>
      <c r="I672" s="19">
        <f>ROUND((I664+I669)/(I665+I670),2)</f>
        <v>22816.48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6"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Inter-Lakes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6388394.46</v>
      </c>
      <c r="C9" s="229">
        <f>'DOE25'!G197+'DOE25'!G215+'DOE25'!G233+'DOE25'!G276+'DOE25'!G295+'DOE25'!G314</f>
        <v>2884842.24</v>
      </c>
    </row>
    <row r="10" spans="1:3" x14ac:dyDescent="0.2">
      <c r="A10" t="s">
        <v>775</v>
      </c>
      <c r="B10" s="240">
        <v>5929056.7699999996</v>
      </c>
      <c r="C10" s="240">
        <v>2785875.92</v>
      </c>
    </row>
    <row r="11" spans="1:3" x14ac:dyDescent="0.2">
      <c r="A11" t="s">
        <v>776</v>
      </c>
      <c r="B11" s="240">
        <v>199147.6</v>
      </c>
      <c r="C11" s="240">
        <v>75703.31</v>
      </c>
    </row>
    <row r="12" spans="1:3" x14ac:dyDescent="0.2">
      <c r="A12" t="s">
        <v>777</v>
      </c>
      <c r="B12" s="240">
        <v>260190.09</v>
      </c>
      <c r="C12" s="240">
        <v>23263.01</v>
      </c>
    </row>
    <row r="13" spans="1:3" x14ac:dyDescent="0.2">
      <c r="A13" t="str">
        <f>IF(B9=B13,IF(C9=C13,"Check Total OK","Check Total Error"),"Check Total Error")</f>
        <v>Check Total OK</v>
      </c>
      <c r="B13" s="231">
        <f>SUM(B10:B12)</f>
        <v>6388394.459999999</v>
      </c>
      <c r="C13" s="231">
        <f>SUM(C10:C12)</f>
        <v>2884842.2399999998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2497285.65</v>
      </c>
      <c r="C18" s="229">
        <f>'DOE25'!G198+'DOE25'!G216+'DOE25'!G234+'DOE25'!G277+'DOE25'!G296+'DOE25'!G315</f>
        <v>1022835.41</v>
      </c>
    </row>
    <row r="19" spans="1:3" x14ac:dyDescent="0.2">
      <c r="A19" t="s">
        <v>775</v>
      </c>
      <c r="B19" s="240">
        <v>1045188.24</v>
      </c>
      <c r="C19" s="240">
        <v>453117.89</v>
      </c>
    </row>
    <row r="20" spans="1:3" x14ac:dyDescent="0.2">
      <c r="A20" t="s">
        <v>776</v>
      </c>
      <c r="B20" s="240">
        <v>1397594.45</v>
      </c>
      <c r="C20" s="240">
        <v>565363.46</v>
      </c>
    </row>
    <row r="21" spans="1:3" x14ac:dyDescent="0.2">
      <c r="A21" t="s">
        <v>777</v>
      </c>
      <c r="B21" s="240">
        <v>54502.96</v>
      </c>
      <c r="C21" s="240">
        <v>4354.0600000000004</v>
      </c>
    </row>
    <row r="22" spans="1:3" x14ac:dyDescent="0.2">
      <c r="A22" t="str">
        <f>IF(B18=B22,IF(C18=C22,"Check Total OK","Check Total Error"),"Check Total Error")</f>
        <v>Check Total OK</v>
      </c>
      <c r="B22" s="231">
        <f>SUM(B19:B21)</f>
        <v>2497285.65</v>
      </c>
      <c r="C22" s="231">
        <f>SUM(C19:C21)</f>
        <v>1022835.41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297446.5</v>
      </c>
      <c r="C36" s="235">
        <f>'DOE25'!G200+'DOE25'!G218+'DOE25'!G236+'DOE25'!G279+'DOE25'!G298+'DOE25'!G317</f>
        <v>57521.42</v>
      </c>
    </row>
    <row r="37" spans="1:3" x14ac:dyDescent="0.2">
      <c r="A37" t="s">
        <v>775</v>
      </c>
      <c r="B37" s="240">
        <v>65322.5</v>
      </c>
      <c r="C37" s="240">
        <v>35164.589999999997</v>
      </c>
    </row>
    <row r="38" spans="1:3" x14ac:dyDescent="0.2">
      <c r="A38" t="s">
        <v>776</v>
      </c>
      <c r="B38" s="240">
        <v>4800</v>
      </c>
      <c r="C38" s="240">
        <v>2018.92</v>
      </c>
    </row>
    <row r="39" spans="1:3" x14ac:dyDescent="0.2">
      <c r="A39" t="s">
        <v>777</v>
      </c>
      <c r="B39" s="240">
        <v>227324</v>
      </c>
      <c r="C39" s="240">
        <v>20337.91</v>
      </c>
    </row>
    <row r="40" spans="1:3" x14ac:dyDescent="0.2">
      <c r="A40" t="str">
        <f>IF(B36=B40,IF(C36=C40,"Check Total OK","Check Total Error"),"Check Total Error")</f>
        <v>Check Total OK</v>
      </c>
      <c r="B40" s="231">
        <f>SUM(B37:B39)</f>
        <v>297446.5</v>
      </c>
      <c r="C40" s="231">
        <f>SUM(C37:C39)</f>
        <v>57521.42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20" zoomScaleNormal="120" workbookViewId="0">
      <pane ySplit="4" topLeftCell="A5" activePane="bottomLeft" state="frozen"/>
      <selection activeCell="F46" sqref="F46"/>
      <selection pane="bottomLeft" activeCell="L27" sqref="L27"/>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Inter-Lakes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13855339.210000001</v>
      </c>
      <c r="D5" s="20">
        <f>SUM('DOE25'!L197:L200)+SUM('DOE25'!L215:L218)+SUM('DOE25'!L233:L236)-F5-G5-H5</f>
        <v>13682054.680000002</v>
      </c>
      <c r="E5" s="243"/>
      <c r="F5" s="244">
        <v>105215.25</v>
      </c>
      <c r="G5" s="53">
        <f>SUM('DOE25'!J197:J200)+SUM('DOE25'!J215:J218)+SUM('DOE25'!J233:J236)</f>
        <v>49327.28</v>
      </c>
      <c r="H5" s="53">
        <f>SUM('DOE25'!K197:K200)+SUM('DOE25'!K215:K218)+SUM('DOE25'!K233:K236)</f>
        <v>18742</v>
      </c>
      <c r="I5" s="256"/>
    </row>
    <row r="6" spans="1:9" x14ac:dyDescent="0.2">
      <c r="A6" s="32">
        <v>2100</v>
      </c>
      <c r="B6" t="s">
        <v>796</v>
      </c>
      <c r="C6" s="276">
        <f t="shared" si="0"/>
        <v>1591536.88</v>
      </c>
      <c r="D6" s="20">
        <f>'DOE25'!L202+'DOE25'!L220+'DOE25'!L238-F6-G6-H6</f>
        <v>1548172.0299999998</v>
      </c>
      <c r="E6" s="243"/>
      <c r="F6" s="244">
        <v>41466.25</v>
      </c>
      <c r="G6" s="53">
        <f>'DOE25'!J202+'DOE25'!J220+'DOE25'!J238</f>
        <v>1347.6</v>
      </c>
      <c r="H6" s="53">
        <f>'DOE25'!K202+'DOE25'!K220+'DOE25'!K238</f>
        <v>551</v>
      </c>
      <c r="I6" s="256"/>
    </row>
    <row r="7" spans="1:9" x14ac:dyDescent="0.2">
      <c r="A7" s="32">
        <v>2200</v>
      </c>
      <c r="B7" t="s">
        <v>821</v>
      </c>
      <c r="C7" s="276">
        <f t="shared" si="0"/>
        <v>1768188.13</v>
      </c>
      <c r="D7" s="20">
        <f>'DOE25'!L203+'DOE25'!L221+'DOE25'!L239-F7-G7-H7</f>
        <v>1443840.7799999998</v>
      </c>
      <c r="E7" s="243"/>
      <c r="F7" s="244">
        <v>0</v>
      </c>
      <c r="G7" s="53">
        <f>'DOE25'!J203+'DOE25'!J221+'DOE25'!J239</f>
        <v>323219.34999999998</v>
      </c>
      <c r="H7" s="53">
        <f>'DOE25'!K203+'DOE25'!K221+'DOE25'!K239</f>
        <v>1128</v>
      </c>
      <c r="I7" s="256"/>
    </row>
    <row r="8" spans="1:9" x14ac:dyDescent="0.2">
      <c r="A8" s="32">
        <v>2300</v>
      </c>
      <c r="B8" t="s">
        <v>797</v>
      </c>
      <c r="C8" s="276">
        <f t="shared" si="0"/>
        <v>509096.9499999999</v>
      </c>
      <c r="D8" s="243"/>
      <c r="E8" s="20">
        <f>'DOE25'!L204+'DOE25'!L222+'DOE25'!L240-F8-G8-H8-D9-D11</f>
        <v>499311.33999999991</v>
      </c>
      <c r="F8" s="244">
        <v>0</v>
      </c>
      <c r="G8" s="53">
        <f>'DOE25'!J204+'DOE25'!J222+'DOE25'!J240</f>
        <v>0</v>
      </c>
      <c r="H8" s="53">
        <f>'DOE25'!K204+'DOE25'!K222+'DOE25'!K240</f>
        <v>9785.61</v>
      </c>
      <c r="I8" s="256"/>
    </row>
    <row r="9" spans="1:9" ht="14.25" x14ac:dyDescent="0.2">
      <c r="A9" s="32">
        <v>2310</v>
      </c>
      <c r="B9" s="185" t="s">
        <v>890</v>
      </c>
      <c r="C9" s="276">
        <f t="shared" si="0"/>
        <v>186598.47</v>
      </c>
      <c r="D9" s="244">
        <v>186598.47</v>
      </c>
      <c r="E9" s="243"/>
      <c r="F9" s="253"/>
      <c r="G9" s="253"/>
      <c r="H9" s="253"/>
      <c r="I9" s="256"/>
    </row>
    <row r="10" spans="1:9" ht="14.25" x14ac:dyDescent="0.2">
      <c r="A10" s="32">
        <v>2317</v>
      </c>
      <c r="B10" s="185" t="s">
        <v>891</v>
      </c>
      <c r="C10" s="276">
        <f t="shared" si="0"/>
        <v>20450</v>
      </c>
      <c r="D10" s="243"/>
      <c r="E10" s="244">
        <v>20450</v>
      </c>
      <c r="F10" s="253"/>
      <c r="G10" s="253"/>
      <c r="H10" s="253"/>
      <c r="I10" s="256"/>
    </row>
    <row r="11" spans="1:9" ht="14.25" x14ac:dyDescent="0.2">
      <c r="A11" s="32">
        <v>2321</v>
      </c>
      <c r="B11" s="185" t="s">
        <v>892</v>
      </c>
      <c r="C11" s="276">
        <f t="shared" si="0"/>
        <v>365210.05</v>
      </c>
      <c r="D11" s="244">
        <v>365210.05</v>
      </c>
      <c r="E11" s="243"/>
      <c r="F11" s="253"/>
      <c r="G11" s="253"/>
      <c r="H11" s="253"/>
      <c r="I11" s="256"/>
    </row>
    <row r="12" spans="1:9" x14ac:dyDescent="0.2">
      <c r="A12" s="32">
        <v>2400</v>
      </c>
      <c r="B12" t="s">
        <v>711</v>
      </c>
      <c r="C12" s="276">
        <f t="shared" si="0"/>
        <v>1484384.89</v>
      </c>
      <c r="D12" s="20">
        <f>'DOE25'!L205+'DOE25'!L223+'DOE25'!L241-F12-G12-H12</f>
        <v>1472703.91</v>
      </c>
      <c r="E12" s="243"/>
      <c r="F12" s="244">
        <v>0</v>
      </c>
      <c r="G12" s="53">
        <f>'DOE25'!J205+'DOE25'!J223+'DOE25'!J241</f>
        <v>313.98</v>
      </c>
      <c r="H12" s="53">
        <f>'DOE25'!K205+'DOE25'!K223+'DOE25'!K241</f>
        <v>11367</v>
      </c>
      <c r="I12" s="256"/>
    </row>
    <row r="13" spans="1:9" x14ac:dyDescent="0.2">
      <c r="A13" s="32">
        <v>2500</v>
      </c>
      <c r="B13" t="s">
        <v>798</v>
      </c>
      <c r="C13" s="276">
        <f t="shared" si="0"/>
        <v>23098.329999999998</v>
      </c>
      <c r="D13" s="243"/>
      <c r="E13" s="20">
        <f>'DOE25'!L206+'DOE25'!L224+'DOE25'!L242-F13-G13-H13</f>
        <v>16165.989999999998</v>
      </c>
      <c r="F13" s="244">
        <v>0</v>
      </c>
      <c r="G13" s="53">
        <f>'DOE25'!J206+'DOE25'!J224+'DOE25'!J242</f>
        <v>6932.34</v>
      </c>
      <c r="H13" s="53">
        <f>'DOE25'!K206+'DOE25'!K224+'DOE25'!K242</f>
        <v>0</v>
      </c>
      <c r="I13" s="256"/>
    </row>
    <row r="14" spans="1:9" x14ac:dyDescent="0.2">
      <c r="A14" s="32">
        <v>2600</v>
      </c>
      <c r="B14" t="s">
        <v>819</v>
      </c>
      <c r="C14" s="276">
        <f t="shared" si="0"/>
        <v>2962100.83</v>
      </c>
      <c r="D14" s="20">
        <f>'DOE25'!L207+'DOE25'!L225+'DOE25'!L243-F14-G14-H14</f>
        <v>2336121.7300000004</v>
      </c>
      <c r="E14" s="243"/>
      <c r="F14" s="244">
        <v>179222.9</v>
      </c>
      <c r="G14" s="53">
        <f>'DOE25'!J207+'DOE25'!J225+'DOE25'!J243</f>
        <v>446746.19999999995</v>
      </c>
      <c r="H14" s="53">
        <f>'DOE25'!K207+'DOE25'!K225+'DOE25'!K243</f>
        <v>10</v>
      </c>
      <c r="I14" s="256"/>
    </row>
    <row r="15" spans="1:9" x14ac:dyDescent="0.2">
      <c r="A15" s="32">
        <v>2700</v>
      </c>
      <c r="B15" t="s">
        <v>799</v>
      </c>
      <c r="C15" s="276">
        <f t="shared" si="0"/>
        <v>1415697.51</v>
      </c>
      <c r="D15" s="20">
        <f>'DOE25'!L208+'DOE25'!L226+'DOE25'!L244-F15-G15-H15</f>
        <v>367273.03</v>
      </c>
      <c r="E15" s="243"/>
      <c r="F15" s="244">
        <v>1048424.48</v>
      </c>
      <c r="G15" s="53">
        <f>'DOE25'!J208+'DOE25'!J226+'DOE25'!J244</f>
        <v>0</v>
      </c>
      <c r="H15" s="53">
        <f>'DOE25'!K208+'DOE25'!K226+'DOE25'!K244</f>
        <v>0</v>
      </c>
      <c r="I15" s="256"/>
    </row>
    <row r="16" spans="1:9" x14ac:dyDescent="0.2">
      <c r="A16" s="32">
        <v>2800</v>
      </c>
      <c r="B16" t="s">
        <v>800</v>
      </c>
      <c r="C16" s="276">
        <f t="shared" si="0"/>
        <v>987720.17999999993</v>
      </c>
      <c r="D16" s="243"/>
      <c r="E16" s="20">
        <f>'DOE25'!L209+'DOE25'!L227+'DOE25'!L245-F16-G16-H16</f>
        <v>987720.17999999993</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440395.5</v>
      </c>
      <c r="D29" s="284">
        <f>'DOE25'!L358+'DOE25'!L359+'DOE25'!L360-'DOE25'!I367-F29-G29-H29</f>
        <v>192795</v>
      </c>
      <c r="E29" s="243"/>
      <c r="F29" s="244">
        <v>247203</v>
      </c>
      <c r="G29" s="53">
        <f>'DOE25'!J358+'DOE25'!J359+'DOE25'!J360</f>
        <v>0</v>
      </c>
      <c r="H29" s="53">
        <f>'DOE25'!K358+'DOE25'!K359+'DOE25'!K360</f>
        <v>397.5</v>
      </c>
      <c r="I29" s="256"/>
    </row>
    <row r="30" spans="1:9" x14ac:dyDescent="0.2">
      <c r="A30" s="32"/>
      <c r="C30" s="277"/>
      <c r="D30" s="20"/>
      <c r="E30" s="281"/>
      <c r="F30" s="271"/>
      <c r="G30" s="53"/>
      <c r="H30" s="53"/>
      <c r="I30" s="256"/>
    </row>
    <row r="31" spans="1:9" x14ac:dyDescent="0.2">
      <c r="A31" s="32" t="s">
        <v>818</v>
      </c>
      <c r="B31" t="s">
        <v>817</v>
      </c>
      <c r="C31" s="276">
        <f>SUM(D31:I31)</f>
        <v>705395.22000000009</v>
      </c>
      <c r="D31" s="20">
        <f>'DOE25'!L290+'DOE25'!L309+'DOE25'!L328+'DOE25'!L333+'DOE25'!L334+'DOE25'!L335-F31-G31-H31</f>
        <v>333660.28999999998</v>
      </c>
      <c r="E31" s="243"/>
      <c r="F31" s="244">
        <v>0</v>
      </c>
      <c r="G31" s="53">
        <f>'DOE25'!J290+'DOE25'!J309+'DOE25'!J328+'DOE25'!J333+'DOE25'!J334+'DOE25'!J335</f>
        <v>351798.01</v>
      </c>
      <c r="H31" s="53">
        <f>'DOE25'!K290+'DOE25'!K309+'DOE25'!K328+'DOE25'!K333+'DOE25'!K334+'DOE25'!K335</f>
        <v>19936.919999999998</v>
      </c>
      <c r="I31" s="256"/>
    </row>
    <row r="32" spans="1:9" ht="12" thickBot="1" x14ac:dyDescent="0.25">
      <c r="C32" s="277"/>
      <c r="G32" s="251"/>
      <c r="H32" s="251"/>
      <c r="I32" s="258"/>
    </row>
    <row r="33" spans="1:9" ht="12" thickTop="1" x14ac:dyDescent="0.2">
      <c r="B33" t="s">
        <v>809</v>
      </c>
      <c r="D33" s="245">
        <f t="shared" ref="D33:I33" si="1">SUM(D5:D31)</f>
        <v>21928429.970000003</v>
      </c>
      <c r="E33" s="245">
        <f t="shared" si="1"/>
        <v>1523647.5099999998</v>
      </c>
      <c r="F33" s="245">
        <f t="shared" si="1"/>
        <v>1621531.88</v>
      </c>
      <c r="G33" s="245">
        <f t="shared" si="1"/>
        <v>1179684.76</v>
      </c>
      <c r="H33" s="245">
        <f t="shared" si="1"/>
        <v>61918.03</v>
      </c>
      <c r="I33" s="245">
        <f t="shared" si="1"/>
        <v>0</v>
      </c>
    </row>
    <row r="35" spans="1:9" ht="12" thickBot="1" x14ac:dyDescent="0.25">
      <c r="B35" s="251" t="s">
        <v>831</v>
      </c>
      <c r="D35" s="252">
        <f>E33</f>
        <v>1523647.5099999998</v>
      </c>
      <c r="E35" s="248"/>
    </row>
    <row r="36" spans="1:9" ht="12" thickTop="1" x14ac:dyDescent="0.2">
      <c r="B36" t="s">
        <v>810</v>
      </c>
      <c r="D36" s="20">
        <f>D33</f>
        <v>21928429.970000003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Inter-Lakes School District</v>
      </c>
      <c r="B2" s="126">
        <f>'DOE25'!B2</f>
        <v>269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17139271.190000001</v>
      </c>
      <c r="G4" s="303">
        <f>'DOE25'!L211+'DOE25'!L290</f>
        <v>17139271.189999998</v>
      </c>
      <c r="H4" s="304">
        <f>F4-G4</f>
        <v>0</v>
      </c>
      <c r="I4" s="310" t="str">
        <f>IF(H4=0,"","Does not match DOE25 page 7 and 11 Totals!!")</f>
        <v/>
      </c>
      <c r="N4"/>
    </row>
    <row r="5" spans="1:18" x14ac:dyDescent="0.2">
      <c r="A5" s="21" t="s">
        <v>1154</v>
      </c>
      <c r="B5" s="305">
        <f>IFERROR(VLOOKUP(A5,'School Tables'!$C$3:$D$369,2,FALSE),"")</f>
        <v>29200</v>
      </c>
      <c r="C5" s="297" t="str">
        <f>IFERROR(INDEX('School Tables'!$B$3:$B$369,MATCH('School Level Expenditures'!B5,'School Tables'!$D$3:$D$369,0)),"")</f>
        <v>Inter-Lakes Cooperative</v>
      </c>
      <c r="D5" s="294">
        <f>14685271.47-4004637.35</f>
        <v>10680634.120000001</v>
      </c>
      <c r="E5" s="294">
        <f>305374.63+193516.83-47121.75</f>
        <v>451769.70999999996</v>
      </c>
      <c r="F5" s="313">
        <f>D5+E5</f>
        <v>11132403.830000002</v>
      </c>
      <c r="G5" s="297"/>
      <c r="H5" s="297"/>
      <c r="I5" s="126"/>
      <c r="N5"/>
    </row>
    <row r="6" spans="1:18" x14ac:dyDescent="0.2">
      <c r="A6" s="21" t="s">
        <v>1157</v>
      </c>
      <c r="B6" s="305">
        <f>IFERROR(VLOOKUP(A6,'School Tables'!$C$3:$D$369,2,FALSE),"")</f>
        <v>20040</v>
      </c>
      <c r="C6" s="297" t="str">
        <f>IFERROR(INDEX('School Tables'!$B$3:$B$369,MATCH('School Level Expenditures'!B6,'School Tables'!$D$3:$D$369,0)),"")</f>
        <v>Inter-Lakes Cooperative</v>
      </c>
      <c r="D6" s="294">
        <v>1804462.42</v>
      </c>
      <c r="E6" s="294">
        <f>36079.6+24661.04</f>
        <v>60740.639999999999</v>
      </c>
      <c r="F6" s="308">
        <f t="shared" ref="F6:F20" si="0">D6+E6</f>
        <v>1865203.0599999998</v>
      </c>
      <c r="G6" s="297"/>
      <c r="H6" s="297"/>
      <c r="I6" s="126"/>
      <c r="N6"/>
    </row>
    <row r="7" spans="1:18" x14ac:dyDescent="0.2">
      <c r="A7" s="21" t="s">
        <v>1586</v>
      </c>
      <c r="B7" s="305">
        <f>IFERROR(VLOOKUP(A7,'School Tables'!$C$3:$D$369,2,FALSE),"")</f>
        <v>99999</v>
      </c>
      <c r="C7" s="297" t="str">
        <f>IFERROR(INDEX('School Tables'!$B$3:$B$369,MATCH('School Level Expenditures'!B7,'School Tables'!$D$3:$D$369,0)),"")</f>
        <v>Other District Expenditures</v>
      </c>
      <c r="D7" s="294">
        <v>89905.2</v>
      </c>
      <c r="E7" s="294">
        <v>0</v>
      </c>
      <c r="F7" s="308">
        <f t="shared" si="0"/>
        <v>89905.2</v>
      </c>
      <c r="G7" s="297"/>
      <c r="H7" s="297"/>
      <c r="I7" s="126"/>
      <c r="N7"/>
    </row>
    <row r="8" spans="1:18" x14ac:dyDescent="0.2">
      <c r="A8" s="21" t="s">
        <v>1155</v>
      </c>
      <c r="B8" s="305">
        <f>IFERROR(VLOOKUP(A8,'School Tables'!$C$3:$D$369,2,FALSE),"")</f>
        <v>29201</v>
      </c>
      <c r="C8" s="297" t="str">
        <f>IFERROR(INDEX('School Tables'!$B$3:$B$369,MATCH('School Level Expenditures'!B8,'School Tables'!$D$3:$D$369,0)),"")</f>
        <v>Inter-Lakes Cooperative</v>
      </c>
      <c r="D8" s="294">
        <v>4004637.35</v>
      </c>
      <c r="E8" s="294">
        <v>47121.75</v>
      </c>
      <c r="F8" s="308">
        <f t="shared" si="0"/>
        <v>4051759.1</v>
      </c>
      <c r="G8" s="297"/>
      <c r="H8" s="297"/>
      <c r="I8" s="126"/>
      <c r="N8"/>
    </row>
    <row r="9" spans="1:18" x14ac:dyDescent="0.2">
      <c r="A9" s="21"/>
      <c r="B9" s="305" t="str">
        <f>IFERROR(VLOOKUP(A9,'School Tables'!$C$3:$D$369,2,FALSE),"")</f>
        <v/>
      </c>
      <c r="C9" s="297" t="str">
        <f>IFERROR(INDEX('School Tables'!$B$3:$B$369,MATCH('School Level Expenditures'!B9,'School Tables'!$D$3:$D$369,0)),"")</f>
        <v/>
      </c>
      <c r="D9" s="294"/>
      <c r="E9" s="294"/>
      <c r="F9" s="308">
        <f t="shared" si="0"/>
        <v>0</v>
      </c>
      <c r="G9" s="297"/>
      <c r="H9" s="297"/>
      <c r="I9" s="126"/>
      <c r="N9"/>
    </row>
    <row r="10" spans="1:18" x14ac:dyDescent="0.2">
      <c r="A10" s="21"/>
      <c r="B10" s="305" t="str">
        <f>IFERROR(VLOOKUP(A10,'School Tables'!$C$3:$D$369,2,FALSE),"")</f>
        <v/>
      </c>
      <c r="C10" s="297" t="str">
        <f>IFERROR(INDEX('School Tables'!$B$3:$B$369,MATCH('School Level Expenditures'!B10,'School Tables'!$D$3:$D$369,0)),"")</f>
        <v/>
      </c>
      <c r="D10" s="294"/>
      <c r="E10" s="294"/>
      <c r="F10" s="308">
        <f t="shared" si="0"/>
        <v>0</v>
      </c>
      <c r="G10" s="297"/>
      <c r="H10" s="297"/>
      <c r="I10" s="126"/>
      <c r="N10"/>
    </row>
    <row r="11" spans="1:18" x14ac:dyDescent="0.2">
      <c r="A11" s="21"/>
      <c r="B11" s="305" t="str">
        <f>IFERROR(VLOOKUP(A11,'School Tables'!$C$3:$D$369,2,FALSE),"")</f>
        <v/>
      </c>
      <c r="C11" s="297" t="str">
        <f>IFERROR(INDEX('School Tables'!$B$3:$B$369,MATCH('School Level Expenditures'!B11,'School Tables'!$D$3:$D$369,0)),"")</f>
        <v/>
      </c>
      <c r="D11" s="294"/>
      <c r="E11" s="294"/>
      <c r="F11" s="308">
        <f t="shared" si="0"/>
        <v>0</v>
      </c>
      <c r="G11" s="297"/>
      <c r="H11" s="297"/>
      <c r="I11" s="126"/>
      <c r="N11"/>
    </row>
    <row r="12" spans="1:18" x14ac:dyDescent="0.2">
      <c r="A12" s="21"/>
      <c r="B12" s="305" t="str">
        <f>IFERROR(VLOOKUP(A12,'School Tables'!$C$3:$D$369,2,FALSE),"")</f>
        <v/>
      </c>
      <c r="C12" s="297" t="str">
        <f>IFERROR(INDEX('School Tables'!$B$3:$B$369,MATCH('School Level Expenditures'!B12,'School Tables'!$D$3:$D$369,0)),"")</f>
        <v/>
      </c>
      <c r="D12" s="294"/>
      <c r="E12" s="294"/>
      <c r="F12" s="308">
        <f t="shared" si="0"/>
        <v>0</v>
      </c>
      <c r="G12" s="297"/>
      <c r="H12" s="297"/>
      <c r="I12" s="126"/>
      <c r="N12"/>
    </row>
    <row r="13" spans="1:18" x14ac:dyDescent="0.2">
      <c r="A13" s="21"/>
      <c r="B13" s="305" t="str">
        <f>IFERROR(VLOOKUP(A13,'School Tables'!$C$3:$D$369,2,FALSE),"")</f>
        <v/>
      </c>
      <c r="C13" s="297" t="str">
        <f>IFERROR(INDEX('School Tables'!$B$3:$B$369,MATCH('School Level Expenditures'!B13,'School Tables'!$D$3:$D$369,0)),"")</f>
        <v/>
      </c>
      <c r="D13" s="294"/>
      <c r="E13" s="294"/>
      <c r="F13" s="308">
        <f t="shared" si="0"/>
        <v>0</v>
      </c>
      <c r="G13" s="297"/>
      <c r="H13" s="297"/>
      <c r="I13" s="126"/>
      <c r="N13"/>
    </row>
    <row r="14" spans="1:18" x14ac:dyDescent="0.2">
      <c r="A14" s="21"/>
      <c r="B14" s="305" t="str">
        <f>IFERROR(VLOOKUP(A14,'School Tables'!$C$3:$D$369,2,FALSE),"")</f>
        <v/>
      </c>
      <c r="C14" s="297" t="str">
        <f>IFERROR(INDEX('School Tables'!$B$3:$B$369,MATCH('School Level Expenditures'!B14,'School Tables'!$D$3:$D$369,0)),"")</f>
        <v/>
      </c>
      <c r="D14" s="294"/>
      <c r="E14" s="294"/>
      <c r="F14" s="308">
        <f t="shared" si="0"/>
        <v>0</v>
      </c>
      <c r="G14" s="297"/>
      <c r="H14" s="297"/>
      <c r="I14" s="126"/>
      <c r="N14"/>
    </row>
    <row r="15" spans="1:18" x14ac:dyDescent="0.2">
      <c r="A15" s="21"/>
      <c r="B15" s="305" t="str">
        <f>IFERROR(VLOOKUP(A15,'School Tables'!$C$3:$D$369,2,FALSE),"")</f>
        <v/>
      </c>
      <c r="C15" s="297" t="str">
        <f>IFERROR(INDEX('School Tables'!$B$3:$B$369,MATCH('School Level Expenditures'!B15,'School Tables'!$D$3:$D$369,0)),"")</f>
        <v/>
      </c>
      <c r="D15" s="294"/>
      <c r="E15" s="294"/>
      <c r="F15" s="308">
        <f t="shared" si="0"/>
        <v>0</v>
      </c>
      <c r="G15" s="297"/>
      <c r="H15" s="297"/>
      <c r="I15" s="126"/>
      <c r="N15"/>
    </row>
    <row r="16" spans="1:18" x14ac:dyDescent="0.2">
      <c r="A16" s="21"/>
      <c r="B16" s="305" t="str">
        <f>IFERROR(VLOOKUP(A16,'School Tables'!$C$3:$D$369,2,FALSE),"")</f>
        <v/>
      </c>
      <c r="C16" s="297" t="str">
        <f>IFERROR(INDEX('School Tables'!$B$3:$B$369,MATCH('School Level Expenditures'!B16,'School Tables'!$D$3:$D$369,0)),"")</f>
        <v/>
      </c>
      <c r="D16" s="294"/>
      <c r="E16" s="294"/>
      <c r="F16" s="308">
        <f t="shared" si="0"/>
        <v>0</v>
      </c>
      <c r="G16" s="297"/>
      <c r="H16" s="297"/>
      <c r="I16" s="126"/>
      <c r="N16"/>
    </row>
    <row r="17" spans="1:14" x14ac:dyDescent="0.2">
      <c r="A17" s="21"/>
      <c r="B17" s="305" t="str">
        <f>IFERROR(VLOOKUP(A17,'School Tables'!$C$3:$D$369,2,FALSE),"")</f>
        <v/>
      </c>
      <c r="C17" s="297" t="str">
        <f>IFERROR(INDEX('School Tables'!$B$3:$B$369,MATCH('School Level Expenditures'!B17,'School Tables'!$D$3:$D$369,0)),"")</f>
        <v/>
      </c>
      <c r="D17" s="294"/>
      <c r="E17" s="294"/>
      <c r="F17" s="308">
        <f t="shared" si="0"/>
        <v>0</v>
      </c>
      <c r="G17" s="297"/>
      <c r="H17" s="297"/>
      <c r="I17" s="126"/>
      <c r="N17"/>
    </row>
    <row r="18" spans="1:14" x14ac:dyDescent="0.2">
      <c r="A18" s="21"/>
      <c r="B18" s="305" t="str">
        <f>IFERROR(VLOOKUP(A18,'School Tables'!$C$3:$D$369,2,FALSE),"")</f>
        <v/>
      </c>
      <c r="C18" s="297" t="str">
        <f>IFERROR(INDEX('School Tables'!$B$3:$B$369,MATCH('School Level Expenditures'!B18,'School Tables'!$D$3:$D$369,0)),"")</f>
        <v/>
      </c>
      <c r="D18" s="294"/>
      <c r="E18" s="294"/>
      <c r="F18" s="308">
        <f t="shared" si="0"/>
        <v>0</v>
      </c>
      <c r="G18" s="297"/>
      <c r="H18" s="297"/>
      <c r="I18" s="126"/>
      <c r="N18"/>
    </row>
    <row r="19" spans="1:14" x14ac:dyDescent="0.2">
      <c r="A19" s="21"/>
      <c r="B19" s="305" t="str">
        <f>IFERROR(VLOOKUP(A19,'School Tables'!$C$3:$D$369,2,FALSE),"")</f>
        <v/>
      </c>
      <c r="C19" s="297" t="str">
        <f>IFERROR(INDEX('School Tables'!$B$3:$B$369,MATCH('School Level Expenditures'!B19,'School Tables'!$D$3:$D$369,0)),"")</f>
        <v/>
      </c>
      <c r="D19" s="294"/>
      <c r="E19" s="294"/>
      <c r="F19" s="308">
        <f t="shared" si="0"/>
        <v>0</v>
      </c>
      <c r="G19" s="297"/>
      <c r="H19" s="297"/>
      <c r="I19" s="126"/>
      <c r="N19"/>
    </row>
    <row r="20" spans="1:14" x14ac:dyDescent="0.2">
      <c r="A20" s="21"/>
      <c r="B20" s="305" t="str">
        <f>IFERROR(VLOOKUP(A20,'School Tables'!$C$3:$D$369,2,FALSE),"")</f>
        <v/>
      </c>
      <c r="C20" s="297" t="str">
        <f>IFERROR(INDEX('School Tables'!$B$3:$B$369,MATCH('School Level Expenditures'!B20,'School Tables'!$D$3:$D$369,0)),"")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8715095.4600000009</v>
      </c>
      <c r="G36" s="303">
        <f>'DOE25'!L247+'DOE25'!L328</f>
        <v>8715095.459999999</v>
      </c>
      <c r="H36" s="304">
        <f>F36-G36</f>
        <v>0</v>
      </c>
      <c r="I36" s="310" t="str">
        <f>IF(H36=0,"","Does not match DOE25 page 9 and 13 Totals!!")</f>
        <v/>
      </c>
      <c r="N36"/>
    </row>
    <row r="37" spans="1:14" x14ac:dyDescent="0.2">
      <c r="A37" s="21" t="s">
        <v>1156</v>
      </c>
      <c r="B37" s="305">
        <f>IFERROR(VLOOKUP(A37,'School Tables'!$O$3:$P$122,2,FALSE),"")</f>
        <v>20035</v>
      </c>
      <c r="C37" s="297" t="str">
        <f t="array" ref="C37">IFERROR(INDEX('School Tables'!$N$3:$N$122,MATCH('School Level Expenditures'!B37,'School Tables'!$P$3:$P$122,0)),"")</f>
        <v>Inter-Lakes Cooperative</v>
      </c>
      <c r="D37" s="294">
        <v>8393457.7100000009</v>
      </c>
      <c r="E37" s="294">
        <f>43222.11+102541.01</f>
        <v>145763.12</v>
      </c>
      <c r="F37" s="308">
        <f>D37+E37</f>
        <v>8539220.8300000001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175874.63</v>
      </c>
      <c r="E38" s="294">
        <v>0</v>
      </c>
      <c r="F38" s="308">
        <f t="shared" ref="F38:F41" si="2">D38+E38</f>
        <v>175874.63</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Tables'!$O$3:$O$98</xm:f>
          </x14:formula1>
          <xm:sqref>A37:A42</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Tables'!$C$3:$C$328</xm:f>
          </x14:formula1>
          <xm:sqref>A5:A20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Inter-Lakes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27408.54</v>
      </c>
      <c r="D8" s="95">
        <f>'DOE25'!G9</f>
        <v>0</v>
      </c>
      <c r="E8" s="95">
        <f>'DOE25'!H9</f>
        <v>0</v>
      </c>
      <c r="F8" s="95">
        <f>'DOE25'!I9</f>
        <v>3231.11</v>
      </c>
      <c r="G8" s="95">
        <f>'DOE25'!J9</f>
        <v>733625.3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1407042.24</v>
      </c>
      <c r="D11" s="95">
        <f>'DOE25'!G12</f>
        <v>377671.94</v>
      </c>
      <c r="E11" s="95">
        <f>'DOE25'!H12</f>
        <v>381668.78</v>
      </c>
      <c r="F11" s="95">
        <f>'DOE25'!I12</f>
        <v>0</v>
      </c>
      <c r="G11" s="95">
        <f>'DOE25'!J12</f>
        <v>0</v>
      </c>
      <c r="H11" s="124"/>
      <c r="I11" s="124"/>
    </row>
    <row r="12" spans="1:9" x14ac:dyDescent="0.2">
      <c r="A12" s="1" t="s">
        <v>143</v>
      </c>
      <c r="B12" s="6">
        <v>140</v>
      </c>
      <c r="C12" s="95">
        <f>'DOE25'!F13</f>
        <v>55721.37</v>
      </c>
      <c r="D12" s="95">
        <f>'DOE25'!G13</f>
        <v>103041.87</v>
      </c>
      <c r="E12" s="95">
        <f>'DOE25'!H13</f>
        <v>431544.14</v>
      </c>
      <c r="F12" s="95">
        <f>'DOE25'!I13</f>
        <v>0</v>
      </c>
      <c r="G12" s="95">
        <f>'DOE25'!J13</f>
        <v>0</v>
      </c>
      <c r="H12" s="124"/>
      <c r="I12" s="124"/>
    </row>
    <row r="13" spans="1:9" x14ac:dyDescent="0.2">
      <c r="A13" s="1" t="s">
        <v>144</v>
      </c>
      <c r="B13" s="6">
        <v>150</v>
      </c>
      <c r="C13" s="95">
        <f>'DOE25'!F14</f>
        <v>118.99</v>
      </c>
      <c r="D13" s="95">
        <f>'DOE25'!G14</f>
        <v>-8679.42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23519.27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1513810.4100000001</v>
      </c>
      <c r="D18" s="41">
        <f>SUM(D8:D17)</f>
        <v>472034.39</v>
      </c>
      <c r="E18" s="41">
        <f>SUM(E8:E17)</f>
        <v>813212.92</v>
      </c>
      <c r="F18" s="41">
        <f>SUM(F8:F17)</f>
        <v>3231.11</v>
      </c>
      <c r="G18" s="41">
        <f>SUM(G8:G17)</f>
        <v>733625.3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746380.21</v>
      </c>
      <c r="D21" s="95">
        <f>'DOE25'!G22</f>
        <v>426516.7</v>
      </c>
      <c r="E21" s="95">
        <f>'DOE25'!H22</f>
        <v>720106.16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319942.03000000003</v>
      </c>
      <c r="D23" s="95">
        <f>'DOE25'!G24</f>
        <v>21854.55</v>
      </c>
      <c r="E23" s="95">
        <f>'DOE25'!H24</f>
        <v>35375.71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22393.65</v>
      </c>
      <c r="D27" s="95">
        <f>'DOE25'!G28</f>
        <v>0</v>
      </c>
      <c r="E27" s="95">
        <f>'DOE25'!H28</f>
        <v>104.69</v>
      </c>
      <c r="F27" s="95">
        <f>'DOE25'!I28</f>
        <v>0</v>
      </c>
      <c r="G27" s="24" t="s">
        <v>288</v>
      </c>
      <c r="H27" s="124"/>
      <c r="I27" s="124"/>
    </row>
    <row r="28" spans="1:9" x14ac:dyDescent="0.2">
      <c r="A28" s="1" t="s">
        <v>157</v>
      </c>
      <c r="B28" s="6">
        <v>470</v>
      </c>
      <c r="C28" s="95">
        <f>'DOE25'!F29</f>
        <v>9391.66</v>
      </c>
      <c r="D28" s="95">
        <f>'DOE25'!G29</f>
        <v>0</v>
      </c>
      <c r="E28" s="95">
        <f>'DOE25'!H29</f>
        <v>0</v>
      </c>
      <c r="F28" s="95">
        <f>'DOE25'!I29</f>
        <v>0</v>
      </c>
      <c r="G28" s="24" t="s">
        <v>288</v>
      </c>
      <c r="H28" s="124"/>
      <c r="I28" s="124"/>
    </row>
    <row r="29" spans="1:9" x14ac:dyDescent="0.2">
      <c r="A29" s="1" t="s">
        <v>158</v>
      </c>
      <c r="B29" s="6">
        <v>480</v>
      </c>
      <c r="C29" s="95">
        <f>'DOE25'!F30</f>
        <v>0</v>
      </c>
      <c r="D29" s="95">
        <f>'DOE25'!G30</f>
        <v>-4030.99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1098107.5499999998</v>
      </c>
      <c r="D31" s="41">
        <f>SUM(D21:D30)</f>
        <v>444340.26</v>
      </c>
      <c r="E31" s="41">
        <f>SUM(E21:E30)</f>
        <v>755586.55999999994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27694.13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57626.36</v>
      </c>
      <c r="F47" s="95">
        <f>'DOE25'!I48</f>
        <v>3231.11</v>
      </c>
      <c r="G47" s="95">
        <f>'DOE25'!J48</f>
        <v>733625.3</v>
      </c>
      <c r="H47" s="124"/>
      <c r="I47" s="124"/>
    </row>
    <row r="48" spans="1:9" x14ac:dyDescent="0.2">
      <c r="A48" s="1" t="s">
        <v>882</v>
      </c>
      <c r="B48" s="6">
        <v>753</v>
      </c>
      <c r="C48" s="95">
        <f>'DOE25'!F49</f>
        <v>220998.68</v>
      </c>
      <c r="D48" s="95">
        <f>'DOE25'!G49</f>
        <v>0</v>
      </c>
      <c r="E48" s="95">
        <f>'DOE25'!H49</f>
        <v>0</v>
      </c>
      <c r="F48" s="95">
        <f>'DOE25'!I49</f>
        <v>0</v>
      </c>
      <c r="G48" s="95">
        <f>'DOE25'!J49</f>
        <v>0</v>
      </c>
      <c r="H48" s="124"/>
      <c r="I48" s="124"/>
    </row>
    <row r="49" spans="1:9" ht="12" thickBot="1" x14ac:dyDescent="0.25">
      <c r="A49" s="29" t="s">
        <v>883</v>
      </c>
      <c r="B49" s="71">
        <v>770</v>
      </c>
      <c r="C49" s="95">
        <f>'DOE25'!F50</f>
        <v>49704.18</v>
      </c>
      <c r="D49" s="24" t="s">
        <v>288</v>
      </c>
      <c r="E49" s="24" t="s">
        <v>288</v>
      </c>
      <c r="F49" s="24" t="s">
        <v>288</v>
      </c>
      <c r="G49" s="24" t="s">
        <v>288</v>
      </c>
      <c r="H49" s="124"/>
      <c r="I49" s="124"/>
    </row>
    <row r="50" spans="1:9" ht="12.75" thickTop="1" thickBot="1" x14ac:dyDescent="0.25">
      <c r="A50" s="38" t="s">
        <v>884</v>
      </c>
      <c r="B50" s="48"/>
      <c r="C50" s="41">
        <f>SUM(C34:C49)</f>
        <v>415702.86</v>
      </c>
      <c r="D50" s="41">
        <f>SUM(D34:D49)</f>
        <v>27694.13</v>
      </c>
      <c r="E50" s="41">
        <f>SUM(E34:E49)</f>
        <v>57626.36</v>
      </c>
      <c r="F50" s="41">
        <f>SUM(F34:F49)</f>
        <v>3231.11</v>
      </c>
      <c r="G50" s="41">
        <f>SUM(G34:G49)</f>
        <v>733625.3</v>
      </c>
      <c r="H50" s="124"/>
      <c r="I50" s="124"/>
    </row>
    <row r="51" spans="1:9" ht="12" thickTop="1" x14ac:dyDescent="0.2">
      <c r="A51" s="38" t="s">
        <v>885</v>
      </c>
      <c r="B51" s="2"/>
      <c r="C51" s="41">
        <f>C50+C31</f>
        <v>1513810.4099999997</v>
      </c>
      <c r="D51" s="41">
        <f>D50+D31</f>
        <v>472034.39</v>
      </c>
      <c r="E51" s="41">
        <f>E50+E31</f>
        <v>813212.91999999993</v>
      </c>
      <c r="F51" s="41">
        <f>F50+F31</f>
        <v>3231.11</v>
      </c>
      <c r="G51" s="41">
        <f>G50+G31</f>
        <v>733625.3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18295313</v>
      </c>
      <c r="D56" s="95">
        <f>'DOE25'!G60</f>
        <v>0</v>
      </c>
      <c r="E56" s="95">
        <f>'DOE25'!H60</f>
        <v>0</v>
      </c>
      <c r="F56" s="95">
        <f>'DOE25'!I60</f>
        <v>0</v>
      </c>
      <c r="G56" s="95">
        <f>'DOE25'!J60</f>
        <v>0</v>
      </c>
      <c r="H56"/>
      <c r="I56"/>
    </row>
    <row r="57" spans="1:9" x14ac:dyDescent="0.2">
      <c r="A57" s="1" t="s">
        <v>164</v>
      </c>
      <c r="B57" s="6" t="s">
        <v>165</v>
      </c>
      <c r="C57" s="95">
        <f>'DOE25'!F79</f>
        <v>34240.629999999997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5508.43</v>
      </c>
      <c r="D59" s="95">
        <f>'DOE25'!G96</f>
        <v>0</v>
      </c>
      <c r="E59" s="95">
        <f>'DOE25'!H96</f>
        <v>0</v>
      </c>
      <c r="F59" s="95">
        <f>'DOE25'!I96</f>
        <v>0</v>
      </c>
      <c r="G59" s="95">
        <f>'DOE25'!J96</f>
        <v>13428.79</v>
      </c>
      <c r="H59"/>
      <c r="I59"/>
    </row>
    <row r="60" spans="1:9" x14ac:dyDescent="0.2">
      <c r="A60" s="1" t="s">
        <v>170</v>
      </c>
      <c r="B60" s="118" t="s">
        <v>171</v>
      </c>
      <c r="C60" s="24" t="s">
        <v>288</v>
      </c>
      <c r="D60" s="95">
        <f>'DOE25'!G97</f>
        <v>242063.30000000002</v>
      </c>
      <c r="E60" s="24" t="s">
        <v>288</v>
      </c>
      <c r="F60" s="24" t="s">
        <v>288</v>
      </c>
      <c r="G60" s="24" t="s">
        <v>288</v>
      </c>
      <c r="H60"/>
      <c r="I60"/>
    </row>
    <row r="61" spans="1:9" ht="12" thickBot="1" x14ac:dyDescent="0.25">
      <c r="A61" s="1" t="s">
        <v>172</v>
      </c>
      <c r="B61" s="118" t="s">
        <v>173</v>
      </c>
      <c r="C61" s="95">
        <f>SUM('DOE25'!F98:F110)</f>
        <v>39277.86</v>
      </c>
      <c r="D61" s="95">
        <f>SUM('DOE25'!G98:G110)</f>
        <v>0</v>
      </c>
      <c r="E61" s="95">
        <f>SUM('DOE25'!H98:H110)</f>
        <v>60019.38</v>
      </c>
      <c r="F61" s="95">
        <f>SUM('DOE25'!I98:I110)</f>
        <v>0</v>
      </c>
      <c r="G61" s="95">
        <f>SUM('DOE25'!J98:J110)</f>
        <v>0</v>
      </c>
      <c r="H61"/>
      <c r="I61"/>
    </row>
    <row r="62" spans="1:9" ht="12.75" thickTop="1" thickBot="1" x14ac:dyDescent="0.25">
      <c r="A62" s="29" t="s">
        <v>174</v>
      </c>
      <c r="B62" s="6"/>
      <c r="C62" s="130">
        <f>SUM(C57:C61)</f>
        <v>79026.92</v>
      </c>
      <c r="D62" s="130">
        <f>SUM(D57:D61)</f>
        <v>242063.30000000002</v>
      </c>
      <c r="E62" s="130">
        <f>SUM(E57:E61)</f>
        <v>60019.38</v>
      </c>
      <c r="F62" s="130">
        <f>SUM(F57:F61)</f>
        <v>0</v>
      </c>
      <c r="G62" s="130">
        <f>SUM(G57:G61)</f>
        <v>13428.79</v>
      </c>
      <c r="H62"/>
      <c r="I62"/>
    </row>
    <row r="63" spans="1:9" ht="12" thickTop="1" x14ac:dyDescent="0.2">
      <c r="A63" s="29" t="s">
        <v>175</v>
      </c>
      <c r="B63" s="6"/>
      <c r="C63" s="22">
        <f>C56+C62</f>
        <v>18374339.920000002</v>
      </c>
      <c r="D63" s="22">
        <f>D56+D62</f>
        <v>242063.30000000002</v>
      </c>
      <c r="E63" s="22">
        <f>E56+E62</f>
        <v>60019.38</v>
      </c>
      <c r="F63" s="22">
        <f>F56+F62</f>
        <v>0</v>
      </c>
      <c r="G63" s="22">
        <f>G56+G62</f>
        <v>13428.79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6040001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6040001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91545.03</v>
      </c>
      <c r="D72" s="24" t="s">
        <v>288</v>
      </c>
      <c r="E72" s="24" t="s">
        <v>288</v>
      </c>
      <c r="F72" s="95">
        <f>'DOE25'!I123</f>
        <v>0</v>
      </c>
      <c r="G72" s="24" t="s">
        <v>288</v>
      </c>
      <c r="H72"/>
      <c r="I72"/>
    </row>
    <row r="73" spans="1:9" x14ac:dyDescent="0.2">
      <c r="A73" s="1" t="s">
        <v>254</v>
      </c>
      <c r="B73" s="6">
        <v>3215</v>
      </c>
      <c r="C73" s="95">
        <f>'DOE25'!F124</f>
        <v>85593.31</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16878.599999999999</v>
      </c>
      <c r="D76" s="24" t="s">
        <v>288</v>
      </c>
      <c r="E76" s="95">
        <f>SUM('DOE25'!H127:H130)</f>
        <v>3139</v>
      </c>
      <c r="F76" s="95">
        <f>SUM('DOE25'!I127:I130)</f>
        <v>0</v>
      </c>
      <c r="G76" s="24" t="s">
        <v>288</v>
      </c>
      <c r="H76"/>
      <c r="I76"/>
    </row>
    <row r="77" spans="1:9" ht="12" thickBot="1" x14ac:dyDescent="0.25">
      <c r="A77" s="1" t="s">
        <v>258</v>
      </c>
      <c r="B77" s="6" t="s">
        <v>180</v>
      </c>
      <c r="C77" s="95">
        <f>SUM('DOE25'!F131:F135)</f>
        <v>0</v>
      </c>
      <c r="D77" s="95">
        <f>SUM('DOE25'!G131:G135)</f>
        <v>5798.81</v>
      </c>
      <c r="E77" s="95">
        <f>SUM('DOE25'!H131:H135)</f>
        <v>320718.88</v>
      </c>
      <c r="F77" s="95">
        <f>SUM('DOE25'!I131:I135)</f>
        <v>0</v>
      </c>
      <c r="G77" s="95">
        <f>SUM('DOE25'!J131:J135)</f>
        <v>0</v>
      </c>
      <c r="H77"/>
      <c r="I77"/>
    </row>
    <row r="78" spans="1:9" ht="12.75" thickTop="1" thickBot="1" x14ac:dyDescent="0.25">
      <c r="A78" s="29" t="s">
        <v>259</v>
      </c>
      <c r="B78" s="6"/>
      <c r="C78" s="130">
        <f>SUM(C72:C77)</f>
        <v>194016.94</v>
      </c>
      <c r="D78" s="130">
        <f>SUM(D72:D77)</f>
        <v>5798.81</v>
      </c>
      <c r="E78" s="130">
        <f>SUM(E72:E77)</f>
        <v>323857.88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6234017.9400000004</v>
      </c>
      <c r="D81" s="130">
        <f>SUM(D79:D80)+D78+D70</f>
        <v>5798.81</v>
      </c>
      <c r="E81" s="130">
        <f>SUM(E79:E80)+E78+E70</f>
        <v>323857.88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191877.76000000001</v>
      </c>
      <c r="D88" s="95">
        <f>SUM('DOE25'!G153:G161)</f>
        <v>197484.91</v>
      </c>
      <c r="E88" s="95">
        <f>SUM('DOE25'!H153:H161)</f>
        <v>315560.67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8495.8799999999992</v>
      </c>
      <c r="D90" s="24" t="s">
        <v>288</v>
      </c>
      <c r="E90" s="24" t="s">
        <v>288</v>
      </c>
      <c r="F90" s="24" t="s">
        <v>288</v>
      </c>
      <c r="G90" s="24" t="s">
        <v>288</v>
      </c>
    </row>
    <row r="91" spans="1:9" ht="12.75" thickTop="1" thickBot="1" x14ac:dyDescent="0.25">
      <c r="A91" s="33" t="s">
        <v>750</v>
      </c>
      <c r="C91" s="131">
        <f>SUM(C85:C90)</f>
        <v>200373.64</v>
      </c>
      <c r="D91" s="131">
        <f>SUM(D85:D90)</f>
        <v>197484.91</v>
      </c>
      <c r="E91" s="131">
        <f>SUM(E85:E90)</f>
        <v>315560.67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125000</v>
      </c>
    </row>
    <row r="104" spans="1:7" ht="12.75" thickTop="1" thickBot="1" x14ac:dyDescent="0.25">
      <c r="A104" s="33" t="s">
        <v>761</v>
      </c>
      <c r="C104" s="86">
        <f>C63+C81+C91+C103</f>
        <v>24808731.500000004</v>
      </c>
      <c r="D104" s="86">
        <f>D63+D81+D91+D103</f>
        <v>445347.02</v>
      </c>
      <c r="E104" s="86">
        <f>E63+E81+E91+E103</f>
        <v>699437.92999999993</v>
      </c>
      <c r="F104" s="86">
        <f>F63+F81+F91+F103</f>
        <v>0</v>
      </c>
      <c r="G104" s="86">
        <f>G63+G81+G103</f>
        <v>138428.79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9356441.370000001</v>
      </c>
      <c r="D109" s="24" t="s">
        <v>288</v>
      </c>
      <c r="E109" s="95">
        <f>('DOE25'!L276)+('DOE25'!L295)+('DOE25'!L314)</f>
        <v>252708.29999999996</v>
      </c>
      <c r="F109" s="24" t="s">
        <v>288</v>
      </c>
      <c r="G109" s="24" t="s">
        <v>288</v>
      </c>
    </row>
    <row r="110" spans="1:7" x14ac:dyDescent="0.2">
      <c r="A110" t="s">
        <v>198</v>
      </c>
      <c r="B110" s="32" t="s">
        <v>199</v>
      </c>
      <c r="C110" s="95">
        <f>('DOE25'!L198)+('DOE25'!L216)+('DOE25'!L234)</f>
        <v>3851772.5300000003</v>
      </c>
      <c r="D110" s="24" t="s">
        <v>288</v>
      </c>
      <c r="E110" s="95">
        <f>('DOE25'!L277)+('DOE25'!L296)+('DOE25'!L315)</f>
        <v>0</v>
      </c>
      <c r="F110" s="24" t="s">
        <v>288</v>
      </c>
      <c r="G110" s="24" t="s">
        <v>288</v>
      </c>
    </row>
    <row r="111" spans="1:7" x14ac:dyDescent="0.2">
      <c r="A111" t="s">
        <v>200</v>
      </c>
      <c r="B111" s="32" t="s">
        <v>165</v>
      </c>
      <c r="C111" s="95">
        <f>('DOE25'!L199)+('DOE25'!L217)+('DOE25'!L235)</f>
        <v>117042.61</v>
      </c>
      <c r="D111" s="24" t="s">
        <v>288</v>
      </c>
      <c r="E111" s="95">
        <f>('DOE25'!L278)+('DOE25'!L297)+('DOE25'!L316)</f>
        <v>0</v>
      </c>
      <c r="F111" s="24" t="s">
        <v>288</v>
      </c>
      <c r="G111" s="24" t="s">
        <v>288</v>
      </c>
    </row>
    <row r="112" spans="1:7" x14ac:dyDescent="0.2">
      <c r="A112" t="s">
        <v>201</v>
      </c>
      <c r="B112" s="32" t="s">
        <v>167</v>
      </c>
      <c r="C112" s="95">
        <f>('DOE25'!L200)+('DOE25'!L218)+('DOE25'!L236)</f>
        <v>530082.69999999995</v>
      </c>
      <c r="D112" s="24" t="s">
        <v>288</v>
      </c>
      <c r="E112" s="95">
        <f>+('DOE25'!L279)+('DOE25'!L298)+('DOE25'!L317)</f>
        <v>5767.4</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13855339.210000001</v>
      </c>
      <c r="D115" s="86">
        <f>SUM(D109:D114)</f>
        <v>0</v>
      </c>
      <c r="E115" s="86">
        <f>SUM(E109:E114)</f>
        <v>258475.69999999995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1591536.88</v>
      </c>
      <c r="D118" s="24" t="s">
        <v>288</v>
      </c>
      <c r="E118" s="95">
        <f>+('DOE25'!L281)+('DOE25'!L300)+('DOE25'!L319)</f>
        <v>3731.4</v>
      </c>
      <c r="F118" s="24" t="s">
        <v>288</v>
      </c>
      <c r="G118" s="24" t="s">
        <v>288</v>
      </c>
    </row>
    <row r="119" spans="1:7" x14ac:dyDescent="0.2">
      <c r="A119" t="s">
        <v>208</v>
      </c>
      <c r="B119" s="32" t="s">
        <v>209</v>
      </c>
      <c r="C119" s="95">
        <f>('DOE25'!L203)+('DOE25'!L221)+('DOE25'!L239)</f>
        <v>1768188.13</v>
      </c>
      <c r="D119" s="24" t="s">
        <v>288</v>
      </c>
      <c r="E119" s="95">
        <f>+('DOE25'!L282)+('DOE25'!L301)+('DOE25'!L320)</f>
        <v>101131.48999999999</v>
      </c>
      <c r="F119" s="24" t="s">
        <v>288</v>
      </c>
      <c r="G119" s="24" t="s">
        <v>288</v>
      </c>
    </row>
    <row r="120" spans="1:7" x14ac:dyDescent="0.2">
      <c r="A120" t="s">
        <v>210</v>
      </c>
      <c r="B120" s="32" t="s">
        <v>211</v>
      </c>
      <c r="C120" s="95">
        <f>('DOE25'!L204)+('DOE25'!L222)+('DOE25'!L240)</f>
        <v>1060905.47</v>
      </c>
      <c r="D120" s="24" t="s">
        <v>288</v>
      </c>
      <c r="E120" s="95">
        <f>+('DOE25'!L283)+('DOE25'!L302)+('DOE25'!L321)</f>
        <v>19936.919999999998</v>
      </c>
      <c r="F120" s="24" t="s">
        <v>288</v>
      </c>
      <c r="G120" s="24" t="s">
        <v>288</v>
      </c>
    </row>
    <row r="121" spans="1:7" x14ac:dyDescent="0.2">
      <c r="A121" t="s">
        <v>212</v>
      </c>
      <c r="B121" s="32" t="s">
        <v>213</v>
      </c>
      <c r="C121" s="95">
        <f>('DOE25'!L205)+('DOE25'!L223)+('DOE25'!L241)</f>
        <v>1484384.89</v>
      </c>
      <c r="D121" s="24" t="s">
        <v>288</v>
      </c>
      <c r="E121" s="95">
        <f>+('DOE25'!L284)+('DOE25'!L303)+('DOE25'!L322)</f>
        <v>0</v>
      </c>
      <c r="F121" s="24" t="s">
        <v>288</v>
      </c>
      <c r="G121" s="24" t="s">
        <v>288</v>
      </c>
    </row>
    <row r="122" spans="1:7" x14ac:dyDescent="0.2">
      <c r="A122" t="s">
        <v>214</v>
      </c>
      <c r="B122" s="32" t="s">
        <v>215</v>
      </c>
      <c r="C122" s="95">
        <f>('DOE25'!L206)+('DOE25'!L224)+('DOE25'!L242)</f>
        <v>23098.329999999998</v>
      </c>
      <c r="D122" s="24" t="s">
        <v>288</v>
      </c>
      <c r="E122" s="95">
        <f>+('DOE25'!L285)+('DOE25'!L304)+('DOE25'!L323)</f>
        <v>0</v>
      </c>
      <c r="F122" s="24" t="s">
        <v>288</v>
      </c>
      <c r="G122" s="24" t="s">
        <v>288</v>
      </c>
    </row>
    <row r="123" spans="1:7" x14ac:dyDescent="0.2">
      <c r="A123" t="s">
        <v>216</v>
      </c>
      <c r="B123" s="32" t="s">
        <v>217</v>
      </c>
      <c r="C123" s="95">
        <f>('DOE25'!L207)+('DOE25'!L225)+('DOE25'!L243)</f>
        <v>2962100.83</v>
      </c>
      <c r="D123" s="24" t="s">
        <v>288</v>
      </c>
      <c r="E123" s="95">
        <f>+('DOE25'!L286)+('DOE25'!L305)+('DOE25'!L324)</f>
        <v>320718.88</v>
      </c>
      <c r="F123" s="24" t="s">
        <v>288</v>
      </c>
      <c r="G123" s="24" t="s">
        <v>288</v>
      </c>
    </row>
    <row r="124" spans="1:7" x14ac:dyDescent="0.2">
      <c r="A124" t="s">
        <v>218</v>
      </c>
      <c r="B124" s="32" t="s">
        <v>219</v>
      </c>
      <c r="C124" s="95">
        <f>('DOE25'!L208)+('DOE25'!L226)+('DOE25'!L244+'DOE25'!L254)</f>
        <v>1415697.51</v>
      </c>
      <c r="D124" s="24" t="s">
        <v>288</v>
      </c>
      <c r="E124" s="95">
        <f>+('DOE25'!L287)+('DOE25'!L306)+('DOE25'!L325)</f>
        <v>1400.83</v>
      </c>
      <c r="F124" s="24" t="s">
        <v>288</v>
      </c>
      <c r="G124" s="24" t="s">
        <v>288</v>
      </c>
    </row>
    <row r="125" spans="1:7" x14ac:dyDescent="0.2">
      <c r="A125" t="s">
        <v>220</v>
      </c>
      <c r="B125" s="32" t="s">
        <v>221</v>
      </c>
      <c r="C125" s="95">
        <f>('DOE25'!L209)+('DOE25'!L227)+('DOE25'!L245)</f>
        <v>987720.17999999993</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440395.5</v>
      </c>
      <c r="E127" s="24" t="s">
        <v>288</v>
      </c>
      <c r="F127" s="24" t="s">
        <v>288</v>
      </c>
      <c r="G127" s="24" t="s">
        <v>288</v>
      </c>
    </row>
    <row r="128" spans="1:7" ht="12.75" thickTop="1" thickBot="1" x14ac:dyDescent="0.25">
      <c r="A128" s="33" t="s">
        <v>226</v>
      </c>
      <c r="C128" s="86">
        <f>SUM(C118:C127)</f>
        <v>11293632.219999999</v>
      </c>
      <c r="D128" s="86">
        <f>SUM(D118:D127)</f>
        <v>440395.5</v>
      </c>
      <c r="E128" s="86">
        <f>SUM(E118:E127)</f>
        <v>446919.52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138428.79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-13428.790000000008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125000</v>
      </c>
      <c r="D144" s="141">
        <f>SUM(D130:D143)</f>
        <v>0</v>
      </c>
      <c r="E144" s="141">
        <f>SUM(E130:E143)</f>
        <v>0</v>
      </c>
      <c r="F144" s="141">
        <f>SUM(F130:F143)</f>
        <v>0</v>
      </c>
      <c r="G144" s="141">
        <f>SUM(G130:G143)</f>
        <v>0</v>
      </c>
    </row>
    <row r="145" spans="1:9" ht="12.75" thickTop="1" thickBot="1" x14ac:dyDescent="0.25">
      <c r="A145" s="33" t="s">
        <v>244</v>
      </c>
      <c r="C145" s="86">
        <f>(C115+C128+C144)</f>
        <v>25273971.43</v>
      </c>
      <c r="D145" s="86">
        <f>(D115+D128+D144)</f>
        <v>440395.5</v>
      </c>
      <c r="E145" s="86">
        <f>(E115+E128+E144)</f>
        <v>705395.22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24" sqref="D2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Inter-Lakes School District</v>
      </c>
    </row>
    <row r="3" spans="1:4" x14ac:dyDescent="0.2">
      <c r="B3" s="188" t="s">
        <v>1602</v>
      </c>
    </row>
    <row r="4" spans="1:4" x14ac:dyDescent="0.2">
      <c r="B4" t="s">
        <v>61</v>
      </c>
      <c r="C4" s="179">
        <f>IF('DOE25'!F665+'DOE25'!F670=0,0,ROUND('DOE25'!F672,0))</f>
        <v>22526</v>
      </c>
    </row>
    <row r="5" spans="1:4" x14ac:dyDescent="0.2">
      <c r="B5" t="s">
        <v>700</v>
      </c>
      <c r="C5" s="179">
        <f>IF('DOE25'!G665+'DOE25'!G670=0,0,ROUND('DOE25'!G672,0))</f>
        <v>0</v>
      </c>
    </row>
    <row r="6" spans="1:4" x14ac:dyDescent="0.2">
      <c r="B6" t="s">
        <v>62</v>
      </c>
      <c r="C6" s="179">
        <f>IF('DOE25'!H665+'DOE25'!H670=0,0,ROUND('DOE25'!H672,0))</f>
        <v>23452</v>
      </c>
    </row>
    <row r="7" spans="1:4" x14ac:dyDescent="0.2">
      <c r="B7" t="s">
        <v>701</v>
      </c>
      <c r="C7" s="179">
        <f>IF('DOE25'!I665+'DOE25'!I670=0,0,ROUND('DOE25'!I672,0))</f>
        <v>22816</v>
      </c>
    </row>
    <row r="9" spans="1:4" x14ac:dyDescent="0.2">
      <c r="A9" s="187" t="s">
        <v>94</v>
      </c>
      <c r="B9" s="188" t="s">
        <v>1603</v>
      </c>
      <c r="C9" s="181" t="s">
        <v>720</v>
      </c>
      <c r="D9" s="181" t="s">
        <v>721</v>
      </c>
    </row>
    <row r="10" spans="1:4" x14ac:dyDescent="0.2">
      <c r="A10">
        <v>1100</v>
      </c>
      <c r="B10" t="s">
        <v>702</v>
      </c>
      <c r="C10" s="179">
        <f>ROUND('DOE25'!L197+'DOE25'!L215+'DOE25'!L233+'DOE25'!L276+'DOE25'!L295+'DOE25'!L314,0)</f>
        <v>9609150</v>
      </c>
      <c r="D10" s="182">
        <f>ROUND((C10/$C$28)*100,1)</f>
        <v>36.9</v>
      </c>
    </row>
    <row r="11" spans="1:4" x14ac:dyDescent="0.2">
      <c r="A11">
        <v>1200</v>
      </c>
      <c r="B11" t="s">
        <v>703</v>
      </c>
      <c r="C11" s="179">
        <f>ROUND('DOE25'!L198+'DOE25'!L216+'DOE25'!L234+'DOE25'!L277+'DOE25'!L296+'DOE25'!L315,0)</f>
        <v>3851773</v>
      </c>
      <c r="D11" s="182">
        <f>ROUND((C11/$C$28)*100,1)</f>
        <v>14.8</v>
      </c>
    </row>
    <row r="12" spans="1:4" x14ac:dyDescent="0.2">
      <c r="A12">
        <v>1300</v>
      </c>
      <c r="B12" t="s">
        <v>704</v>
      </c>
      <c r="C12" s="179">
        <f>ROUND('DOE25'!L199+'DOE25'!L217+'DOE25'!L235+'DOE25'!L278+'DOE25'!L297+'DOE25'!L316,0)</f>
        <v>117043</v>
      </c>
      <c r="D12" s="182">
        <f>ROUND((C12/$C$28)*100,1)</f>
        <v>0.4</v>
      </c>
    </row>
    <row r="13" spans="1:4" x14ac:dyDescent="0.2">
      <c r="A13">
        <v>1400</v>
      </c>
      <c r="B13" t="s">
        <v>705</v>
      </c>
      <c r="C13" s="179">
        <f>ROUND('DOE25'!L200+'DOE25'!L218+'DOE25'!L236+'DOE25'!L279+'DOE25'!L298+'DOE25'!L317,0)</f>
        <v>535850</v>
      </c>
      <c r="D13" s="182">
        <f>ROUND((C13/$C$28)*100,1)</f>
        <v>2.1</v>
      </c>
    </row>
    <row r="14" spans="1:4" x14ac:dyDescent="0.2">
      <c r="D14" s="182"/>
    </row>
    <row r="15" spans="1:4" x14ac:dyDescent="0.2">
      <c r="A15">
        <v>2100</v>
      </c>
      <c r="B15" t="s">
        <v>706</v>
      </c>
      <c r="C15" s="179">
        <f>ROUND('DOE25'!L202+'DOE25'!L220+'DOE25'!L238+'DOE25'!L281+'DOE25'!L300+'DOE25'!L319,0)</f>
        <v>1595268</v>
      </c>
      <c r="D15" s="182">
        <f t="shared" ref="D15:D27" si="0">ROUND((C15/$C$28)*100,1)</f>
        <v>6.1</v>
      </c>
    </row>
    <row r="16" spans="1:4" x14ac:dyDescent="0.2">
      <c r="A16">
        <v>2200</v>
      </c>
      <c r="B16" t="s">
        <v>707</v>
      </c>
      <c r="C16" s="179">
        <f>ROUND('DOE25'!L203+'DOE25'!L221+'DOE25'!L239+'DOE25'!L282+'DOE25'!L301+'DOE25'!L320,0)</f>
        <v>1869320</v>
      </c>
      <c r="D16" s="182">
        <f t="shared" si="0"/>
        <v>7.2</v>
      </c>
    </row>
    <row r="17" spans="1:4" x14ac:dyDescent="0.2">
      <c r="A17" s="183" t="s">
        <v>723</v>
      </c>
      <c r="B17" t="s">
        <v>738</v>
      </c>
      <c r="C17" s="179">
        <f>ROUND('DOE25'!L204+'DOE25'!L209+'DOE25'!L222+'DOE25'!L227+'DOE25'!L240+'DOE25'!L245+'DOE25'!L283+'DOE25'!L288+'DOE25'!L302+'DOE25'!L307+'DOE25'!L321+'DOE25'!L326,0)</f>
        <v>2068563</v>
      </c>
      <c r="D17" s="182">
        <f t="shared" si="0"/>
        <v>7.9</v>
      </c>
    </row>
    <row r="18" spans="1:4" x14ac:dyDescent="0.2">
      <c r="A18">
        <v>2400</v>
      </c>
      <c r="B18" t="s">
        <v>711</v>
      </c>
      <c r="C18" s="179">
        <f>ROUND('DOE25'!L205+'DOE25'!L223+'DOE25'!L241+'DOE25'!L284+'DOE25'!L303+'DOE25'!L322,0)</f>
        <v>1484385</v>
      </c>
      <c r="D18" s="182">
        <f t="shared" si="0"/>
        <v>5.7</v>
      </c>
    </row>
    <row r="19" spans="1:4" x14ac:dyDescent="0.2">
      <c r="A19">
        <v>2500</v>
      </c>
      <c r="B19" t="s">
        <v>708</v>
      </c>
      <c r="C19" s="179">
        <f>ROUND('DOE25'!L206+'DOE25'!L224+'DOE25'!L242+'DOE25'!L285+'DOE25'!L304+'DOE25'!L323,0)</f>
        <v>23098</v>
      </c>
      <c r="D19" s="182">
        <f t="shared" si="0"/>
        <v>0.1</v>
      </c>
    </row>
    <row r="20" spans="1:4" x14ac:dyDescent="0.2">
      <c r="A20">
        <v>2600</v>
      </c>
      <c r="B20" t="s">
        <v>709</v>
      </c>
      <c r="C20" s="179">
        <f>ROUND('DOE25'!L207+'DOE25'!L225+'DOE25'!L243+'DOE25'!L286+'DOE25'!L305+'DOE25'!L324,0)</f>
        <v>3282820</v>
      </c>
      <c r="D20" s="182">
        <f t="shared" si="0"/>
        <v>12.6</v>
      </c>
    </row>
    <row r="21" spans="1:4" x14ac:dyDescent="0.2">
      <c r="A21">
        <v>2700</v>
      </c>
      <c r="B21" t="s">
        <v>710</v>
      </c>
      <c r="C21" s="179">
        <f>ROUND('DOE25'!L208+'DOE25'!L226+'DOE25'!L244+'DOE25'!L287+'DOE25'!L306+'DOE25'!L325,0)</f>
        <v>1417098</v>
      </c>
      <c r="D21" s="182">
        <f t="shared" si="0"/>
        <v>5.4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198332.69999999998</v>
      </c>
      <c r="D27" s="182">
        <f t="shared" si="0"/>
        <v>0.8</v>
      </c>
    </row>
    <row r="28" spans="1:4" x14ac:dyDescent="0.2">
      <c r="B28" s="187" t="s">
        <v>719</v>
      </c>
      <c r="C28" s="180">
        <f>SUM(C10:C27)</f>
        <v>26052700.699999999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26052700.699999999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18295313</v>
      </c>
      <c r="D35" s="182">
        <f t="shared" ref="D35:D40" si="1">ROUND((C35/$C$41)*100,1)</f>
        <v>71.099999999999994</v>
      </c>
    </row>
    <row r="36" spans="1:4" x14ac:dyDescent="0.2">
      <c r="B36" s="185" t="s">
        <v>739</v>
      </c>
      <c r="C36" s="179">
        <f>SUM('DOE25'!F112:J112)-SUM('DOE25'!G97:G110)+('DOE25'!F174+'DOE25'!F175+'DOE25'!I174+'DOE25'!I175)-C35</f>
        <v>152475.08999999613</v>
      </c>
      <c r="D36" s="182">
        <f t="shared" si="1"/>
        <v>0.6</v>
      </c>
    </row>
    <row r="37" spans="1:4" x14ac:dyDescent="0.2">
      <c r="A37" s="183" t="s">
        <v>835</v>
      </c>
      <c r="B37" s="185" t="s">
        <v>728</v>
      </c>
      <c r="C37" s="179">
        <f>ROUND('DOE25'!F117+'DOE25'!F118,0)</f>
        <v>6040001</v>
      </c>
      <c r="D37" s="182">
        <f t="shared" si="1"/>
        <v>23.5</v>
      </c>
    </row>
    <row r="38" spans="1:4" x14ac:dyDescent="0.2">
      <c r="A38" s="183" t="s">
        <v>734</v>
      </c>
      <c r="B38" s="185" t="s">
        <v>729</v>
      </c>
      <c r="C38" s="179">
        <f>ROUND(SUM('DOE25'!F140:J140)-SUM('DOE25'!F117:F119),0)</f>
        <v>523674</v>
      </c>
      <c r="D38" s="182">
        <f t="shared" si="1"/>
        <v>2</v>
      </c>
    </row>
    <row r="39" spans="1:4" x14ac:dyDescent="0.2">
      <c r="A39">
        <v>4000</v>
      </c>
      <c r="B39" s="185" t="s">
        <v>730</v>
      </c>
      <c r="C39" s="179">
        <f>ROUND('DOE25'!F169+'DOE25'!G169+'DOE25'!H169+'DOE25'!I169,0)</f>
        <v>713419</v>
      </c>
      <c r="D39" s="182">
        <f t="shared" si="1"/>
        <v>2.8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25724882.089999996</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Inter-Lakes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v>19</v>
      </c>
      <c r="B4" s="219">
        <v>470</v>
      </c>
      <c r="C4" s="332" t="s">
        <v>1609</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8"/>
  <sheetViews>
    <sheetView topLeftCell="A126" workbookViewId="0">
      <selection activeCell="H139" sqref="H139"/>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8">
        <v>269</v>
      </c>
      <c r="B140" s="319" t="s">
        <v>1153</v>
      </c>
      <c r="C140" s="319" t="s">
        <v>1155</v>
      </c>
      <c r="D140" s="319">
        <v>29201</v>
      </c>
      <c r="E140" s="319" t="s">
        <v>1570</v>
      </c>
    </row>
    <row r="141" spans="1:5" ht="15" x14ac:dyDescent="0.25">
      <c r="A141" s="314">
        <v>271</v>
      </c>
      <c r="B141" s="315" t="s">
        <v>1158</v>
      </c>
      <c r="C141" s="315" t="s">
        <v>1159</v>
      </c>
      <c r="D141" s="315">
        <v>20355</v>
      </c>
      <c r="E141" s="315" t="s">
        <v>61</v>
      </c>
    </row>
    <row r="142" spans="1:5" ht="15" x14ac:dyDescent="0.25">
      <c r="A142" s="314">
        <v>357</v>
      </c>
      <c r="B142" s="315" t="s">
        <v>1283</v>
      </c>
      <c r="C142" s="315" t="s">
        <v>1287</v>
      </c>
      <c r="D142" s="315">
        <v>26580</v>
      </c>
      <c r="E142" s="315" t="s">
        <v>61</v>
      </c>
    </row>
    <row r="143" spans="1:5" ht="15" x14ac:dyDescent="0.25">
      <c r="A143" s="314">
        <v>274</v>
      </c>
      <c r="B143" s="315" t="s">
        <v>1160</v>
      </c>
      <c r="C143" s="315" t="s">
        <v>1163</v>
      </c>
      <c r="D143" s="315">
        <v>22275</v>
      </c>
      <c r="E143" s="315" t="s">
        <v>61</v>
      </c>
    </row>
    <row r="144" spans="1:5" ht="15" x14ac:dyDescent="0.25">
      <c r="A144" s="314">
        <v>503</v>
      </c>
      <c r="B144" s="315" t="s">
        <v>1457</v>
      </c>
      <c r="C144" s="315" t="s">
        <v>1458</v>
      </c>
      <c r="D144" s="315">
        <v>20980</v>
      </c>
      <c r="E144" s="315" t="s">
        <v>61</v>
      </c>
    </row>
    <row r="145" spans="1:5" ht="15" x14ac:dyDescent="0.25">
      <c r="A145" s="314">
        <v>276</v>
      </c>
      <c r="B145" s="315" t="s">
        <v>1167</v>
      </c>
      <c r="C145" s="315" t="s">
        <v>1596</v>
      </c>
      <c r="D145" s="315">
        <v>26565</v>
      </c>
      <c r="E145" s="315" t="s">
        <v>1592</v>
      </c>
    </row>
    <row r="146" spans="1:5" ht="15" x14ac:dyDescent="0.25">
      <c r="A146" s="314">
        <v>351</v>
      </c>
      <c r="B146" s="315" t="s">
        <v>1264</v>
      </c>
      <c r="C146" s="315" t="s">
        <v>1267</v>
      </c>
      <c r="D146" s="315">
        <v>21020</v>
      </c>
      <c r="E146" s="315" t="s">
        <v>61</v>
      </c>
    </row>
    <row r="147" spans="1:5" ht="15" x14ac:dyDescent="0.25">
      <c r="A147" s="314">
        <v>351</v>
      </c>
      <c r="B147" s="315" t="s">
        <v>1264</v>
      </c>
      <c r="C147" s="315" t="s">
        <v>1268</v>
      </c>
      <c r="D147" s="315">
        <v>21025</v>
      </c>
      <c r="E147" s="315" t="s">
        <v>61</v>
      </c>
    </row>
    <row r="148" spans="1:5" ht="15" x14ac:dyDescent="0.25">
      <c r="A148" s="314">
        <v>247</v>
      </c>
      <c r="B148" s="315" t="s">
        <v>1120</v>
      </c>
      <c r="C148" s="315" t="s">
        <v>1121</v>
      </c>
      <c r="D148" s="315">
        <v>20670</v>
      </c>
      <c r="E148" s="315" t="s">
        <v>61</v>
      </c>
    </row>
    <row r="149" spans="1:5" ht="15" x14ac:dyDescent="0.25">
      <c r="A149" s="314">
        <v>335</v>
      </c>
      <c r="B149" s="315" t="s">
        <v>914</v>
      </c>
      <c r="C149" s="315" t="s">
        <v>1239</v>
      </c>
      <c r="D149" s="315">
        <v>21590</v>
      </c>
      <c r="E149" s="315" t="s">
        <v>61</v>
      </c>
    </row>
    <row r="150" spans="1:5" ht="15" x14ac:dyDescent="0.25">
      <c r="A150" s="314">
        <v>341</v>
      </c>
      <c r="B150" s="315" t="s">
        <v>1251</v>
      </c>
      <c r="C150" s="315" t="s">
        <v>1252</v>
      </c>
      <c r="D150" s="315">
        <v>23000</v>
      </c>
      <c r="E150" s="315" t="s">
        <v>61</v>
      </c>
    </row>
    <row r="151" spans="1:5" ht="15" x14ac:dyDescent="0.25">
      <c r="A151" s="314">
        <v>113</v>
      </c>
      <c r="B151" s="315" t="s">
        <v>1004</v>
      </c>
      <c r="C151" s="315" t="s">
        <v>1006</v>
      </c>
      <c r="D151" s="315">
        <v>20335</v>
      </c>
      <c r="E151" s="315" t="s">
        <v>61</v>
      </c>
    </row>
    <row r="152" spans="1:5" ht="15" x14ac:dyDescent="0.25">
      <c r="A152" s="314">
        <v>279</v>
      </c>
      <c r="B152" s="315" t="s">
        <v>1174</v>
      </c>
      <c r="C152" s="315" t="s">
        <v>1597</v>
      </c>
      <c r="D152" s="315">
        <v>29180</v>
      </c>
      <c r="E152" s="315" t="s">
        <v>1592</v>
      </c>
    </row>
    <row r="153" spans="1:5" ht="15" x14ac:dyDescent="0.25">
      <c r="A153" s="314">
        <v>35</v>
      </c>
      <c r="B153" s="315" t="s">
        <v>939</v>
      </c>
      <c r="C153" s="315" t="s">
        <v>940</v>
      </c>
      <c r="D153" s="315">
        <v>20325</v>
      </c>
      <c r="E153" s="315" t="s">
        <v>61</v>
      </c>
    </row>
    <row r="154" spans="1:5" ht="15" x14ac:dyDescent="0.25">
      <c r="A154" s="314">
        <v>276</v>
      </c>
      <c r="B154" s="315" t="s">
        <v>1167</v>
      </c>
      <c r="C154" s="315" t="s">
        <v>1171</v>
      </c>
      <c r="D154" s="315">
        <v>21980</v>
      </c>
      <c r="E154" s="315" t="s">
        <v>61</v>
      </c>
    </row>
    <row r="155" spans="1:5" ht="15" x14ac:dyDescent="0.25">
      <c r="A155" s="314">
        <v>276</v>
      </c>
      <c r="B155" s="315" t="s">
        <v>1167</v>
      </c>
      <c r="C155" s="315" t="s">
        <v>1172</v>
      </c>
      <c r="D155" s="315">
        <v>26530</v>
      </c>
      <c r="E155" s="315" t="s">
        <v>61</v>
      </c>
    </row>
    <row r="156" spans="1:5" ht="15" x14ac:dyDescent="0.25">
      <c r="A156" s="314">
        <v>525</v>
      </c>
      <c r="B156" s="315" t="s">
        <v>1468</v>
      </c>
      <c r="C156" s="315" t="s">
        <v>1469</v>
      </c>
      <c r="D156" s="315">
        <v>20365</v>
      </c>
      <c r="E156" s="315" t="s">
        <v>61</v>
      </c>
    </row>
    <row r="157" spans="1:5" ht="15" x14ac:dyDescent="0.25">
      <c r="A157" s="314">
        <v>281</v>
      </c>
      <c r="B157" s="315" t="s">
        <v>1181</v>
      </c>
      <c r="C157" s="315" t="s">
        <v>1182</v>
      </c>
      <c r="D157" s="315">
        <v>20605</v>
      </c>
      <c r="E157" s="315" t="s">
        <v>61</v>
      </c>
    </row>
    <row r="158" spans="1:5" ht="15" x14ac:dyDescent="0.25">
      <c r="A158" s="314">
        <v>288</v>
      </c>
      <c r="B158" s="315" t="s">
        <v>1189</v>
      </c>
      <c r="C158" s="315" t="s">
        <v>1190</v>
      </c>
      <c r="D158" s="315">
        <v>21405</v>
      </c>
      <c r="E158" s="315" t="s">
        <v>61</v>
      </c>
    </row>
    <row r="159" spans="1:5" ht="15" x14ac:dyDescent="0.25">
      <c r="A159" s="314">
        <v>453</v>
      </c>
      <c r="B159" s="315" t="s">
        <v>1398</v>
      </c>
      <c r="C159" s="315" t="s">
        <v>1399</v>
      </c>
      <c r="D159" s="315">
        <v>21385</v>
      </c>
      <c r="E159" s="315" t="s">
        <v>61</v>
      </c>
    </row>
    <row r="160" spans="1:5" ht="15" x14ac:dyDescent="0.25">
      <c r="A160" s="314">
        <v>568</v>
      </c>
      <c r="B160" s="315" t="s">
        <v>1497</v>
      </c>
      <c r="C160" s="315" t="s">
        <v>1499</v>
      </c>
      <c r="D160" s="315">
        <v>21475</v>
      </c>
      <c r="E160" s="315" t="s">
        <v>61</v>
      </c>
    </row>
    <row r="161" spans="1:5" ht="15" x14ac:dyDescent="0.25">
      <c r="A161" s="314">
        <v>291</v>
      </c>
      <c r="B161" s="315" t="s">
        <v>1191</v>
      </c>
      <c r="C161" s="315" t="s">
        <v>1192</v>
      </c>
      <c r="D161" s="315">
        <v>21410</v>
      </c>
      <c r="E161" s="315" t="s">
        <v>61</v>
      </c>
    </row>
    <row r="162" spans="1:5" ht="15" x14ac:dyDescent="0.25">
      <c r="A162" s="314">
        <v>371</v>
      </c>
      <c r="B162" s="315" t="s">
        <v>1308</v>
      </c>
      <c r="C162" s="315" t="s">
        <v>1320</v>
      </c>
      <c r="D162" s="315">
        <v>21915</v>
      </c>
      <c r="E162" s="315" t="s">
        <v>61</v>
      </c>
    </row>
    <row r="163" spans="1:5" ht="15" x14ac:dyDescent="0.25">
      <c r="A163" s="314">
        <v>299</v>
      </c>
      <c r="B163" s="315" t="s">
        <v>1198</v>
      </c>
      <c r="C163" s="315" t="s">
        <v>1199</v>
      </c>
      <c r="D163" s="315">
        <v>29169</v>
      </c>
      <c r="E163" s="315" t="s">
        <v>61</v>
      </c>
    </row>
    <row r="164" spans="1:5" ht="15" x14ac:dyDescent="0.25">
      <c r="A164" s="314">
        <v>227</v>
      </c>
      <c r="B164" s="315" t="s">
        <v>1108</v>
      </c>
      <c r="C164" s="315" t="s">
        <v>1109</v>
      </c>
      <c r="D164" s="315">
        <v>20800</v>
      </c>
      <c r="E164" s="315" t="s">
        <v>61</v>
      </c>
    </row>
    <row r="165" spans="1:5" ht="15" x14ac:dyDescent="0.25">
      <c r="A165" s="314">
        <v>173</v>
      </c>
      <c r="B165" s="315" t="s">
        <v>1047</v>
      </c>
      <c r="C165" s="315" t="s">
        <v>1049</v>
      </c>
      <c r="D165" s="315">
        <v>20595</v>
      </c>
      <c r="E165" s="315" t="s">
        <v>61</v>
      </c>
    </row>
    <row r="166" spans="1:5" ht="15" x14ac:dyDescent="0.25">
      <c r="A166" s="314">
        <v>305</v>
      </c>
      <c r="B166" s="315" t="s">
        <v>1200</v>
      </c>
      <c r="C166" s="315" t="s">
        <v>1203</v>
      </c>
      <c r="D166" s="315">
        <v>20880</v>
      </c>
      <c r="E166" s="315" t="s">
        <v>61</v>
      </c>
    </row>
    <row r="167" spans="1:5" ht="15" x14ac:dyDescent="0.25">
      <c r="A167" s="314">
        <v>306</v>
      </c>
      <c r="B167" s="315" t="s">
        <v>1204</v>
      </c>
      <c r="C167" s="315" t="s">
        <v>1205</v>
      </c>
      <c r="D167" s="315">
        <v>21420</v>
      </c>
      <c r="E167" s="315" t="s">
        <v>61</v>
      </c>
    </row>
    <row r="168" spans="1:5" ht="15" x14ac:dyDescent="0.25">
      <c r="A168" s="314">
        <v>449</v>
      </c>
      <c r="B168" s="315" t="s">
        <v>1389</v>
      </c>
      <c r="C168" s="315" t="s">
        <v>1391</v>
      </c>
      <c r="D168" s="315">
        <v>22515</v>
      </c>
      <c r="E168" s="315" t="s">
        <v>61</v>
      </c>
    </row>
    <row r="169" spans="1:5" ht="15" x14ac:dyDescent="0.25">
      <c r="A169" s="314">
        <v>352</v>
      </c>
      <c r="B169" s="315" t="s">
        <v>1271</v>
      </c>
      <c r="C169" s="315" t="s">
        <v>1274</v>
      </c>
      <c r="D169" s="315">
        <v>22180</v>
      </c>
      <c r="E169" s="315" t="s">
        <v>61</v>
      </c>
    </row>
    <row r="170" spans="1:5" ht="15" x14ac:dyDescent="0.25">
      <c r="A170" s="314">
        <v>327</v>
      </c>
      <c r="B170" s="315" t="s">
        <v>1223</v>
      </c>
      <c r="C170" s="315" t="s">
        <v>1224</v>
      </c>
      <c r="D170" s="315">
        <v>20835</v>
      </c>
      <c r="E170" s="315" t="s">
        <v>61</v>
      </c>
    </row>
    <row r="171" spans="1:5" ht="15" x14ac:dyDescent="0.25">
      <c r="A171" s="314">
        <v>572</v>
      </c>
      <c r="B171" s="315" t="s">
        <v>1501</v>
      </c>
      <c r="C171" s="315" t="s">
        <v>1502</v>
      </c>
      <c r="D171" s="315">
        <v>23035</v>
      </c>
      <c r="E171" s="315" t="s">
        <v>61</v>
      </c>
    </row>
    <row r="172" spans="1:5" ht="15" x14ac:dyDescent="0.25">
      <c r="A172" s="314">
        <v>333</v>
      </c>
      <c r="B172" s="315" t="s">
        <v>1225</v>
      </c>
      <c r="C172" s="315" t="s">
        <v>1226</v>
      </c>
      <c r="D172" s="315">
        <v>20360</v>
      </c>
      <c r="E172" s="315" t="s">
        <v>61</v>
      </c>
    </row>
    <row r="173" spans="1:5" ht="15" x14ac:dyDescent="0.25">
      <c r="A173" s="314">
        <v>371</v>
      </c>
      <c r="B173" s="315" t="s">
        <v>1308</v>
      </c>
      <c r="C173" s="315" t="s">
        <v>1323</v>
      </c>
      <c r="D173" s="315">
        <v>21935</v>
      </c>
      <c r="E173" s="315" t="s">
        <v>61</v>
      </c>
    </row>
    <row r="174" spans="1:5" ht="15" x14ac:dyDescent="0.25">
      <c r="A174" s="314">
        <v>173</v>
      </c>
      <c r="B174" s="315" t="s">
        <v>1047</v>
      </c>
      <c r="C174" s="315" t="s">
        <v>1048</v>
      </c>
      <c r="D174" s="315">
        <v>20575</v>
      </c>
      <c r="E174" s="315" t="s">
        <v>61</v>
      </c>
    </row>
    <row r="175" spans="1:5" ht="15" x14ac:dyDescent="0.25">
      <c r="A175" s="314">
        <v>101</v>
      </c>
      <c r="B175" s="315" t="s">
        <v>975</v>
      </c>
      <c r="C175" s="315" t="s">
        <v>979</v>
      </c>
      <c r="D175" s="315">
        <v>20160</v>
      </c>
      <c r="E175" s="315" t="s">
        <v>61</v>
      </c>
    </row>
    <row r="176" spans="1:5" ht="15" x14ac:dyDescent="0.25">
      <c r="A176" s="314">
        <v>199</v>
      </c>
      <c r="B176" s="315" t="s">
        <v>1080</v>
      </c>
      <c r="C176" s="315" t="s">
        <v>979</v>
      </c>
      <c r="D176" s="315">
        <v>20690</v>
      </c>
      <c r="E176" s="315" t="s">
        <v>61</v>
      </c>
    </row>
    <row r="177" spans="1:5" ht="15" x14ac:dyDescent="0.25">
      <c r="A177" s="314">
        <v>263</v>
      </c>
      <c r="B177" s="315" t="s">
        <v>1142</v>
      </c>
      <c r="C177" s="315" t="s">
        <v>1144</v>
      </c>
      <c r="D177" s="315">
        <v>20965</v>
      </c>
      <c r="E177" s="315" t="s">
        <v>61</v>
      </c>
    </row>
    <row r="178" spans="1:5" ht="15" x14ac:dyDescent="0.25">
      <c r="A178" s="314">
        <v>461</v>
      </c>
      <c r="B178" s="315" t="s">
        <v>1405</v>
      </c>
      <c r="C178" s="315" t="s">
        <v>1416</v>
      </c>
      <c r="D178" s="315">
        <v>29080</v>
      </c>
      <c r="E178" s="315" t="s">
        <v>61</v>
      </c>
    </row>
    <row r="179" spans="1:5" ht="15" x14ac:dyDescent="0.25">
      <c r="A179" s="314">
        <v>491</v>
      </c>
      <c r="B179" s="315" t="s">
        <v>1444</v>
      </c>
      <c r="C179" s="315" t="s">
        <v>1448</v>
      </c>
      <c r="D179" s="315">
        <v>29203</v>
      </c>
      <c r="E179" s="315" t="s">
        <v>61</v>
      </c>
    </row>
    <row r="180" spans="1:5" ht="15" x14ac:dyDescent="0.25">
      <c r="A180" s="314">
        <v>339</v>
      </c>
      <c r="B180" s="315" t="s">
        <v>1249</v>
      </c>
      <c r="C180" s="315" t="s">
        <v>1250</v>
      </c>
      <c r="D180" s="315">
        <v>21210</v>
      </c>
      <c r="E180" s="315" t="s">
        <v>61</v>
      </c>
    </row>
    <row r="181" spans="1:5" ht="15" x14ac:dyDescent="0.25">
      <c r="A181" s="314">
        <v>473</v>
      </c>
      <c r="B181" s="315" t="s">
        <v>1424</v>
      </c>
      <c r="C181" s="315" t="s">
        <v>1428</v>
      </c>
      <c r="D181" s="315">
        <v>22875</v>
      </c>
      <c r="E181" s="315" t="s">
        <v>61</v>
      </c>
    </row>
    <row r="182" spans="1:5" ht="15" x14ac:dyDescent="0.25">
      <c r="A182" s="314">
        <v>449</v>
      </c>
      <c r="B182" s="315" t="s">
        <v>1389</v>
      </c>
      <c r="C182" s="315" t="s">
        <v>1393</v>
      </c>
      <c r="D182" s="315">
        <v>22545</v>
      </c>
      <c r="E182" s="315" t="s">
        <v>61</v>
      </c>
    </row>
    <row r="183" spans="1:5" ht="15" x14ac:dyDescent="0.25">
      <c r="A183" s="314">
        <v>345</v>
      </c>
      <c r="B183" s="315" t="s">
        <v>1262</v>
      </c>
      <c r="C183" s="315" t="s">
        <v>1263</v>
      </c>
      <c r="D183" s="315">
        <v>23040</v>
      </c>
      <c r="E183" s="315" t="s">
        <v>61</v>
      </c>
    </row>
    <row r="184" spans="1:5" ht="15" x14ac:dyDescent="0.25">
      <c r="A184" s="314">
        <v>423</v>
      </c>
      <c r="B184" s="315" t="s">
        <v>1360</v>
      </c>
      <c r="C184" s="315" t="s">
        <v>1364</v>
      </c>
      <c r="D184" s="315">
        <v>22805</v>
      </c>
      <c r="E184" s="315" t="s">
        <v>61</v>
      </c>
    </row>
    <row r="185" spans="1:5" ht="15" x14ac:dyDescent="0.25">
      <c r="A185" s="314">
        <v>319</v>
      </c>
      <c r="B185" s="315" t="s">
        <v>1216</v>
      </c>
      <c r="C185" s="315" t="s">
        <v>1221</v>
      </c>
      <c r="D185" s="315">
        <v>20485</v>
      </c>
      <c r="E185" s="315" t="s">
        <v>61</v>
      </c>
    </row>
    <row r="186" spans="1:5" ht="15" x14ac:dyDescent="0.25">
      <c r="A186" s="314">
        <v>381</v>
      </c>
      <c r="B186" s="315" t="s">
        <v>1330</v>
      </c>
      <c r="C186" s="315" t="s">
        <v>1331</v>
      </c>
      <c r="D186" s="315">
        <v>22455</v>
      </c>
      <c r="E186" s="315" t="s">
        <v>61</v>
      </c>
    </row>
    <row r="187" spans="1:5" ht="15" x14ac:dyDescent="0.25">
      <c r="A187" s="314">
        <v>461</v>
      </c>
      <c r="B187" s="315" t="s">
        <v>1405</v>
      </c>
      <c r="C187" s="315" t="s">
        <v>1408</v>
      </c>
      <c r="D187" s="315">
        <v>22665</v>
      </c>
      <c r="E187" s="315" t="s">
        <v>61</v>
      </c>
    </row>
    <row r="188" spans="1:5" ht="15" x14ac:dyDescent="0.25">
      <c r="A188" s="314">
        <v>335</v>
      </c>
      <c r="B188" s="315" t="s">
        <v>914</v>
      </c>
      <c r="C188" s="315" t="s">
        <v>1237</v>
      </c>
      <c r="D188" s="315">
        <v>21565</v>
      </c>
      <c r="E188" s="315" t="s">
        <v>61</v>
      </c>
    </row>
    <row r="189" spans="1:5" ht="15" x14ac:dyDescent="0.25">
      <c r="A189" s="314">
        <v>41</v>
      </c>
      <c r="B189" s="315" t="s">
        <v>943</v>
      </c>
      <c r="C189" s="315" t="s">
        <v>946</v>
      </c>
      <c r="D189" s="315">
        <v>21005</v>
      </c>
      <c r="E189" s="315" t="s">
        <v>61</v>
      </c>
    </row>
    <row r="190" spans="1:5" ht="15" x14ac:dyDescent="0.25">
      <c r="A190" s="314">
        <v>41</v>
      </c>
      <c r="B190" s="315" t="s">
        <v>943</v>
      </c>
      <c r="C190" s="315" t="s">
        <v>944</v>
      </c>
      <c r="D190" s="315">
        <v>20990</v>
      </c>
      <c r="E190" s="315" t="s">
        <v>61</v>
      </c>
    </row>
    <row r="191" spans="1:5" ht="15" x14ac:dyDescent="0.25">
      <c r="A191" s="314">
        <v>476</v>
      </c>
      <c r="B191" s="315" t="s">
        <v>1432</v>
      </c>
      <c r="C191" s="315" t="s">
        <v>944</v>
      </c>
      <c r="D191" s="315">
        <v>20635</v>
      </c>
      <c r="E191" s="315" t="s">
        <v>61</v>
      </c>
    </row>
    <row r="192" spans="1:5" ht="15" x14ac:dyDescent="0.25">
      <c r="A192" s="314">
        <v>744</v>
      </c>
      <c r="B192" s="315" t="s">
        <v>1565</v>
      </c>
      <c r="C192" s="315" t="s">
        <v>1565</v>
      </c>
      <c r="D192" s="315">
        <v>29167</v>
      </c>
      <c r="E192" s="315" t="s">
        <v>61</v>
      </c>
    </row>
    <row r="193" spans="1:5" ht="15" x14ac:dyDescent="0.25">
      <c r="A193" s="314">
        <v>353</v>
      </c>
      <c r="B193" s="315" t="s">
        <v>1279</v>
      </c>
      <c r="C193" s="315" t="s">
        <v>1280</v>
      </c>
      <c r="D193" s="315">
        <v>29178</v>
      </c>
      <c r="E193" s="315" t="s">
        <v>61</v>
      </c>
    </row>
    <row r="194" spans="1:5" ht="15" x14ac:dyDescent="0.25">
      <c r="A194" s="314">
        <v>355</v>
      </c>
      <c r="B194" s="315" t="s">
        <v>1281</v>
      </c>
      <c r="C194" s="315" t="s">
        <v>1282</v>
      </c>
      <c r="D194" s="315">
        <v>20760</v>
      </c>
      <c r="E194" s="315" t="s">
        <v>61</v>
      </c>
    </row>
    <row r="195" spans="1:5" ht="15" x14ac:dyDescent="0.25">
      <c r="A195" s="314">
        <v>317</v>
      </c>
      <c r="B195" s="315" t="s">
        <v>1212</v>
      </c>
      <c r="C195" s="315" t="s">
        <v>1215</v>
      </c>
      <c r="D195" s="315">
        <v>21450</v>
      </c>
      <c r="E195" s="315" t="s">
        <v>61</v>
      </c>
    </row>
    <row r="196" spans="1:5" ht="15" x14ac:dyDescent="0.25">
      <c r="A196" s="314">
        <v>111</v>
      </c>
      <c r="B196" s="315" t="s">
        <v>984</v>
      </c>
      <c r="C196" s="315" t="s">
        <v>987</v>
      </c>
      <c r="D196" s="315">
        <v>20250</v>
      </c>
      <c r="E196" s="315" t="s">
        <v>61</v>
      </c>
    </row>
    <row r="197" spans="1:5" ht="15" x14ac:dyDescent="0.25">
      <c r="A197" s="314">
        <v>729</v>
      </c>
      <c r="B197" s="315" t="s">
        <v>1549</v>
      </c>
      <c r="C197" s="315" t="s">
        <v>1549</v>
      </c>
      <c r="D197" s="315">
        <v>29040</v>
      </c>
      <c r="E197" s="315" t="s">
        <v>61</v>
      </c>
    </row>
    <row r="198" spans="1:5" ht="15" x14ac:dyDescent="0.25">
      <c r="A198" s="314">
        <v>359</v>
      </c>
      <c r="B198" s="315" t="s">
        <v>1288</v>
      </c>
      <c r="C198" s="315" t="s">
        <v>1291</v>
      </c>
      <c r="D198" s="315">
        <v>22075</v>
      </c>
      <c r="E198" s="315" t="s">
        <v>61</v>
      </c>
    </row>
    <row r="199" spans="1:5" ht="15" x14ac:dyDescent="0.25">
      <c r="A199" s="314">
        <v>423</v>
      </c>
      <c r="B199" s="315" t="s">
        <v>1360</v>
      </c>
      <c r="C199" s="315" t="s">
        <v>1361</v>
      </c>
      <c r="D199" s="315">
        <v>26660</v>
      </c>
      <c r="E199" s="315" t="s">
        <v>61</v>
      </c>
    </row>
    <row r="200" spans="1:5" ht="15" x14ac:dyDescent="0.25">
      <c r="A200" s="314">
        <v>365</v>
      </c>
      <c r="B200" s="315" t="s">
        <v>1300</v>
      </c>
      <c r="C200" s="315" t="s">
        <v>1301</v>
      </c>
      <c r="D200" s="315">
        <v>20885</v>
      </c>
      <c r="E200" s="315" t="s">
        <v>61</v>
      </c>
    </row>
    <row r="201" spans="1:5" ht="15" x14ac:dyDescent="0.25">
      <c r="A201" s="314">
        <v>367</v>
      </c>
      <c r="B201" s="315" t="s">
        <v>1302</v>
      </c>
      <c r="C201" s="315" t="s">
        <v>1303</v>
      </c>
      <c r="D201" s="315">
        <v>21790</v>
      </c>
      <c r="E201" s="315" t="s">
        <v>61</v>
      </c>
    </row>
    <row r="202" spans="1:5" ht="15" x14ac:dyDescent="0.25">
      <c r="A202" s="314">
        <v>319</v>
      </c>
      <c r="B202" s="315" t="s">
        <v>1216</v>
      </c>
      <c r="C202" s="315" t="s">
        <v>1217</v>
      </c>
      <c r="D202" s="315">
        <v>27905</v>
      </c>
      <c r="E202" s="315" t="s">
        <v>61</v>
      </c>
    </row>
    <row r="203" spans="1:5" ht="15" x14ac:dyDescent="0.25">
      <c r="A203" s="314">
        <v>369</v>
      </c>
      <c r="B203" s="315" t="s">
        <v>1304</v>
      </c>
      <c r="C203" s="315" t="s">
        <v>1305</v>
      </c>
      <c r="D203" s="315">
        <v>22115</v>
      </c>
      <c r="E203" s="315" t="s">
        <v>61</v>
      </c>
    </row>
    <row r="204" spans="1:5" ht="15" x14ac:dyDescent="0.25">
      <c r="A204" s="314">
        <v>363</v>
      </c>
      <c r="B204" s="315" t="s">
        <v>1292</v>
      </c>
      <c r="C204" s="315" t="s">
        <v>1294</v>
      </c>
      <c r="D204" s="315">
        <v>21695</v>
      </c>
      <c r="E204" s="315" t="s">
        <v>61</v>
      </c>
    </row>
    <row r="205" spans="1:5" ht="15" x14ac:dyDescent="0.25">
      <c r="A205" s="314">
        <v>704</v>
      </c>
      <c r="B205" s="315" t="s">
        <v>1524</v>
      </c>
      <c r="C205" s="315" t="s">
        <v>1524</v>
      </c>
      <c r="D205" s="315">
        <v>29154</v>
      </c>
      <c r="E205" s="315" t="s">
        <v>61</v>
      </c>
    </row>
    <row r="206" spans="1:5" ht="15" x14ac:dyDescent="0.25">
      <c r="A206" s="314">
        <v>295</v>
      </c>
      <c r="B206" s="315" t="s">
        <v>1193</v>
      </c>
      <c r="C206" s="315" t="s">
        <v>1195</v>
      </c>
      <c r="D206" s="315">
        <v>21355</v>
      </c>
      <c r="E206" s="315" t="s">
        <v>61</v>
      </c>
    </row>
    <row r="207" spans="1:5" ht="15" x14ac:dyDescent="0.25">
      <c r="A207" s="314">
        <v>371</v>
      </c>
      <c r="B207" s="315" t="s">
        <v>1308</v>
      </c>
      <c r="C207" s="315" t="s">
        <v>1317</v>
      </c>
      <c r="D207" s="315">
        <v>21885</v>
      </c>
      <c r="E207" s="315" t="s">
        <v>61</v>
      </c>
    </row>
    <row r="208" spans="1:5" ht="15" x14ac:dyDescent="0.25">
      <c r="A208" s="314">
        <v>174</v>
      </c>
      <c r="B208" s="315" t="s">
        <v>1050</v>
      </c>
      <c r="C208" s="315" t="s">
        <v>1055</v>
      </c>
      <c r="D208" s="315">
        <v>22980</v>
      </c>
      <c r="E208" s="315" t="s">
        <v>61</v>
      </c>
    </row>
    <row r="209" spans="1:5" ht="15" x14ac:dyDescent="0.25">
      <c r="A209" s="314">
        <v>461</v>
      </c>
      <c r="B209" s="315" t="s">
        <v>1405</v>
      </c>
      <c r="C209" s="315" t="s">
        <v>1407</v>
      </c>
      <c r="D209" s="315">
        <v>22660</v>
      </c>
      <c r="E209" s="315" t="s">
        <v>61</v>
      </c>
    </row>
    <row r="210" spans="1:5" ht="15" x14ac:dyDescent="0.25">
      <c r="A210" s="314">
        <v>371</v>
      </c>
      <c r="B210" s="315" t="s">
        <v>1308</v>
      </c>
      <c r="C210" s="315" t="s">
        <v>1598</v>
      </c>
      <c r="D210" s="315">
        <v>29152</v>
      </c>
      <c r="E210" s="315" t="s">
        <v>1592</v>
      </c>
    </row>
    <row r="211" spans="1:5" ht="15" x14ac:dyDescent="0.25">
      <c r="A211" s="314">
        <v>375</v>
      </c>
      <c r="B211" s="315" t="s">
        <v>1326</v>
      </c>
      <c r="C211" s="315" t="s">
        <v>1327</v>
      </c>
      <c r="D211" s="315">
        <v>21215</v>
      </c>
      <c r="E211" s="315" t="s">
        <v>61</v>
      </c>
    </row>
    <row r="212" spans="1:5" ht="15" x14ac:dyDescent="0.25">
      <c r="A212" s="314">
        <v>377</v>
      </c>
      <c r="B212" s="315" t="s">
        <v>1328</v>
      </c>
      <c r="C212" s="315" t="s">
        <v>1329</v>
      </c>
      <c r="D212" s="315">
        <v>20715</v>
      </c>
      <c r="E212" s="315" t="s">
        <v>61</v>
      </c>
    </row>
    <row r="213" spans="1:5" ht="15" x14ac:dyDescent="0.25">
      <c r="A213" s="314">
        <v>208</v>
      </c>
      <c r="B213" s="315" t="s">
        <v>1089</v>
      </c>
      <c r="C213" s="315" t="s">
        <v>1091</v>
      </c>
      <c r="D213" s="315">
        <v>22400</v>
      </c>
      <c r="E213" s="315" t="s">
        <v>61</v>
      </c>
    </row>
    <row r="214" spans="1:5" ht="15" x14ac:dyDescent="0.25">
      <c r="A214" s="314">
        <v>449</v>
      </c>
      <c r="B214" s="315" t="s">
        <v>1389</v>
      </c>
      <c r="C214" s="315" t="s">
        <v>1392</v>
      </c>
      <c r="D214" s="315">
        <v>22525</v>
      </c>
      <c r="E214" s="315" t="s">
        <v>61</v>
      </c>
    </row>
    <row r="215" spans="1:5" ht="15" x14ac:dyDescent="0.25">
      <c r="A215" s="314">
        <v>388</v>
      </c>
      <c r="B215" s="315" t="s">
        <v>1575</v>
      </c>
      <c r="C215" s="315" t="s">
        <v>1339</v>
      </c>
      <c r="D215" s="315">
        <v>20105</v>
      </c>
      <c r="E215" s="315" t="s">
        <v>61</v>
      </c>
    </row>
    <row r="216" spans="1:5" ht="15" x14ac:dyDescent="0.25">
      <c r="A216" s="314">
        <v>371</v>
      </c>
      <c r="B216" s="315" t="s">
        <v>1308</v>
      </c>
      <c r="C216" s="315" t="s">
        <v>1312</v>
      </c>
      <c r="D216" s="315">
        <v>21845</v>
      </c>
      <c r="E216" s="315" t="s">
        <v>61</v>
      </c>
    </row>
    <row r="217" spans="1:5" ht="15" x14ac:dyDescent="0.25">
      <c r="A217" s="314">
        <v>387</v>
      </c>
      <c r="B217" s="315" t="s">
        <v>1332</v>
      </c>
      <c r="C217" s="315" t="s">
        <v>1333</v>
      </c>
      <c r="D217" s="315">
        <v>20610</v>
      </c>
      <c r="E217" s="315" t="s">
        <v>61</v>
      </c>
    </row>
    <row r="218" spans="1:5" ht="15" x14ac:dyDescent="0.25">
      <c r="A218" s="314">
        <v>391</v>
      </c>
      <c r="B218" s="315" t="s">
        <v>1340</v>
      </c>
      <c r="C218" s="315" t="s">
        <v>1341</v>
      </c>
      <c r="D218" s="315">
        <v>22465</v>
      </c>
      <c r="E218" s="315" t="s">
        <v>61</v>
      </c>
    </row>
    <row r="219" spans="1:5" ht="15" x14ac:dyDescent="0.25">
      <c r="A219" s="314">
        <v>399</v>
      </c>
      <c r="B219" s="315" t="s">
        <v>1342</v>
      </c>
      <c r="C219" s="315" t="s">
        <v>1343</v>
      </c>
      <c r="D219" s="315">
        <v>21300</v>
      </c>
      <c r="E219" s="315" t="s">
        <v>61</v>
      </c>
    </row>
    <row r="220" spans="1:5" ht="15" x14ac:dyDescent="0.25">
      <c r="A220" s="314">
        <v>399</v>
      </c>
      <c r="B220" s="315" t="s">
        <v>1342</v>
      </c>
      <c r="C220" s="315" t="s">
        <v>1345</v>
      </c>
      <c r="D220" s="315">
        <v>26560</v>
      </c>
      <c r="E220" s="315" t="s">
        <v>61</v>
      </c>
    </row>
    <row r="221" spans="1:5" ht="15" x14ac:dyDescent="0.25">
      <c r="A221" s="314">
        <v>405</v>
      </c>
      <c r="B221" s="315" t="s">
        <v>1350</v>
      </c>
      <c r="C221" s="315" t="s">
        <v>1351</v>
      </c>
      <c r="D221" s="315">
        <v>20805</v>
      </c>
      <c r="E221" s="315" t="s">
        <v>61</v>
      </c>
    </row>
    <row r="222" spans="1:5" ht="15" x14ac:dyDescent="0.25">
      <c r="A222" s="314">
        <v>319</v>
      </c>
      <c r="B222" s="315" t="s">
        <v>1216</v>
      </c>
      <c r="C222" s="315" t="s">
        <v>1218</v>
      </c>
      <c r="D222" s="315">
        <v>20470</v>
      </c>
      <c r="E222" s="315" t="s">
        <v>61</v>
      </c>
    </row>
    <row r="223" spans="1:5" ht="15" x14ac:dyDescent="0.25">
      <c r="A223" s="314">
        <v>473</v>
      </c>
      <c r="B223" s="315" t="s">
        <v>1424</v>
      </c>
      <c r="C223" s="315" t="s">
        <v>1430</v>
      </c>
      <c r="D223" s="315">
        <v>22890</v>
      </c>
      <c r="E223" s="315" t="s">
        <v>61</v>
      </c>
    </row>
    <row r="224" spans="1:5" ht="15" x14ac:dyDescent="0.25">
      <c r="A224" s="314">
        <v>174</v>
      </c>
      <c r="B224" s="315" t="s">
        <v>1050</v>
      </c>
      <c r="C224" s="315" t="s">
        <v>1059</v>
      </c>
      <c r="D224" s="315">
        <v>23005</v>
      </c>
      <c r="E224" s="315" t="s">
        <v>61</v>
      </c>
    </row>
    <row r="225" spans="1:5" ht="15" x14ac:dyDescent="0.25">
      <c r="A225" s="314">
        <v>335</v>
      </c>
      <c r="B225" s="315" t="s">
        <v>914</v>
      </c>
      <c r="C225" s="315" t="s">
        <v>1247</v>
      </c>
      <c r="D225" s="315">
        <v>26435</v>
      </c>
      <c r="E225" s="315" t="s">
        <v>61</v>
      </c>
    </row>
    <row r="226" spans="1:5" ht="15" x14ac:dyDescent="0.25">
      <c r="A226" s="314">
        <v>411</v>
      </c>
      <c r="B226" s="315" t="s">
        <v>1356</v>
      </c>
      <c r="C226" s="315" t="s">
        <v>1357</v>
      </c>
      <c r="D226" s="315">
        <v>22085</v>
      </c>
      <c r="E226" s="315" t="s">
        <v>61</v>
      </c>
    </row>
    <row r="227" spans="1:5" ht="15" x14ac:dyDescent="0.25">
      <c r="A227" s="314">
        <v>413</v>
      </c>
      <c r="B227" s="315" t="s">
        <v>1358</v>
      </c>
      <c r="C227" s="315" t="s">
        <v>1359</v>
      </c>
      <c r="D227" s="315">
        <v>22095</v>
      </c>
      <c r="E227" s="315" t="s">
        <v>61</v>
      </c>
    </row>
    <row r="228" spans="1:5" ht="15" x14ac:dyDescent="0.25">
      <c r="A228" s="314">
        <v>267</v>
      </c>
      <c r="B228" s="315" t="s">
        <v>1147</v>
      </c>
      <c r="C228" s="315" t="s">
        <v>1152</v>
      </c>
      <c r="D228" s="315">
        <v>26765</v>
      </c>
      <c r="E228" s="315" t="s">
        <v>61</v>
      </c>
    </row>
    <row r="229" spans="1:5" ht="15" x14ac:dyDescent="0.25">
      <c r="A229" s="314">
        <v>208</v>
      </c>
      <c r="B229" s="315" t="s">
        <v>1089</v>
      </c>
      <c r="C229" s="315" t="s">
        <v>1092</v>
      </c>
      <c r="D229" s="315">
        <v>22405</v>
      </c>
      <c r="E229" s="315" t="s">
        <v>61</v>
      </c>
    </row>
    <row r="230" spans="1:5" ht="15" x14ac:dyDescent="0.25">
      <c r="A230" s="314">
        <v>423</v>
      </c>
      <c r="B230" s="315" t="s">
        <v>1360</v>
      </c>
      <c r="C230" s="315" t="s">
        <v>1600</v>
      </c>
      <c r="D230" s="315">
        <v>29210</v>
      </c>
      <c r="E230" s="315" t="s">
        <v>1592</v>
      </c>
    </row>
    <row r="231" spans="1:5" ht="15" x14ac:dyDescent="0.25">
      <c r="A231" s="314">
        <v>335</v>
      </c>
      <c r="B231" s="315" t="s">
        <v>914</v>
      </c>
      <c r="C231" s="315" t="s">
        <v>1233</v>
      </c>
      <c r="D231" s="315">
        <v>21540</v>
      </c>
      <c r="E231" s="315" t="s">
        <v>61</v>
      </c>
    </row>
    <row r="232" spans="1:5" ht="15" x14ac:dyDescent="0.25">
      <c r="A232" s="314">
        <v>185</v>
      </c>
      <c r="B232" s="315" t="s">
        <v>1066</v>
      </c>
      <c r="C232" s="315" t="s">
        <v>1067</v>
      </c>
      <c r="D232" s="315">
        <v>20650</v>
      </c>
      <c r="E232" s="315" t="s">
        <v>61</v>
      </c>
    </row>
    <row r="233" spans="1:5" ht="15" x14ac:dyDescent="0.25">
      <c r="A233" s="314">
        <v>543</v>
      </c>
      <c r="B233" s="315" t="s">
        <v>1482</v>
      </c>
      <c r="C233" s="315" t="s">
        <v>1483</v>
      </c>
      <c r="D233" s="315">
        <v>22110</v>
      </c>
      <c r="E233" s="315" t="s">
        <v>61</v>
      </c>
    </row>
    <row r="234" spans="1:5" ht="15" x14ac:dyDescent="0.25">
      <c r="A234" s="314">
        <v>449</v>
      </c>
      <c r="B234" s="315" t="s">
        <v>1389</v>
      </c>
      <c r="C234" s="315" t="s">
        <v>1601</v>
      </c>
      <c r="D234" s="315">
        <v>22560</v>
      </c>
      <c r="E234" s="315" t="s">
        <v>1592</v>
      </c>
    </row>
    <row r="235" spans="1:5" ht="15" x14ac:dyDescent="0.25">
      <c r="A235" s="314">
        <v>425</v>
      </c>
      <c r="B235" s="315" t="s">
        <v>1365</v>
      </c>
      <c r="C235" s="315" t="s">
        <v>1366</v>
      </c>
      <c r="D235" s="315">
        <v>27970</v>
      </c>
      <c r="E235" s="315" t="s">
        <v>61</v>
      </c>
    </row>
    <row r="236" spans="1:5" ht="15" x14ac:dyDescent="0.25">
      <c r="A236" s="314">
        <v>425</v>
      </c>
      <c r="B236" s="315" t="s">
        <v>1365</v>
      </c>
      <c r="C236" s="315" t="s">
        <v>1368</v>
      </c>
      <c r="D236" s="315">
        <v>21110</v>
      </c>
      <c r="E236" s="315" t="s">
        <v>61</v>
      </c>
    </row>
    <row r="237" spans="1:5" ht="15" x14ac:dyDescent="0.25">
      <c r="A237" s="314">
        <v>427</v>
      </c>
      <c r="B237" s="315" t="s">
        <v>1369</v>
      </c>
      <c r="C237" s="315" t="s">
        <v>1370</v>
      </c>
      <c r="D237" s="315">
        <v>22615</v>
      </c>
      <c r="E237" s="315" t="s">
        <v>61</v>
      </c>
    </row>
    <row r="238" spans="1:5" ht="15" x14ac:dyDescent="0.25">
      <c r="A238" s="314">
        <v>427</v>
      </c>
      <c r="B238" s="315" t="s">
        <v>1369</v>
      </c>
      <c r="C238" s="315" t="s">
        <v>1372</v>
      </c>
      <c r="D238" s="315">
        <v>22625</v>
      </c>
      <c r="E238" s="315" t="s">
        <v>61</v>
      </c>
    </row>
    <row r="239" spans="1:5" ht="15" x14ac:dyDescent="0.25">
      <c r="A239" s="314">
        <v>352</v>
      </c>
      <c r="B239" s="315" t="s">
        <v>1271</v>
      </c>
      <c r="C239" s="315" t="s">
        <v>1275</v>
      </c>
      <c r="D239" s="315">
        <v>22185</v>
      </c>
      <c r="E239" s="315" t="s">
        <v>61</v>
      </c>
    </row>
    <row r="240" spans="1:5" ht="15" x14ac:dyDescent="0.25">
      <c r="A240" s="314">
        <v>41</v>
      </c>
      <c r="B240" s="315" t="s">
        <v>943</v>
      </c>
      <c r="C240" s="315" t="s">
        <v>945</v>
      </c>
      <c r="D240" s="315">
        <v>21000</v>
      </c>
      <c r="E240" s="315" t="s">
        <v>61</v>
      </c>
    </row>
    <row r="241" spans="1:5" ht="15" x14ac:dyDescent="0.25">
      <c r="A241" s="314">
        <v>112</v>
      </c>
      <c r="B241" s="315" t="s">
        <v>992</v>
      </c>
      <c r="C241" s="315" t="s">
        <v>1002</v>
      </c>
      <c r="D241" s="315">
        <v>22310</v>
      </c>
      <c r="E241" s="315" t="s">
        <v>61</v>
      </c>
    </row>
    <row r="242" spans="1:5" ht="15" x14ac:dyDescent="0.25">
      <c r="A242" s="314">
        <v>112</v>
      </c>
      <c r="B242" s="315" t="s">
        <v>992</v>
      </c>
      <c r="C242" s="315" t="s">
        <v>995</v>
      </c>
      <c r="D242" s="315">
        <v>22225</v>
      </c>
      <c r="E242" s="315" t="s">
        <v>61</v>
      </c>
    </row>
    <row r="243" spans="1:5" ht="15" x14ac:dyDescent="0.25">
      <c r="A243" s="314">
        <v>435</v>
      </c>
      <c r="B243" s="315" t="s">
        <v>1376</v>
      </c>
      <c r="C243" s="315" t="s">
        <v>1377</v>
      </c>
      <c r="D243" s="315">
        <v>20895</v>
      </c>
      <c r="E243" s="315" t="s">
        <v>61</v>
      </c>
    </row>
    <row r="244" spans="1:5" ht="15" x14ac:dyDescent="0.25">
      <c r="A244" s="314">
        <v>113</v>
      </c>
      <c r="B244" s="315" t="s">
        <v>1004</v>
      </c>
      <c r="C244" s="315" t="s">
        <v>1005</v>
      </c>
      <c r="D244" s="315">
        <v>20330</v>
      </c>
      <c r="E244" s="315" t="s">
        <v>61</v>
      </c>
    </row>
    <row r="245" spans="1:5" ht="15" x14ac:dyDescent="0.25">
      <c r="A245" s="314">
        <v>437</v>
      </c>
      <c r="B245" s="315" t="s">
        <v>1378</v>
      </c>
      <c r="C245" s="315" t="s">
        <v>1379</v>
      </c>
      <c r="D245" s="315">
        <v>20205</v>
      </c>
      <c r="E245" s="315" t="s">
        <v>61</v>
      </c>
    </row>
    <row r="246" spans="1:5" ht="15" x14ac:dyDescent="0.25">
      <c r="A246" s="314">
        <v>439</v>
      </c>
      <c r="B246" s="315" t="s">
        <v>1381</v>
      </c>
      <c r="C246" s="315" t="s">
        <v>1382</v>
      </c>
      <c r="D246" s="315">
        <v>26595</v>
      </c>
      <c r="E246" s="315" t="s">
        <v>61</v>
      </c>
    </row>
    <row r="247" spans="1:5" ht="15" x14ac:dyDescent="0.25">
      <c r="A247" s="314">
        <v>441</v>
      </c>
      <c r="B247" s="315" t="s">
        <v>1385</v>
      </c>
      <c r="C247" s="315" t="s">
        <v>1386</v>
      </c>
      <c r="D247" s="315">
        <v>21375</v>
      </c>
      <c r="E247" s="315" t="s">
        <v>61</v>
      </c>
    </row>
    <row r="248" spans="1:5" ht="15" x14ac:dyDescent="0.25">
      <c r="A248" s="314">
        <v>285</v>
      </c>
      <c r="B248" s="315" t="s">
        <v>1183</v>
      </c>
      <c r="C248" s="315" t="s">
        <v>1185</v>
      </c>
      <c r="D248" s="315">
        <v>21260</v>
      </c>
      <c r="E248" s="315" t="s">
        <v>61</v>
      </c>
    </row>
    <row r="249" spans="1:5" ht="15" x14ac:dyDescent="0.25">
      <c r="A249" s="314">
        <v>447</v>
      </c>
      <c r="B249" s="315" t="s">
        <v>1387</v>
      </c>
      <c r="C249" s="315" t="s">
        <v>1388</v>
      </c>
      <c r="D249" s="315">
        <v>22355</v>
      </c>
      <c r="E249" s="315" t="s">
        <v>61</v>
      </c>
    </row>
    <row r="250" spans="1:5" ht="15" x14ac:dyDescent="0.25">
      <c r="A250" s="314">
        <v>735</v>
      </c>
      <c r="B250" s="315" t="s">
        <v>1556</v>
      </c>
      <c r="C250" s="315" t="s">
        <v>1556</v>
      </c>
      <c r="D250" s="315">
        <v>29065</v>
      </c>
      <c r="E250" s="315" t="s">
        <v>61</v>
      </c>
    </row>
    <row r="251" spans="1:5" ht="15" x14ac:dyDescent="0.25">
      <c r="A251" s="314">
        <v>534</v>
      </c>
      <c r="B251" s="315" t="s">
        <v>1472</v>
      </c>
      <c r="C251" s="315" t="s">
        <v>1477</v>
      </c>
      <c r="D251" s="315">
        <v>22765</v>
      </c>
      <c r="E251" s="315" t="s">
        <v>61</v>
      </c>
    </row>
    <row r="252" spans="1:5" ht="15" x14ac:dyDescent="0.25">
      <c r="A252" s="314">
        <v>371</v>
      </c>
      <c r="B252" s="315" t="s">
        <v>1308</v>
      </c>
      <c r="C252" s="315" t="s">
        <v>1599</v>
      </c>
      <c r="D252" s="315">
        <v>28610</v>
      </c>
      <c r="E252" s="315" t="s">
        <v>1592</v>
      </c>
    </row>
    <row r="253" spans="1:5" ht="15" x14ac:dyDescent="0.25">
      <c r="A253" s="314">
        <v>351</v>
      </c>
      <c r="B253" s="315" t="s">
        <v>1264</v>
      </c>
      <c r="C253" s="315" t="s">
        <v>1266</v>
      </c>
      <c r="D253" s="315">
        <v>21015</v>
      </c>
      <c r="E253" s="315" t="s">
        <v>61</v>
      </c>
    </row>
    <row r="254" spans="1:5" ht="15" x14ac:dyDescent="0.25">
      <c r="A254" s="314">
        <v>71</v>
      </c>
      <c r="B254" s="315" t="s">
        <v>962</v>
      </c>
      <c r="C254" s="315" t="s">
        <v>964</v>
      </c>
      <c r="D254" s="315">
        <v>21800</v>
      </c>
      <c r="E254" s="315" t="s">
        <v>61</v>
      </c>
    </row>
    <row r="255" spans="1:5" ht="15" x14ac:dyDescent="0.25">
      <c r="A255" s="314">
        <v>401</v>
      </c>
      <c r="B255" s="315" t="s">
        <v>1346</v>
      </c>
      <c r="C255" s="315" t="s">
        <v>1349</v>
      </c>
      <c r="D255" s="315">
        <v>21995</v>
      </c>
      <c r="E255" s="315" t="s">
        <v>61</v>
      </c>
    </row>
    <row r="256" spans="1:5" ht="15" x14ac:dyDescent="0.25">
      <c r="A256" s="314">
        <v>41</v>
      </c>
      <c r="B256" s="315" t="s">
        <v>943</v>
      </c>
      <c r="C256" s="315" t="s">
        <v>947</v>
      </c>
      <c r="D256" s="315">
        <v>27680</v>
      </c>
      <c r="E256" s="315" t="s">
        <v>61</v>
      </c>
    </row>
    <row r="257" spans="1:5" ht="15" x14ac:dyDescent="0.25">
      <c r="A257" s="314">
        <v>274</v>
      </c>
      <c r="B257" s="315" t="s">
        <v>1160</v>
      </c>
      <c r="C257" s="315" t="s">
        <v>1161</v>
      </c>
      <c r="D257" s="315">
        <v>22320</v>
      </c>
      <c r="E257" s="315" t="s">
        <v>61</v>
      </c>
    </row>
    <row r="258" spans="1:5" ht="15" x14ac:dyDescent="0.25">
      <c r="A258" s="314">
        <v>457</v>
      </c>
      <c r="B258" s="315" t="s">
        <v>1402</v>
      </c>
      <c r="C258" s="315" t="s">
        <v>1403</v>
      </c>
      <c r="D258" s="315">
        <v>29196</v>
      </c>
      <c r="E258" s="315" t="s">
        <v>61</v>
      </c>
    </row>
    <row r="259" spans="1:5" ht="15" x14ac:dyDescent="0.25">
      <c r="A259" s="314">
        <v>737</v>
      </c>
      <c r="B259" s="315" t="s">
        <v>1557</v>
      </c>
      <c r="C259" s="315" t="s">
        <v>1557</v>
      </c>
      <c r="D259" s="315">
        <v>29070</v>
      </c>
      <c r="E259" s="315" t="s">
        <v>61</v>
      </c>
    </row>
    <row r="260" spans="1:5" ht="15" x14ac:dyDescent="0.25">
      <c r="A260" s="314">
        <v>463</v>
      </c>
      <c r="B260" s="315" t="s">
        <v>1417</v>
      </c>
      <c r="C260" s="315" t="s">
        <v>1418</v>
      </c>
      <c r="D260" s="315">
        <v>22810</v>
      </c>
      <c r="E260" s="315" t="s">
        <v>61</v>
      </c>
    </row>
    <row r="261" spans="1:5" ht="15" x14ac:dyDescent="0.25">
      <c r="A261" s="314">
        <v>467</v>
      </c>
      <c r="B261" s="315" t="s">
        <v>1419</v>
      </c>
      <c r="C261" s="315" t="s">
        <v>1420</v>
      </c>
      <c r="D261" s="315">
        <v>22375</v>
      </c>
      <c r="E261" s="315" t="s">
        <v>61</v>
      </c>
    </row>
    <row r="262" spans="1:5" ht="15" x14ac:dyDescent="0.25">
      <c r="A262" s="314">
        <v>471</v>
      </c>
      <c r="B262" s="315" t="s">
        <v>1421</v>
      </c>
      <c r="C262" s="315" t="s">
        <v>1423</v>
      </c>
      <c r="D262" s="315">
        <v>22475</v>
      </c>
      <c r="E262" s="315" t="s">
        <v>61</v>
      </c>
    </row>
    <row r="263" spans="1:5" ht="15" x14ac:dyDescent="0.25">
      <c r="A263" s="314">
        <v>471</v>
      </c>
      <c r="B263" s="315" t="s">
        <v>1421</v>
      </c>
      <c r="C263" s="315" t="s">
        <v>1422</v>
      </c>
      <c r="D263" s="315">
        <v>22470</v>
      </c>
      <c r="E263" s="315" t="s">
        <v>61</v>
      </c>
    </row>
    <row r="264" spans="1:5" ht="15" x14ac:dyDescent="0.25">
      <c r="A264" s="314">
        <v>352</v>
      </c>
      <c r="B264" s="315" t="s">
        <v>1271</v>
      </c>
      <c r="C264" s="315" t="s">
        <v>1277</v>
      </c>
      <c r="D264" s="315">
        <v>22200</v>
      </c>
      <c r="E264" s="315" t="s">
        <v>61</v>
      </c>
    </row>
    <row r="265" spans="1:5" ht="15" x14ac:dyDescent="0.25">
      <c r="A265" s="314">
        <v>582</v>
      </c>
      <c r="B265" s="315" t="s">
        <v>1514</v>
      </c>
      <c r="C265" s="315" t="s">
        <v>1515</v>
      </c>
      <c r="D265" s="315">
        <v>22925</v>
      </c>
      <c r="E265" s="315" t="s">
        <v>61</v>
      </c>
    </row>
    <row r="266" spans="1:5" ht="15" x14ac:dyDescent="0.25">
      <c r="A266" s="314">
        <v>534</v>
      </c>
      <c r="B266" s="315" t="s">
        <v>1472</v>
      </c>
      <c r="C266" s="315" t="s">
        <v>1479</v>
      </c>
      <c r="D266" s="315">
        <v>22775</v>
      </c>
      <c r="E266" s="315" t="s">
        <v>61</v>
      </c>
    </row>
    <row r="267" spans="1:5" ht="15" x14ac:dyDescent="0.25">
      <c r="A267" s="314">
        <v>534</v>
      </c>
      <c r="B267" s="315" t="s">
        <v>1472</v>
      </c>
      <c r="C267" s="315" t="s">
        <v>1473</v>
      </c>
      <c r="D267" s="315">
        <v>27910</v>
      </c>
      <c r="E267" s="315" t="s">
        <v>61</v>
      </c>
    </row>
    <row r="268" spans="1:5" ht="15" x14ac:dyDescent="0.25">
      <c r="A268" s="314">
        <v>269</v>
      </c>
      <c r="B268" s="315" t="s">
        <v>1153</v>
      </c>
      <c r="C268" s="315" t="s">
        <v>1157</v>
      </c>
      <c r="D268" s="315">
        <v>20040</v>
      </c>
      <c r="E268" s="315" t="s">
        <v>61</v>
      </c>
    </row>
    <row r="269" spans="1:5" ht="15" x14ac:dyDescent="0.25">
      <c r="A269" s="314">
        <v>174</v>
      </c>
      <c r="B269" s="315" t="s">
        <v>1050</v>
      </c>
      <c r="C269" s="315" t="s">
        <v>1058</v>
      </c>
      <c r="D269" s="315">
        <v>22995</v>
      </c>
      <c r="E269" s="315" t="s">
        <v>61</v>
      </c>
    </row>
    <row r="270" spans="1:5" ht="15" x14ac:dyDescent="0.25">
      <c r="A270" s="314">
        <v>461</v>
      </c>
      <c r="B270" s="315" t="s">
        <v>1405</v>
      </c>
      <c r="C270" s="315" t="s">
        <v>1414</v>
      </c>
      <c r="D270" s="315">
        <v>22720</v>
      </c>
      <c r="E270" s="315" t="s">
        <v>61</v>
      </c>
    </row>
    <row r="271" spans="1:5" ht="15" x14ac:dyDescent="0.25">
      <c r="A271" s="314">
        <v>485</v>
      </c>
      <c r="B271" s="315" t="s">
        <v>1436</v>
      </c>
      <c r="C271" s="315" t="s">
        <v>1438</v>
      </c>
      <c r="D271" s="315">
        <v>20810</v>
      </c>
      <c r="E271" s="315" t="s">
        <v>61</v>
      </c>
    </row>
    <row r="272" spans="1:5" ht="15" x14ac:dyDescent="0.25">
      <c r="A272" s="314">
        <v>485</v>
      </c>
      <c r="B272" s="315" t="s">
        <v>1436</v>
      </c>
      <c r="C272" s="315" t="s">
        <v>1437</v>
      </c>
      <c r="D272" s="315">
        <v>27995</v>
      </c>
      <c r="E272" s="315" t="s">
        <v>61</v>
      </c>
    </row>
    <row r="273" spans="1:5" ht="15" x14ac:dyDescent="0.25">
      <c r="A273" s="314">
        <v>705</v>
      </c>
      <c r="B273" s="315" t="s">
        <v>1525</v>
      </c>
      <c r="C273" s="315" t="s">
        <v>1525</v>
      </c>
      <c r="D273" s="315">
        <v>28400</v>
      </c>
      <c r="E273" s="315" t="s">
        <v>61</v>
      </c>
    </row>
    <row r="274" spans="1:5" ht="15" x14ac:dyDescent="0.25">
      <c r="A274" s="314">
        <v>276</v>
      </c>
      <c r="B274" s="315" t="s">
        <v>1167</v>
      </c>
      <c r="C274" s="315" t="s">
        <v>1170</v>
      </c>
      <c r="D274" s="315">
        <v>22020</v>
      </c>
      <c r="E274" s="315" t="s">
        <v>61</v>
      </c>
    </row>
    <row r="275" spans="1:5" ht="15" x14ac:dyDescent="0.25">
      <c r="A275" s="314">
        <v>335</v>
      </c>
      <c r="B275" s="315" t="s">
        <v>914</v>
      </c>
      <c r="C275" s="315" t="s">
        <v>1241</v>
      </c>
      <c r="D275" s="315">
        <v>21605</v>
      </c>
      <c r="E275" s="315" t="s">
        <v>61</v>
      </c>
    </row>
    <row r="276" spans="1:5" ht="15" x14ac:dyDescent="0.25">
      <c r="A276" s="314">
        <v>495</v>
      </c>
      <c r="B276" s="315" t="s">
        <v>1451</v>
      </c>
      <c r="C276" s="315" t="s">
        <v>1452</v>
      </c>
      <c r="D276" s="315">
        <v>20815</v>
      </c>
      <c r="E276" s="315" t="s">
        <v>61</v>
      </c>
    </row>
    <row r="277" spans="1:5" ht="15" x14ac:dyDescent="0.25">
      <c r="A277" s="314">
        <v>319</v>
      </c>
      <c r="B277" s="315" t="s">
        <v>1216</v>
      </c>
      <c r="C277" s="315" t="s">
        <v>1219</v>
      </c>
      <c r="D277" s="315">
        <v>20475</v>
      </c>
      <c r="E277" s="315" t="s">
        <v>61</v>
      </c>
    </row>
    <row r="278" spans="1:5" ht="15" x14ac:dyDescent="0.25">
      <c r="A278" s="314">
        <v>131</v>
      </c>
      <c r="B278" s="315" t="s">
        <v>1016</v>
      </c>
      <c r="C278" s="315" t="s">
        <v>1022</v>
      </c>
      <c r="D278" s="315">
        <v>20405</v>
      </c>
      <c r="E278" s="315" t="s">
        <v>61</v>
      </c>
    </row>
    <row r="279" spans="1:5" ht="15" x14ac:dyDescent="0.25">
      <c r="A279" s="314">
        <v>582</v>
      </c>
      <c r="B279" s="315" t="s">
        <v>1514</v>
      </c>
      <c r="C279" s="315" t="s">
        <v>1519</v>
      </c>
      <c r="D279" s="315">
        <v>27070</v>
      </c>
      <c r="E279" s="315" t="s">
        <v>61</v>
      </c>
    </row>
    <row r="280" spans="1:5" ht="15" x14ac:dyDescent="0.25">
      <c r="A280" s="314">
        <v>499</v>
      </c>
      <c r="B280" s="315" t="s">
        <v>1453</v>
      </c>
      <c r="C280" s="315" t="s">
        <v>1454</v>
      </c>
      <c r="D280" s="315">
        <v>22910</v>
      </c>
      <c r="E280" s="315" t="s">
        <v>61</v>
      </c>
    </row>
    <row r="281" spans="1:5" ht="15" x14ac:dyDescent="0.25">
      <c r="A281" s="314">
        <v>501</v>
      </c>
      <c r="B281" s="315" t="s">
        <v>1455</v>
      </c>
      <c r="C281" s="315" t="s">
        <v>1456</v>
      </c>
      <c r="D281" s="315">
        <v>27560</v>
      </c>
      <c r="E281" s="315" t="s">
        <v>61</v>
      </c>
    </row>
    <row r="282" spans="1:5" ht="15" x14ac:dyDescent="0.25">
      <c r="A282" s="314">
        <v>507</v>
      </c>
      <c r="B282" s="315" t="s">
        <v>1459</v>
      </c>
      <c r="C282" s="315" t="s">
        <v>1460</v>
      </c>
      <c r="D282" s="315">
        <v>22100</v>
      </c>
      <c r="E282" s="315" t="s">
        <v>61</v>
      </c>
    </row>
    <row r="283" spans="1:5" ht="15" x14ac:dyDescent="0.25">
      <c r="A283" s="314">
        <v>509</v>
      </c>
      <c r="B283" s="315" t="s">
        <v>1461</v>
      </c>
      <c r="C283" s="315" t="s">
        <v>1462</v>
      </c>
      <c r="D283" s="315">
        <v>22915</v>
      </c>
      <c r="E283" s="315" t="s">
        <v>61</v>
      </c>
    </row>
    <row r="284" spans="1:5" ht="15" x14ac:dyDescent="0.25">
      <c r="A284" s="314">
        <v>511</v>
      </c>
      <c r="B284" s="315" t="s">
        <v>1463</v>
      </c>
      <c r="C284" s="315" t="s">
        <v>1464</v>
      </c>
      <c r="D284" s="315">
        <v>20615</v>
      </c>
      <c r="E284" s="315" t="s">
        <v>61</v>
      </c>
    </row>
    <row r="285" spans="1:5" ht="15" x14ac:dyDescent="0.25">
      <c r="A285" s="314">
        <v>721</v>
      </c>
      <c r="B285" s="315" t="s">
        <v>1540</v>
      </c>
      <c r="C285" s="315" t="s">
        <v>1540</v>
      </c>
      <c r="D285" s="315">
        <v>28570</v>
      </c>
      <c r="E285" s="315" t="s">
        <v>61</v>
      </c>
    </row>
    <row r="286" spans="1:5" ht="15" x14ac:dyDescent="0.25">
      <c r="A286" s="314">
        <v>515</v>
      </c>
      <c r="B286" s="315" t="s">
        <v>1465</v>
      </c>
      <c r="C286" s="315" t="s">
        <v>1467</v>
      </c>
      <c r="D286" s="315">
        <v>22005</v>
      </c>
      <c r="E286" s="315" t="s">
        <v>61</v>
      </c>
    </row>
    <row r="287" spans="1:5" ht="15" x14ac:dyDescent="0.25">
      <c r="A287" s="314">
        <v>371</v>
      </c>
      <c r="B287" s="315" t="s">
        <v>1308</v>
      </c>
      <c r="C287" s="315" t="s">
        <v>1313</v>
      </c>
      <c r="D287" s="315">
        <v>21850</v>
      </c>
      <c r="E287" s="315" t="s">
        <v>61</v>
      </c>
    </row>
    <row r="288" spans="1:5" ht="15" x14ac:dyDescent="0.25">
      <c r="A288" s="314">
        <v>717</v>
      </c>
      <c r="B288" s="315" t="s">
        <v>1538</v>
      </c>
      <c r="C288" s="315" t="s">
        <v>1538</v>
      </c>
      <c r="D288" s="315">
        <v>28515</v>
      </c>
      <c r="E288" s="315" t="s">
        <v>61</v>
      </c>
    </row>
    <row r="289" spans="1:5" ht="15" x14ac:dyDescent="0.25">
      <c r="A289" s="314">
        <v>276</v>
      </c>
      <c r="B289" s="315" t="s">
        <v>1167</v>
      </c>
      <c r="C289" s="315" t="s">
        <v>1168</v>
      </c>
      <c r="D289" s="315">
        <v>22010</v>
      </c>
      <c r="E289" s="315" t="s">
        <v>61</v>
      </c>
    </row>
    <row r="290" spans="1:5" ht="15" x14ac:dyDescent="0.25">
      <c r="A290" s="314">
        <v>63</v>
      </c>
      <c r="B290" s="315" t="s">
        <v>961</v>
      </c>
      <c r="C290" s="315" t="s">
        <v>1572</v>
      </c>
      <c r="D290" s="315">
        <v>20555</v>
      </c>
      <c r="E290" s="315" t="s">
        <v>61</v>
      </c>
    </row>
    <row r="291" spans="1:5" ht="15" x14ac:dyDescent="0.25">
      <c r="A291" s="314">
        <v>279</v>
      </c>
      <c r="B291" s="315" t="s">
        <v>1174</v>
      </c>
      <c r="C291" s="315" t="s">
        <v>1176</v>
      </c>
      <c r="D291" s="315">
        <v>21170</v>
      </c>
      <c r="E291" s="315" t="s">
        <v>61</v>
      </c>
    </row>
    <row r="292" spans="1:5" ht="15" x14ac:dyDescent="0.25">
      <c r="A292" s="314">
        <v>112</v>
      </c>
      <c r="B292" s="315" t="s">
        <v>992</v>
      </c>
      <c r="C292" s="315" t="s">
        <v>1003</v>
      </c>
      <c r="D292" s="315">
        <v>22330</v>
      </c>
      <c r="E292" s="315" t="s">
        <v>61</v>
      </c>
    </row>
    <row r="293" spans="1:5" ht="15" x14ac:dyDescent="0.25">
      <c r="A293" s="314">
        <v>731</v>
      </c>
      <c r="B293" s="315" t="s">
        <v>1550</v>
      </c>
      <c r="C293" s="315" t="s">
        <v>1551</v>
      </c>
      <c r="D293" s="315">
        <v>29055</v>
      </c>
      <c r="E293" s="315" t="s">
        <v>61</v>
      </c>
    </row>
    <row r="294" spans="1:5" ht="15" x14ac:dyDescent="0.25">
      <c r="A294" s="314">
        <v>741</v>
      </c>
      <c r="B294" s="315" t="s">
        <v>1559</v>
      </c>
      <c r="C294" s="315" t="s">
        <v>1561</v>
      </c>
      <c r="D294" s="315">
        <v>29150</v>
      </c>
      <c r="E294" s="315" t="s">
        <v>61</v>
      </c>
    </row>
    <row r="295" spans="1:5" ht="15" x14ac:dyDescent="0.25">
      <c r="A295" s="314">
        <v>531</v>
      </c>
      <c r="B295" s="315" t="s">
        <v>1470</v>
      </c>
      <c r="C295" s="315" t="s">
        <v>1471</v>
      </c>
      <c r="D295" s="315">
        <v>22380</v>
      </c>
      <c r="E295" s="315" t="s">
        <v>61</v>
      </c>
    </row>
    <row r="296" spans="1:5" ht="15" x14ac:dyDescent="0.25">
      <c r="A296" s="314">
        <v>351</v>
      </c>
      <c r="B296" s="315" t="s">
        <v>1264</v>
      </c>
      <c r="C296" s="315" t="s">
        <v>1269</v>
      </c>
      <c r="D296" s="315">
        <v>21035</v>
      </c>
      <c r="E296" s="315" t="s">
        <v>61</v>
      </c>
    </row>
    <row r="297" spans="1:5" ht="15" x14ac:dyDescent="0.25">
      <c r="A297" s="314">
        <v>427</v>
      </c>
      <c r="B297" s="315" t="s">
        <v>1369</v>
      </c>
      <c r="C297" s="315" t="s">
        <v>1373</v>
      </c>
      <c r="D297" s="315">
        <v>26925</v>
      </c>
      <c r="E297" s="315" t="s">
        <v>61</v>
      </c>
    </row>
    <row r="298" spans="1:5" ht="15" x14ac:dyDescent="0.25">
      <c r="A298" s="314">
        <v>363</v>
      </c>
      <c r="B298" s="315" t="s">
        <v>1292</v>
      </c>
      <c r="C298" s="315" t="s">
        <v>1297</v>
      </c>
      <c r="D298" s="315">
        <v>21725</v>
      </c>
      <c r="E298" s="315" t="s">
        <v>61</v>
      </c>
    </row>
    <row r="299" spans="1:5" ht="15" x14ac:dyDescent="0.25">
      <c r="A299" s="314">
        <v>208</v>
      </c>
      <c r="B299" s="315" t="s">
        <v>1089</v>
      </c>
      <c r="C299" s="315" t="s">
        <v>1093</v>
      </c>
      <c r="D299" s="315">
        <v>22410</v>
      </c>
      <c r="E299" s="315" t="s">
        <v>61</v>
      </c>
    </row>
    <row r="300" spans="1:5" ht="15" x14ac:dyDescent="0.25">
      <c r="A300" s="314">
        <v>582</v>
      </c>
      <c r="B300" s="315" t="s">
        <v>1514</v>
      </c>
      <c r="C300" s="315" t="s">
        <v>1516</v>
      </c>
      <c r="D300" s="315">
        <v>22945</v>
      </c>
      <c r="E300" s="315" t="s">
        <v>61</v>
      </c>
    </row>
    <row r="301" spans="1:5" ht="15" x14ac:dyDescent="0.25">
      <c r="A301" s="314">
        <v>539</v>
      </c>
      <c r="B301" s="315" t="s">
        <v>1480</v>
      </c>
      <c r="C301" s="315" t="s">
        <v>1481</v>
      </c>
      <c r="D301" s="315">
        <v>20180</v>
      </c>
      <c r="E301" s="315" t="s">
        <v>61</v>
      </c>
    </row>
    <row r="302" spans="1:5" ht="15" x14ac:dyDescent="0.25">
      <c r="A302" s="314">
        <v>175</v>
      </c>
      <c r="B302" s="315" t="s">
        <v>1062</v>
      </c>
      <c r="C302" s="315" t="s">
        <v>1063</v>
      </c>
      <c r="D302" s="315">
        <v>27980</v>
      </c>
      <c r="E302" s="315" t="s">
        <v>61</v>
      </c>
    </row>
    <row r="303" spans="1:5" ht="15" x14ac:dyDescent="0.25">
      <c r="A303" s="314">
        <v>174</v>
      </c>
      <c r="B303" s="315" t="s">
        <v>1050</v>
      </c>
      <c r="C303" s="315" t="s">
        <v>1053</v>
      </c>
      <c r="D303" s="315">
        <v>22970</v>
      </c>
      <c r="E303" s="315" t="s">
        <v>61</v>
      </c>
    </row>
    <row r="304" spans="1:5" ht="15" x14ac:dyDescent="0.25">
      <c r="A304" s="314">
        <v>727</v>
      </c>
      <c r="B304" s="315" t="s">
        <v>1545</v>
      </c>
      <c r="C304" s="315" t="s">
        <v>1546</v>
      </c>
      <c r="D304" s="315">
        <v>28650</v>
      </c>
      <c r="E304" s="315" t="s">
        <v>61</v>
      </c>
    </row>
    <row r="305" spans="1:5" ht="15" x14ac:dyDescent="0.25">
      <c r="A305" s="314">
        <v>174</v>
      </c>
      <c r="B305" s="315" t="s">
        <v>1050</v>
      </c>
      <c r="C305" s="315" t="s">
        <v>1061</v>
      </c>
      <c r="D305" s="315">
        <v>23015</v>
      </c>
      <c r="E305" s="315" t="s">
        <v>61</v>
      </c>
    </row>
    <row r="306" spans="1:5" ht="15" x14ac:dyDescent="0.25">
      <c r="A306" s="314">
        <v>174</v>
      </c>
      <c r="B306" s="315" t="s">
        <v>1050</v>
      </c>
      <c r="C306" s="315" t="s">
        <v>1060</v>
      </c>
      <c r="D306" s="315">
        <v>23010</v>
      </c>
      <c r="E306" s="315" t="s">
        <v>61</v>
      </c>
    </row>
    <row r="307" spans="1:5" ht="15" x14ac:dyDescent="0.25">
      <c r="A307" s="314">
        <v>549</v>
      </c>
      <c r="B307" s="315" t="s">
        <v>1484</v>
      </c>
      <c r="C307" s="315" t="s">
        <v>1485</v>
      </c>
      <c r="D307" s="315">
        <v>20900</v>
      </c>
      <c r="E307" s="315" t="s">
        <v>61</v>
      </c>
    </row>
    <row r="308" spans="1:5" ht="15" x14ac:dyDescent="0.25">
      <c r="A308" s="314">
        <v>551</v>
      </c>
      <c r="B308" s="315" t="s">
        <v>1486</v>
      </c>
      <c r="C308" s="315" t="s">
        <v>1487</v>
      </c>
      <c r="D308" s="315">
        <v>20985</v>
      </c>
      <c r="E308" s="315" t="s">
        <v>61</v>
      </c>
    </row>
    <row r="309" spans="1:5" ht="15" x14ac:dyDescent="0.25">
      <c r="A309" s="314">
        <v>553</v>
      </c>
      <c r="B309" s="315" t="s">
        <v>1488</v>
      </c>
      <c r="C309" s="315" t="s">
        <v>1489</v>
      </c>
      <c r="D309" s="315">
        <v>22385</v>
      </c>
      <c r="E309" s="315" t="s">
        <v>61</v>
      </c>
    </row>
    <row r="310" spans="1:5" ht="15" x14ac:dyDescent="0.25">
      <c r="A310" s="314">
        <v>352</v>
      </c>
      <c r="B310" s="315" t="s">
        <v>1271</v>
      </c>
      <c r="C310" s="315" t="s">
        <v>1278</v>
      </c>
      <c r="D310" s="315">
        <v>22205</v>
      </c>
      <c r="E310" s="315" t="s">
        <v>61</v>
      </c>
    </row>
    <row r="311" spans="1:5" ht="15" x14ac:dyDescent="0.25">
      <c r="A311" s="314">
        <v>335</v>
      </c>
      <c r="B311" s="315" t="s">
        <v>914</v>
      </c>
      <c r="C311" s="315" t="s">
        <v>1244</v>
      </c>
      <c r="D311" s="315">
        <v>21635</v>
      </c>
      <c r="E311" s="315" t="s">
        <v>61</v>
      </c>
    </row>
    <row r="312" spans="1:5" ht="15" x14ac:dyDescent="0.25">
      <c r="A312" s="314">
        <v>235</v>
      </c>
      <c r="B312" s="315" t="s">
        <v>1112</v>
      </c>
      <c r="C312" s="315" t="s">
        <v>1113</v>
      </c>
      <c r="D312" s="315">
        <v>21155</v>
      </c>
      <c r="E312" s="315" t="s">
        <v>61</v>
      </c>
    </row>
    <row r="313" spans="1:5" ht="15" x14ac:dyDescent="0.25">
      <c r="A313" s="314">
        <v>559</v>
      </c>
      <c r="B313" s="315" t="s">
        <v>1493</v>
      </c>
      <c r="C313" s="315" t="s">
        <v>1494</v>
      </c>
      <c r="D313" s="315">
        <v>22390</v>
      </c>
      <c r="E313" s="315" t="s">
        <v>61</v>
      </c>
    </row>
    <row r="314" spans="1:5" ht="15" x14ac:dyDescent="0.25">
      <c r="A314" s="314">
        <v>563</v>
      </c>
      <c r="B314" s="315" t="s">
        <v>1495</v>
      </c>
      <c r="C314" s="315" t="s">
        <v>1496</v>
      </c>
      <c r="D314" s="315">
        <v>21230</v>
      </c>
      <c r="E314" s="315" t="s">
        <v>61</v>
      </c>
    </row>
    <row r="315" spans="1:5" ht="15" x14ac:dyDescent="0.25">
      <c r="A315" s="314">
        <v>335</v>
      </c>
      <c r="B315" s="315" t="s">
        <v>914</v>
      </c>
      <c r="C315" s="315" t="s">
        <v>1229</v>
      </c>
      <c r="D315" s="315">
        <v>21515</v>
      </c>
      <c r="E315" s="315" t="s">
        <v>61</v>
      </c>
    </row>
    <row r="316" spans="1:5" ht="15" x14ac:dyDescent="0.25">
      <c r="A316" s="314">
        <v>279</v>
      </c>
      <c r="B316" s="315" t="s">
        <v>1174</v>
      </c>
      <c r="C316" s="315" t="s">
        <v>1180</v>
      </c>
      <c r="D316" s="315">
        <v>21200</v>
      </c>
      <c r="E316" s="315" t="s">
        <v>61</v>
      </c>
    </row>
    <row r="317" spans="1:5" ht="15" x14ac:dyDescent="0.25">
      <c r="A317" s="314">
        <v>568</v>
      </c>
      <c r="B317" s="315" t="s">
        <v>1497</v>
      </c>
      <c r="C317" s="315" t="s">
        <v>1498</v>
      </c>
      <c r="D317" s="315">
        <v>26930</v>
      </c>
      <c r="E317" s="315" t="s">
        <v>61</v>
      </c>
    </row>
    <row r="318" spans="1:5" ht="15" x14ac:dyDescent="0.25">
      <c r="A318" s="314">
        <v>461</v>
      </c>
      <c r="B318" s="315" t="s">
        <v>1405</v>
      </c>
      <c r="C318" s="315" t="s">
        <v>1410</v>
      </c>
      <c r="D318" s="315">
        <v>22690</v>
      </c>
      <c r="E318" s="315" t="s">
        <v>61</v>
      </c>
    </row>
    <row r="319" spans="1:5" ht="15" x14ac:dyDescent="0.25">
      <c r="A319" s="316">
        <v>473</v>
      </c>
      <c r="B319" s="317" t="s">
        <v>1424</v>
      </c>
      <c r="C319" s="317" t="s">
        <v>1426</v>
      </c>
      <c r="D319" s="317">
        <v>22860</v>
      </c>
      <c r="E319" s="317" t="s">
        <v>61</v>
      </c>
    </row>
    <row r="320" spans="1:5" ht="15" x14ac:dyDescent="0.25">
      <c r="A320" s="316">
        <v>473</v>
      </c>
      <c r="B320" s="317" t="s">
        <v>1424</v>
      </c>
      <c r="C320" s="317" t="s">
        <v>1427</v>
      </c>
      <c r="D320" s="317">
        <v>22865</v>
      </c>
      <c r="E320" s="317" t="s">
        <v>61</v>
      </c>
    </row>
    <row r="321" spans="1:5" ht="15" x14ac:dyDescent="0.25">
      <c r="A321" s="316">
        <v>335</v>
      </c>
      <c r="B321" s="317" t="s">
        <v>914</v>
      </c>
      <c r="C321" s="317" t="s">
        <v>1245</v>
      </c>
      <c r="D321" s="317">
        <v>21640</v>
      </c>
      <c r="E321" s="317" t="s">
        <v>61</v>
      </c>
    </row>
    <row r="322" spans="1:5" ht="15" x14ac:dyDescent="0.25">
      <c r="A322" s="316">
        <v>573</v>
      </c>
      <c r="B322" s="317" t="s">
        <v>1506</v>
      </c>
      <c r="C322" s="317" t="s">
        <v>1577</v>
      </c>
      <c r="D322" s="317">
        <v>21735</v>
      </c>
      <c r="E322" s="317" t="s">
        <v>61</v>
      </c>
    </row>
    <row r="323" spans="1:5" ht="15" x14ac:dyDescent="0.25">
      <c r="A323" s="316">
        <v>712</v>
      </c>
      <c r="B323" s="317" t="s">
        <v>1537</v>
      </c>
      <c r="C323" s="317" t="s">
        <v>1537</v>
      </c>
      <c r="D323" s="317">
        <v>29193</v>
      </c>
      <c r="E323" s="317" t="s">
        <v>61</v>
      </c>
    </row>
    <row r="324" spans="1:5" ht="15" x14ac:dyDescent="0.25">
      <c r="A324" s="316">
        <v>575</v>
      </c>
      <c r="B324" s="317" t="s">
        <v>1507</v>
      </c>
      <c r="C324" s="317" t="s">
        <v>1510</v>
      </c>
      <c r="D324" s="317">
        <v>21135</v>
      </c>
      <c r="E324" s="317" t="s">
        <v>61</v>
      </c>
    </row>
    <row r="325" spans="1:5" ht="15" x14ac:dyDescent="0.25">
      <c r="A325" s="316">
        <v>575</v>
      </c>
      <c r="B325" s="317" t="s">
        <v>1507</v>
      </c>
      <c r="C325" s="317" t="s">
        <v>1508</v>
      </c>
      <c r="D325" s="317">
        <v>21125</v>
      </c>
      <c r="E325" s="317" t="s">
        <v>61</v>
      </c>
    </row>
    <row r="326" spans="1:5" ht="15" x14ac:dyDescent="0.25">
      <c r="A326" s="316">
        <v>285</v>
      </c>
      <c r="B326" s="317" t="s">
        <v>1183</v>
      </c>
      <c r="C326" s="317" t="s">
        <v>1187</v>
      </c>
      <c r="D326" s="317">
        <v>21285</v>
      </c>
      <c r="E326" s="317" t="s">
        <v>61</v>
      </c>
    </row>
    <row r="327" spans="1:5" ht="15" x14ac:dyDescent="0.25">
      <c r="A327" s="316">
        <v>141</v>
      </c>
      <c r="B327" s="317" t="s">
        <v>1024</v>
      </c>
      <c r="C327" s="317" t="s">
        <v>1029</v>
      </c>
      <c r="D327" s="317">
        <v>20460</v>
      </c>
      <c r="E327" s="317" t="s">
        <v>61</v>
      </c>
    </row>
    <row r="328" spans="1:5" ht="15" x14ac:dyDescent="0.25">
      <c r="A328" s="316">
        <v>238</v>
      </c>
      <c r="B328" s="317" t="s">
        <v>1114</v>
      </c>
      <c r="C328" s="317" t="s">
        <v>1115</v>
      </c>
      <c r="D328" s="317">
        <v>20905</v>
      </c>
      <c r="E328" s="317" t="s">
        <v>61</v>
      </c>
    </row>
  </sheetData>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2019-10-21T18:40:06Z</cp:lastPrinted>
  <dcterms:created xsi:type="dcterms:W3CDTF">1997-12-04T19:04:30Z</dcterms:created>
  <dcterms:modified xsi:type="dcterms:W3CDTF">2019-11-22T15:54:45Z</dcterms:modified>
</cp:coreProperties>
</file>