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15" i="13" l="1"/>
  <c r="D37" i="14"/>
  <c r="D6" i="14"/>
  <c r="D5" i="14"/>
  <c r="D25" i="14"/>
  <c r="E37" i="14"/>
  <c r="E25" i="14"/>
  <c r="E6" i="14"/>
  <c r="E5" i="14"/>
  <c r="F14" i="13" l="1"/>
  <c r="F16" i="13"/>
  <c r="F31" i="13"/>
  <c r="F29" i="13"/>
  <c r="F8" i="13"/>
  <c r="C21" i="12"/>
  <c r="B21" i="12"/>
  <c r="C39" i="12"/>
  <c r="B39" i="12"/>
  <c r="C38" i="12"/>
  <c r="C37" i="12"/>
  <c r="C28" i="12"/>
  <c r="B28" i="12"/>
  <c r="C10" i="12"/>
  <c r="B12" i="12"/>
  <c r="C11" i="12"/>
  <c r="B11" i="12"/>
  <c r="I209" i="1" l="1"/>
  <c r="I207" i="1"/>
  <c r="H207" i="1"/>
  <c r="G207" i="1"/>
  <c r="I206" i="1"/>
  <c r="I203" i="1"/>
  <c r="G203" i="1"/>
  <c r="F202" i="1"/>
  <c r="I198" i="1"/>
  <c r="F198" i="1"/>
  <c r="G197" i="1"/>
  <c r="H595" i="1" l="1"/>
  <c r="J592" i="1"/>
  <c r="I592" i="1"/>
  <c r="H592" i="1"/>
  <c r="I507" i="1"/>
  <c r="H456" i="1" l="1"/>
  <c r="G456" i="1"/>
  <c r="H440" i="1"/>
  <c r="G440" i="1"/>
  <c r="H426" i="1"/>
  <c r="H415" i="1"/>
  <c r="H429" i="1"/>
  <c r="H400" i="1"/>
  <c r="H404" i="1"/>
  <c r="H403" i="1"/>
  <c r="H244" i="1" l="1"/>
  <c r="J96" i="1" l="1"/>
  <c r="F110" i="1"/>
  <c r="F28"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F662" i="1" s="1"/>
  <c r="L226" i="1"/>
  <c r="L244" i="1"/>
  <c r="G651" i="1" s="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E132" i="2" s="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93" i="1" s="1"/>
  <c r="C138" i="2" s="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E62" i="2" s="1"/>
  <c r="H94" i="1"/>
  <c r="H111" i="1"/>
  <c r="I111" i="1"/>
  <c r="I112" i="1" s="1"/>
  <c r="J111" i="1"/>
  <c r="J112" i="1" s="1"/>
  <c r="F121" i="1"/>
  <c r="F136" i="1"/>
  <c r="G121" i="1"/>
  <c r="G136" i="1"/>
  <c r="H121" i="1"/>
  <c r="H136" i="1"/>
  <c r="I121" i="1"/>
  <c r="I136" i="1"/>
  <c r="J121" i="1"/>
  <c r="J136" i="1"/>
  <c r="F147" i="1"/>
  <c r="F162" i="1"/>
  <c r="G147" i="1"/>
  <c r="G162" i="1"/>
  <c r="H147" i="1"/>
  <c r="E85" i="2" s="1"/>
  <c r="H162" i="1"/>
  <c r="H169" i="1" s="1"/>
  <c r="I147" i="1"/>
  <c r="I162" i="1"/>
  <c r="C13" i="10"/>
  <c r="L250" i="1"/>
  <c r="C113" i="2" s="1"/>
  <c r="L332" i="1"/>
  <c r="L254" i="1"/>
  <c r="L268" i="1"/>
  <c r="C142" i="2" s="1"/>
  <c r="L269" i="1"/>
  <c r="L349" i="1"/>
  <c r="L350" i="1"/>
  <c r="I665" i="1"/>
  <c r="I670" i="1"/>
  <c r="H662" i="1"/>
  <c r="I669" i="1"/>
  <c r="C42" i="10"/>
  <c r="L374" i="1"/>
  <c r="L375" i="1"/>
  <c r="L376" i="1"/>
  <c r="L377" i="1"/>
  <c r="L378" i="1"/>
  <c r="L379" i="1"/>
  <c r="L380" i="1"/>
  <c r="B2" i="10"/>
  <c r="L344" i="1"/>
  <c r="E134" i="2" s="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D62" i="2" s="1"/>
  <c r="D63" i="2" s="1"/>
  <c r="C61" i="2"/>
  <c r="D61" i="2"/>
  <c r="E61" i="2"/>
  <c r="F61" i="2"/>
  <c r="C66" i="2"/>
  <c r="C67" i="2"/>
  <c r="C69" i="2"/>
  <c r="D69" i="2"/>
  <c r="D70" i="2" s="1"/>
  <c r="D81"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E113" i="2"/>
  <c r="D115" i="2"/>
  <c r="F115" i="2"/>
  <c r="G115" i="2"/>
  <c r="E120" i="2"/>
  <c r="E121" i="2"/>
  <c r="E123" i="2"/>
  <c r="E124" i="2"/>
  <c r="E125" i="2"/>
  <c r="F128" i="2"/>
  <c r="G128" i="2"/>
  <c r="C130" i="2"/>
  <c r="E130" i="2"/>
  <c r="D134" i="2"/>
  <c r="D144" i="2" s="1"/>
  <c r="F134" i="2"/>
  <c r="K419" i="1"/>
  <c r="K427" i="1"/>
  <c r="K433" i="1"/>
  <c r="L263" i="1"/>
  <c r="C135" i="2" s="1"/>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F32" i="1"/>
  <c r="F52" i="1" s="1"/>
  <c r="H617" i="1" s="1"/>
  <c r="G32" i="1"/>
  <c r="G52" i="1" s="1"/>
  <c r="H618" i="1" s="1"/>
  <c r="H32" i="1"/>
  <c r="I32" i="1"/>
  <c r="H51" i="1"/>
  <c r="G624" i="1" s="1"/>
  <c r="I51" i="1"/>
  <c r="I52" i="1" s="1"/>
  <c r="H620" i="1" s="1"/>
  <c r="F177" i="1"/>
  <c r="I177" i="1"/>
  <c r="F183" i="1"/>
  <c r="F192" i="1" s="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G256" i="1"/>
  <c r="L256" i="1" s="1"/>
  <c r="H256" i="1"/>
  <c r="I256" i="1"/>
  <c r="J256" i="1"/>
  <c r="K256" i="1"/>
  <c r="F290" i="1"/>
  <c r="G290" i="1"/>
  <c r="H290" i="1"/>
  <c r="I290" i="1"/>
  <c r="F309" i="1"/>
  <c r="G309" i="1"/>
  <c r="H309" i="1"/>
  <c r="I309" i="1"/>
  <c r="F328" i="1"/>
  <c r="G328" i="1"/>
  <c r="H328" i="1"/>
  <c r="I328" i="1"/>
  <c r="F337" i="1"/>
  <c r="G337" i="1"/>
  <c r="H337" i="1"/>
  <c r="I337" i="1"/>
  <c r="J337" i="1"/>
  <c r="K337" i="1"/>
  <c r="K338" i="1" s="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F408" i="1"/>
  <c r="H643"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F461" i="1" s="1"/>
  <c r="H639" i="1" s="1"/>
  <c r="G452" i="1"/>
  <c r="H452" i="1"/>
  <c r="F460" i="1"/>
  <c r="G460" i="1"/>
  <c r="G461" i="1" s="1"/>
  <c r="H640" i="1" s="1"/>
  <c r="H460" i="1"/>
  <c r="F470" i="1"/>
  <c r="G470" i="1"/>
  <c r="H470" i="1"/>
  <c r="H476" i="1" s="1"/>
  <c r="H624" i="1" s="1"/>
  <c r="I470" i="1"/>
  <c r="J470" i="1"/>
  <c r="F474" i="1"/>
  <c r="G474" i="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0" i="1"/>
  <c r="G622" i="1"/>
  <c r="G623" i="1"/>
  <c r="G625" i="1"/>
  <c r="H627" i="1"/>
  <c r="H628" i="1"/>
  <c r="H629" i="1"/>
  <c r="H630" i="1"/>
  <c r="H631" i="1"/>
  <c r="H632" i="1"/>
  <c r="H633" i="1"/>
  <c r="H635" i="1"/>
  <c r="H636" i="1"/>
  <c r="H637" i="1"/>
  <c r="H638" i="1"/>
  <c r="G640" i="1"/>
  <c r="G643" i="1"/>
  <c r="G644" i="1"/>
  <c r="G652" i="1"/>
  <c r="H652" i="1"/>
  <c r="G653" i="1"/>
  <c r="H653" i="1"/>
  <c r="G654" i="1"/>
  <c r="H654" i="1"/>
  <c r="H655" i="1"/>
  <c r="G156" i="2"/>
  <c r="G62" i="2"/>
  <c r="K605" i="1"/>
  <c r="G648" i="1" s="1"/>
  <c r="J571" i="1"/>
  <c r="I169" i="1"/>
  <c r="G476" i="1"/>
  <c r="H623" i="1" s="1"/>
  <c r="J140" i="1"/>
  <c r="G22" i="2"/>
  <c r="H140" i="1"/>
  <c r="G192" i="1"/>
  <c r="C12" i="10" l="1"/>
  <c r="I571" i="1"/>
  <c r="K571" i="1"/>
  <c r="L560" i="1"/>
  <c r="I452" i="1"/>
  <c r="I446" i="1"/>
  <c r="G642" i="1" s="1"/>
  <c r="L433" i="1"/>
  <c r="L419" i="1"/>
  <c r="E103" i="2"/>
  <c r="C91" i="2"/>
  <c r="E78" i="2"/>
  <c r="E81" i="2" s="1"/>
  <c r="F78" i="2"/>
  <c r="F81" i="2" s="1"/>
  <c r="F169" i="1"/>
  <c r="C29" i="10"/>
  <c r="C32" i="10"/>
  <c r="D19" i="13"/>
  <c r="C19" i="13" s="1"/>
  <c r="H461" i="1"/>
  <c r="H641" i="1" s="1"/>
  <c r="L270" i="1"/>
  <c r="J643" i="1"/>
  <c r="E63" i="2"/>
  <c r="E122" i="2"/>
  <c r="J545" i="1"/>
  <c r="J476" i="1"/>
  <c r="H626" i="1" s="1"/>
  <c r="F476" i="1"/>
  <c r="H622" i="1" s="1"/>
  <c r="G161" i="2"/>
  <c r="F18" i="2"/>
  <c r="F130" i="2"/>
  <c r="F144" i="2" s="1"/>
  <c r="F145" i="2" s="1"/>
  <c r="G662" i="1"/>
  <c r="J641" i="1"/>
  <c r="I408" i="1"/>
  <c r="E109" i="2"/>
  <c r="G645" i="1"/>
  <c r="K503" i="1"/>
  <c r="G164" i="2"/>
  <c r="E31" i="2"/>
  <c r="H112" i="1"/>
  <c r="J655" i="1"/>
  <c r="H571" i="1"/>
  <c r="L544" i="1"/>
  <c r="G408" i="1"/>
  <c r="H645" i="1" s="1"/>
  <c r="L382" i="1"/>
  <c r="G636" i="1" s="1"/>
  <c r="J636" i="1" s="1"/>
  <c r="J338" i="1"/>
  <c r="J352" i="1" s="1"/>
  <c r="C114" i="2"/>
  <c r="D50" i="2"/>
  <c r="J624" i="1"/>
  <c r="E118" i="2"/>
  <c r="J639" i="1"/>
  <c r="D91" i="2"/>
  <c r="C18" i="2"/>
  <c r="G22" i="13"/>
  <c r="C22" i="13" s="1"/>
  <c r="C26" i="10"/>
  <c r="K545" i="1"/>
  <c r="G81" i="2"/>
  <c r="C131" i="2"/>
  <c r="D17" i="13"/>
  <c r="C17" i="13" s="1"/>
  <c r="A40" i="12"/>
  <c r="A31" i="12"/>
  <c r="A13" i="12"/>
  <c r="L614" i="1"/>
  <c r="K598" i="1"/>
  <c r="G647" i="1" s="1"/>
  <c r="J651" i="1"/>
  <c r="L565" i="1"/>
  <c r="L570" i="1"/>
  <c r="L571" i="1" s="1"/>
  <c r="K549" i="1"/>
  <c r="I545" i="1"/>
  <c r="H552" i="1"/>
  <c r="L534" i="1"/>
  <c r="I552" i="1"/>
  <c r="K551" i="1"/>
  <c r="L539" i="1"/>
  <c r="K550" i="1"/>
  <c r="J552" i="1"/>
  <c r="G545" i="1"/>
  <c r="G552" i="1"/>
  <c r="F552" i="1"/>
  <c r="H545" i="1"/>
  <c r="L529" i="1"/>
  <c r="L524" i="1"/>
  <c r="K500" i="1"/>
  <c r="G157" i="2"/>
  <c r="J640" i="1"/>
  <c r="I460" i="1"/>
  <c r="I461" i="1" s="1"/>
  <c r="H642" i="1" s="1"/>
  <c r="J642" i="1" s="1"/>
  <c r="L427" i="1"/>
  <c r="L434" i="1" s="1"/>
  <c r="G638" i="1" s="1"/>
  <c r="J638" i="1" s="1"/>
  <c r="H408" i="1"/>
  <c r="H644" i="1" s="1"/>
  <c r="J644" i="1" s="1"/>
  <c r="J634" i="1"/>
  <c r="F661" i="1"/>
  <c r="D29" i="13"/>
  <c r="C29" i="13" s="1"/>
  <c r="D127" i="2"/>
  <c r="D128" i="2" s="1"/>
  <c r="D145" i="2" s="1"/>
  <c r="H661" i="1"/>
  <c r="L362" i="1"/>
  <c r="G635" i="1" s="1"/>
  <c r="J635" i="1" s="1"/>
  <c r="G661" i="1"/>
  <c r="K352" i="1"/>
  <c r="L351" i="1"/>
  <c r="E119" i="2"/>
  <c r="E128" i="2" s="1"/>
  <c r="H338" i="1"/>
  <c r="H352" i="1" s="1"/>
  <c r="G338" i="1"/>
  <c r="G352" i="1" s="1"/>
  <c r="F338" i="1"/>
  <c r="F352" i="1" s="1"/>
  <c r="C11" i="10"/>
  <c r="E115" i="2"/>
  <c r="L290" i="1"/>
  <c r="E13" i="13"/>
  <c r="C13" i="13" s="1"/>
  <c r="C125" i="2"/>
  <c r="C19" i="10"/>
  <c r="C122" i="2"/>
  <c r="E8" i="13"/>
  <c r="C8" i="13" s="1"/>
  <c r="C120" i="2"/>
  <c r="C25" i="10"/>
  <c r="I25" i="13"/>
  <c r="C20" i="10"/>
  <c r="C119" i="2"/>
  <c r="C111" i="2"/>
  <c r="L247" i="1"/>
  <c r="G36" i="14" s="1"/>
  <c r="H36" i="14" s="1"/>
  <c r="I36" i="14" s="1"/>
  <c r="I662" i="1"/>
  <c r="D15" i="13"/>
  <c r="C15" i="13" s="1"/>
  <c r="G650" i="1"/>
  <c r="C123" i="2"/>
  <c r="D14" i="13"/>
  <c r="C14" i="13" s="1"/>
  <c r="C16" i="10"/>
  <c r="D7" i="13"/>
  <c r="C7" i="13" s="1"/>
  <c r="D6" i="13"/>
  <c r="C6" i="13" s="1"/>
  <c r="J257" i="1"/>
  <c r="J271" i="1" s="1"/>
  <c r="K257" i="1"/>
  <c r="K271" i="1" s="1"/>
  <c r="I257" i="1"/>
  <c r="I271" i="1" s="1"/>
  <c r="H257" i="1"/>
  <c r="H271" i="1" s="1"/>
  <c r="F257" i="1"/>
  <c r="F271" i="1" s="1"/>
  <c r="E16" i="13"/>
  <c r="C17" i="10"/>
  <c r="G649" i="1"/>
  <c r="J649" i="1" s="1"/>
  <c r="H647" i="1"/>
  <c r="C124" i="2"/>
  <c r="C21" i="10"/>
  <c r="D12" i="13"/>
  <c r="C12" i="13" s="1"/>
  <c r="C18" i="10"/>
  <c r="C121" i="2"/>
  <c r="C15" i="10"/>
  <c r="L211" i="1"/>
  <c r="C118" i="2"/>
  <c r="C110" i="2"/>
  <c r="D5" i="13"/>
  <c r="C5" i="13" s="1"/>
  <c r="G257" i="1"/>
  <c r="G271" i="1" s="1"/>
  <c r="C70" i="2"/>
  <c r="C78" i="2"/>
  <c r="F112" i="1"/>
  <c r="C62" i="2"/>
  <c r="C56" i="2"/>
  <c r="C35" i="10"/>
  <c r="H52" i="1"/>
  <c r="H619" i="1" s="1"/>
  <c r="J623" i="1"/>
  <c r="D31" i="2"/>
  <c r="D18" i="2"/>
  <c r="J622" i="1"/>
  <c r="J617" i="1"/>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I192" i="1"/>
  <c r="E91" i="2"/>
  <c r="E104" i="2" s="1"/>
  <c r="J654" i="1"/>
  <c r="J653" i="1"/>
  <c r="G21" i="2"/>
  <c r="G31" i="2" s="1"/>
  <c r="J32" i="1"/>
  <c r="J434" i="1"/>
  <c r="F434" i="1"/>
  <c r="K434" i="1"/>
  <c r="G134" i="2" s="1"/>
  <c r="G144" i="2" s="1"/>
  <c r="G145" i="2" s="1"/>
  <c r="G31" i="13"/>
  <c r="G33" i="13" s="1"/>
  <c r="J193" i="1"/>
  <c r="G646" i="1" s="1"/>
  <c r="F104" i="2"/>
  <c r="H193" i="1"/>
  <c r="G629" i="1" s="1"/>
  <c r="J629" i="1" s="1"/>
  <c r="G169" i="1"/>
  <c r="C39" i="10" s="1"/>
  <c r="G140" i="1"/>
  <c r="F140" i="1"/>
  <c r="G63" i="2"/>
  <c r="J618" i="1"/>
  <c r="G42" i="2"/>
  <c r="G50" i="2" s="1"/>
  <c r="J51" i="1"/>
  <c r="G16" i="2"/>
  <c r="G18" i="2" s="1"/>
  <c r="J19" i="1"/>
  <c r="G621" i="1" s="1"/>
  <c r="F545" i="1"/>
  <c r="H434" i="1"/>
  <c r="J620" i="1"/>
  <c r="J619" i="1"/>
  <c r="D103" i="2"/>
  <c r="D104" i="2" s="1"/>
  <c r="I140" i="1"/>
  <c r="A22" i="12"/>
  <c r="J652" i="1"/>
  <c r="G571" i="1"/>
  <c r="I434" i="1"/>
  <c r="G434" i="1"/>
  <c r="I663" i="1"/>
  <c r="C27" i="10"/>
  <c r="J645" i="1" l="1"/>
  <c r="G104" i="2"/>
  <c r="L408" i="1"/>
  <c r="G637" i="1" s="1"/>
  <c r="J637" i="1" s="1"/>
  <c r="C81" i="2"/>
  <c r="I193" i="1"/>
  <c r="G630" i="1" s="1"/>
  <c r="J630" i="1" s="1"/>
  <c r="D51" i="2"/>
  <c r="G51" i="2"/>
  <c r="L338" i="1"/>
  <c r="L352" i="1" s="1"/>
  <c r="G633" i="1" s="1"/>
  <c r="J633" i="1" s="1"/>
  <c r="J647" i="1"/>
  <c r="K552" i="1"/>
  <c r="L545" i="1"/>
  <c r="H646" i="1"/>
  <c r="J646" i="1" s="1"/>
  <c r="I661" i="1"/>
  <c r="E145" i="2"/>
  <c r="G4" i="14"/>
  <c r="H4" i="14" s="1"/>
  <c r="I4" i="14" s="1"/>
  <c r="D31" i="13"/>
  <c r="C31" i="13" s="1"/>
  <c r="E33" i="13"/>
  <c r="D35" i="13" s="1"/>
  <c r="C25" i="13"/>
  <c r="I33" i="13"/>
  <c r="H660" i="1"/>
  <c r="H664" i="1" s="1"/>
  <c r="H667" i="1" s="1"/>
  <c r="C16" i="13"/>
  <c r="C128" i="2"/>
  <c r="H648" i="1"/>
  <c r="J648" i="1" s="1"/>
  <c r="G660" i="1"/>
  <c r="G664" i="1" s="1"/>
  <c r="G667" i="1" s="1"/>
  <c r="F660" i="1"/>
  <c r="F664" i="1" s="1"/>
  <c r="F672" i="1" s="1"/>
  <c r="C4" i="10" s="1"/>
  <c r="L257" i="1"/>
  <c r="L271" i="1" s="1"/>
  <c r="G632" i="1" s="1"/>
  <c r="J632" i="1" s="1"/>
  <c r="C115" i="2"/>
  <c r="F193" i="1"/>
  <c r="G627" i="1" s="1"/>
  <c r="J627" i="1" s="1"/>
  <c r="C36" i="10"/>
  <c r="C63" i="2"/>
  <c r="C104" i="2" s="1"/>
  <c r="C28" i="10"/>
  <c r="D23" i="10" s="1"/>
  <c r="H24" i="14"/>
  <c r="I24" i="14" s="1"/>
  <c r="C51" i="2"/>
  <c r="G631" i="1"/>
  <c r="J631" i="1" s="1"/>
  <c r="G193" i="1"/>
  <c r="G628" i="1" s="1"/>
  <c r="J628" i="1" s="1"/>
  <c r="G626" i="1"/>
  <c r="J626" i="1" s="1"/>
  <c r="J52" i="1"/>
  <c r="H621" i="1" s="1"/>
  <c r="J621" i="1" s="1"/>
  <c r="C38" i="10"/>
  <c r="H672" i="1" l="1"/>
  <c r="C6" i="10" s="1"/>
  <c r="C145" i="2"/>
  <c r="G672" i="1"/>
  <c r="C5" i="10" s="1"/>
  <c r="F667" i="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<sst xmlns="http://schemas.openxmlformats.org/spreadsheetml/2006/main" count="5514" uniqueCount="1616">
  <si>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</si>
  <si>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</si>
  <si>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</si>
  <si>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</si>
  <si>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</si>
  <si>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</si>
  <si>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</si>
  <si>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</si>
  <si>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</si>
  <si>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</si>
  <si>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</si>
  <si>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</si>
  <si>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</si>
  <si>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</si>
  <si>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</si>
  <si>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</si>
  <si>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</si>
  <si>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</si>
  <si>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</si>
  <si>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</si>
  <si>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</si>
  <si>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</si>
  <si>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</si>
  <si>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</si>
  <si>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</si>
  <si>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</si>
  <si>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</si>
  <si>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</si>
  <si>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</si>
  <si>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</si>
  <si>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</si>
  <si>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</si>
  <si>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</si>
  <si>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</si>
  <si>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</si>
  <si>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</si>
  <si>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</si>
  <si>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</si>
  <si>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</si>
  <si>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</si>
  <si>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</si>
  <si>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</si>
  <si>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</si>
  <si>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</si>
  <si>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</si>
  <si>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</si>
  <si>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</si>
  <si>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</si>
  <si>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</si>
  <si>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</si>
  <si>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</si>
  <si>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</si>
  <si>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</si>
  <si>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</si>
  <si>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</si>
  <si>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</si>
  <si>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</si>
  <si>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</si>
  <si>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</si>
  <si>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</si>
  <si>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</si>
  <si>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</si>
  <si>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</si>
  <si>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</si>
  <si>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</si>
  <si>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</si>
  <si>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</si>
  <si>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</si>
  <si>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</si>
  <si>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</si>
  <si>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</si>
  <si>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</si>
  <si>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</si>
  <si>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</si>
  <si>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</si>
  <si>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</si>
  <si>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</si>
  <si>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</si>
  <si>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</si>
  <si>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</si>
  <si>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</si>
  <si>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</si>
  <si>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</si>
  <si>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</si>
  <si>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</si>
  <si>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</si>
  <si>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</si>
  <si>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</si>
  <si>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</si>
  <si>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</si>
  <si>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</si>
  <si>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</si>
  <si>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</si>
  <si>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</si>
  <si>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</si>
  <si>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</si>
  <si>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</si>
  <si>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</si>
  <si>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</si>
  <si>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</si>
  <si>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</si>
  <si>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</si>
  <si>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</si>
  <si>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</si>
  <si>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</si>
  <si>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</si>
  <si>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</si>
  <si>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</si>
  <si>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</si>
  <si>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</si>
  <si>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</si>
  <si>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</si>
  <si>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</si>
  <si>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</si>
  <si>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</si>
  <si>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</si>
  <si>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</si>
  <si>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</si>
  <si>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</si>
  <si>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</si>
  <si>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</si>
  <si>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</si>
  <si>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</si>
  <si>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</si>
  <si>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</si>
  <si>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</si>
  <si>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</si>
  <si>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</si>
  <si>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</si>
  <si>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</si>
  <si>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</si>
  <si>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</si>
  <si>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</si>
  <si>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</si>
  <si>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</si>
  <si>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</si>
  <si>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</si>
  <si>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</si>
  <si>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</si>
  <si>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</si>
  <si>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</si>
  <si>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</si>
  <si>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</si>
  <si>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</si>
  <si>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</si>
  <si>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</si>
  <si>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</si>
  <si>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</si>
  <si>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</si>
  <si>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</si>
  <si>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</si>
  <si>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</si>
  <si>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</si>
  <si>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</si>
  <si>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</si>
  <si>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</si>
  <si>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</si>
  <si>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</si>
  <si>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</si>
  <si>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</si>
  <si>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</si>
  <si>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</si>
  <si>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</si>
  <si>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</si>
  <si>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</si>
  <si>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</si>
  <si>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</si>
  <si>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</si>
  <si>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</si>
  <si>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</si>
  <si>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</si>
  <si>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</si>
  <si>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</si>
  <si>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</si>
  <si>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</si>
  <si>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</si>
  <si>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</si>
  <si>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</si>
  <si>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</si>
  <si>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</si>
  <si>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</si>
  <si>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</si>
  <si>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</si>
  <si>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</si>
  <si>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</si>
  <si>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</si>
  <si>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</si>
  <si>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</si>
  <si>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</si>
  <si>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</si>
  <si>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</si>
  <si>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</si>
  <si>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</si>
  <si>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</si>
  <si>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</si>
  <si>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</si>
  <si>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</si>
  <si>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</si>
  <si>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</si>
  <si>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</si>
  <si>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</si>
  <si>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</si>
  <si>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</si>
  <si>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</si>
  <si>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</si>
  <si>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</si>
  <si>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</si>
  <si>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</si>
  <si>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</si>
  <si>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</si>
  <si>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</si>
  <si>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</si>
  <si>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</si>
  <si>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</si>
  <si>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</si>
  <si>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</si>
  <si>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</si>
  <si>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</si>
  <si>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</si>
  <si>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</si>
  <si>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</si>
  <si>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</si>
  <si>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</si>
  <si>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</si>
  <si>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</si>
  <si>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</si>
  <si>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</si>
  <si>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</si>
  <si>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</si>
  <si>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</si>
  <si>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</si>
  <si>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</si>
  <si>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</si>
  <si>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</si>
  <si>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</si>
  <si>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</si>
  <si>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</si>
  <si>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</si>
  <si>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</si>
  <si>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</si>
  <si>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</si>
  <si>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</si>
  <si>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</si>
  <si>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</si>
  <si>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</si>
  <si>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</si>
  <si>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</si>
  <si>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</si>
  <si>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</si>
  <si>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</si>
  <si>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</si>
  <si>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</si>
  <si>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</si>
  <si>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</si>
  <si>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</si>
  <si>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</si>
  <si>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</si>
  <si>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</si>
  <si>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</si>
  <si>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</si>
  <si>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</si>
  <si>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</si>
  <si>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</si>
  <si>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</si>
  <si>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</si>
  <si>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</si>
  <si>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</si>
  <si>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</si>
  <si>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</si>
  <si>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</si>
  <si>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</si>
  <si>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</si>
  <si>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</si>
  <si>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</si>
  <si>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</si>
  <si>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</si>
  <si>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</si>
  <si>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</si>
  <si>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</si>
  <si>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</si>
  <si>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</si>
  <si>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</si>
  <si>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</si>
  <si>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</si>
  <si>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</si>
  <si>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</si>
  <si>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</si>
  <si>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</si>
  <si>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</si>
  <si>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</si>
  <si>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</si>
  <si>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</si>
  <si>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</si>
  <si>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</si>
  <si>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</si>
  <si>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</si>
  <si>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</si>
  <si>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</si>
  <si>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</si>
  <si>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</si>
  <si>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</si>
  <si>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</si>
  <si>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</si>
  <si>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</si>
  <si>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</si>
  <si>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</si>
  <si>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</si>
  <si>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</si>
  <si>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</si>
  <si>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</si>
  <si>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</si>
  <si>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</si>
  <si>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</si>
  <si>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</si>
  <si>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</si>
  <si>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</si>
  <si>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</si>
  <si>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</si>
  <si>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</si>
  <si>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</si>
  <si>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</si>
  <si>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</si>
  <si>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</si>
  <si>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</si>
  <si>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</si>
  <si>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</si>
  <si>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</si>
  <si>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</si>
  <si>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</si>
  <si>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</si>
  <si>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</si>
  <si>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</si>
  <si>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</si>
  <si>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</si>
  <si>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</si>
  <si>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</si>
  <si>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</si>
  <si>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</si>
  <si>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</si>
  <si>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</si>
  <si>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</si>
  <si>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</si>
  <si>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</si>
  <si>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</si>
  <si>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</si>
  <si>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</si>
  <si>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</si>
  <si>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</si>
  <si>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</si>
  <si>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</si>
  <si>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</si>
  <si>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</si>
  <si>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</si>
  <si>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</si>
  <si>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</si>
  <si>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</si>
  <si>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</si>
  <si>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</si>
  <si>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</si>
  <si>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</si>
  <si>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</si>
  <si>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</si>
  <si>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</si>
  <si>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</si>
  <si>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</si>
  <si>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</si>
  <si>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</si>
  <si>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</si>
  <si>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</si>
  <si>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</si>
  <si>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</si>
  <si>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</si>
  <si>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</si>
  <si>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</si>
  <si>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</si>
  <si>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</si>
  <si>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</si>
  <si>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</si>
  <si>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</si>
  <si>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</si>
  <si>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</si>
  <si>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</si>
  <si>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</si>
  <si>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</si>
  <si>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</si>
  <si>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</si>
  <si>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</si>
  <si>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</si>
  <si>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</si>
  <si>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</si>
  <si>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</si>
  <si>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</si>
  <si>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</si>
  <si>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</si>
  <si>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</si>
  <si>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</si>
  <si>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</si>
  <si>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</si>
  <si>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</si>
  <si>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</si>
  <si>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</si>
  <si>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</si>
  <si>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</si>
  <si>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</si>
  <si>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</si>
  <si>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</si>
  <si>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</si>
  <si>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</si>
  <si>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</si>
  <si>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</si>
  <si>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</si>
  <si>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</si>
  <si>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</si>
  <si>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</si>
  <si>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</si>
  <si>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</si>
  <si>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</si>
  <si>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</si>
  <si>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</si>
  <si>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</si>
  <si>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</si>
  <si>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</si>
  <si>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</si>
  <si>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</si>
  <si>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</si>
  <si>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</si>
  <si>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</si>
  <si>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</si>
  <si>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</si>
  <si>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</si>
  <si>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</si>
  <si>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</si>
  <si>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</si>
  <si>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</si>
  <si>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</si>
  <si>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</si>
  <si>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</si>
  <si>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</si>
  <si>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</si>
  <si>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</si>
  <si>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</si>
  <si>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</si>
  <si>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</si>
  <si>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</si>
  <si>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</si>
  <si>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</si>
  <si>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</si>
  <si>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</si>
  <si>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</si>
  <si>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</si>
  <si>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</si>
  <si>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</si>
  <si>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</si>
  <si>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</si>
  <si>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</si>
  <si>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</si>
  <si>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</si>
  <si>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</si>
  <si>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</si>
  <si>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</si>
  <si>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</si>
  <si>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</si>
  <si>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</si>
  <si>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</si>
  <si>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</si>
  <si>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</si>
  <si>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</si>
  <si>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</si>
  <si>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</si>
  <si>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</si>
  <si>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</si>
  <si>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</si>
  <si>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</si>
  <si>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</si>
  <si>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</si>
  <si>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</si>
  <si>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</si>
  <si>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</si>
  <si>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</si>
  <si>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</si>
  <si>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</si>
  <si>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</si>
  <si>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</si>
  <si>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</si>
  <si>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</si>
  <si>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</si>
  <si>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</si>
  <si>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</si>
  <si>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</si>
  <si>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</si>
  <si>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</si>
  <si>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</si>
  <si>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</si>
  <si>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</si>
  <si>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</si>
  <si>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</si>
  <si>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</si>
  <si>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</si>
  <si>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</si>
  <si>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</si>
  <si>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</si>
  <si>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</si>
  <si>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</si>
  <si>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</si>
  <si>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</si>
  <si>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</si>
  <si>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</si>
  <si>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</si>
  <si>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</si>
  <si>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</si>
  <si>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</si>
  <si>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</si>
  <si>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</si>
  <si>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</si>
  <si>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</si>
  <si>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</si>
  <si>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</si>
  <si>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</si>
  <si>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</si>
  <si>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</si>
  <si>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</si>
  <si>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</si>
  <si>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</si>
  <si>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</si>
  <si>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</si>
  <si>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</si>
  <si>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</si>
  <si>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</si>
  <si>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</si>
  <si>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</si>
  <si>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</si>
  <si>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</si>
  <si>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</si>
  <si>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</si>
  <si>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</si>
  <si>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</si>
  <si>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</si>
  <si>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</si>
  <si>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</si>
  <si>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</si>
  <si>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</si>
  <si>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</si>
  <si>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</si>
  <si>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</si>
  <si>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</si>
  <si>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</si>
  <si>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</si>
  <si>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</si>
  <si>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</si>
  <si>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</si>
  <si>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</si>
  <si>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</si>
  <si>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</si>
  <si>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</si>
  <si>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</si>
  <si>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</si>
  <si>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</si>
  <si>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</si>
  <si>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</si>
  <si>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</si>
  <si>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</si>
  <si>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</si>
  <si>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</si>
  <si>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</si>
  <si>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</si>
  <si>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</si>
  <si>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</si>
  <si>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</si>
  <si>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</si>
  <si>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</si>
  <si>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</si>
  <si>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</si>
  <si>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</si>
  <si>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</si>
  <si>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</si>
  <si>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</si>
  <si>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</si>
  <si>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</si>
  <si>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</si>
  <si>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</si>
  <si>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</si>
  <si>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</si>
  <si>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</si>
  <si>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</si>
  <si>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</si>
  <si>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</si>
  <si>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</si>
  <si>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</si>
  <si>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</si>
  <si>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</si>
  <si>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</si>
  <si>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</si>
  <si>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</si>
  <si>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</si>
  <si>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</si>
  <si>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</si>
  <si>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</si>
  <si>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</si>
  <si>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</si>
  <si>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</si>
  <si>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</si>
  <si>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</si>
  <si>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</si>
  <si>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</si>
  <si>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</si>
  <si>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</si>
  <si>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</si>
  <si>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</si>
  <si>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</si>
  <si>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</si>
  <si>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</si>
  <si>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</si>
  <si>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</si>
  <si>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</si>
  <si>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</si>
  <si>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</si>
  <si>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</si>
  <si>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</si>
  <si>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</si>
  <si>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</si>
  <si>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</si>
  <si>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</si>
  <si>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</si>
  <si>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</si>
  <si>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</si>
  <si>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</si>
  <si>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</si>
  <si>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</si>
  <si>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</si>
  <si>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</si>
  <si>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</si>
  <si>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</si>
  <si>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</si>
  <si>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</si>
  <si>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</si>
  <si>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</si>
  <si>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</si>
  <si>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</si>
  <si>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</si>
  <si>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</si>
  <si>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</si>
  <si>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</si>
  <si>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</si>
  <si>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</si>
  <si>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</si>
  <si>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</si>
  <si>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</si>
  <si>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</si>
  <si>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</si>
  <si>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</si>
  <si>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</si>
  <si>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</si>
  <si>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</si>
  <si>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</si>
  <si>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</si>
  <si>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</si>
  <si>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</si>
  <si>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</si>
  <si>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</si>
  <si>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</si>
  <si>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</si>
  <si>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</si>
  <si>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</si>
  <si>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</si>
  <si>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</si>
  <si>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</si>
  <si>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</si>
  <si>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</si>
  <si>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</si>
  <si>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</si>
  <si>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</si>
  <si>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</si>
  <si>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</si>
  <si>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</si>
  <si>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</si>
  <si>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</si>
  <si>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</si>
  <si>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</si>
  <si>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</si>
  <si>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</si>
  <si>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</si>
  <si>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</si>
  <si>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</si>
  <si>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</si>
  <si>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</si>
  <si>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</si>
  <si>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</si>
  <si>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</si>
  <si>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</si>
  <si>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</si>
  <si>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</si>
  <si>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</si>
  <si>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</si>
  <si>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</si>
  <si>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</si>
  <si>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</si>
  <si>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</si>
  <si>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</si>
  <si>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</si>
  <si>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</si>
  <si>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</si>
  <si>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</si>
  <si>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</si>
  <si>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</si>
  <si>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</si>
  <si>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</si>
  <si>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</si>
  <si>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</si>
  <si>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</si>
  <si>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</si>
  <si>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</si>
  <si>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</si>
  <si>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</si>
  <si>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</si>
  <si>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</si>
  <si>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</si>
  <si>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</si>
  <si>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</si>
  <si>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</si>
  <si>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</si>
  <si>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</si>
  <si>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</si>
  <si>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</si>
  <si>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</si>
  <si>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</si>
  <si>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</si>
  <si>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</si>
  <si>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</si>
  <si>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</si>
  <si>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</si>
  <si>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</si>
  <si>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</si>
  <si>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</si>
  <si>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</si>
  <si>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</si>
  <si>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</si>
  <si>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</si>
  <si>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</si>
  <si>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</si>
  <si>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</si>
  <si>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</si>
  <si>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</si>
  <si>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</si>
  <si>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</si>
  <si>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</si>
  <si>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</si>
  <si>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</si>
  <si>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</si>
  <si>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</si>
  <si>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</si>
  <si>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</si>
  <si>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</si>
  <si>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</si>
  <si>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</si>
  <si>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</si>
  <si>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</si>
  <si>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</si>
  <si>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</si>
  <si>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</si>
  <si>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</si>
  <si>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</si>
  <si>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</si>
  <si>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</si>
  <si>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</si>
  <si>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</si>
  <si>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</si>
  <si>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</si>
  <si>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</si>
  <si>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</si>
  <si>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</si>
  <si>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</si>
  <si>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</si>
  <si>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</si>
  <si>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</si>
  <si>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</si>
  <si>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</si>
  <si>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</si>
  <si>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</si>
  <si>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</si>
  <si>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</si>
  <si>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</si>
  <si>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</si>
  <si>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</si>
  <si>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</si>
  <si>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</si>
  <si>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</si>
  <si>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</si>
  <si>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</si>
  <si>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</si>
  <si>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</si>
  <si>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</si>
  <si>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</si>
  <si>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</si>
  <si>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</si>
  <si>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</si>
  <si>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</si>
  <si>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</si>
  <si>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</si>
  <si>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</si>
  <si>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</si>
  <si>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</si>
  <si>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</si>
  <si>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</si>
  <si>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</si>
  <si>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</si>
  <si>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</si>
  <si>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</si>
  <si>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</si>
  <si>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</si>
  <si>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</si>
  <si>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</si>
  <si>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</si>
  <si>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</si>
  <si>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</si>
  <si>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</si>
  <si>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</si>
  <si>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</si>
  <si>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</si>
  <si>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</si>
  <si>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</si>
  <si>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</si>
  <si>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</si>
  <si>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</si>
  <si>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</si>
  <si>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</si>
  <si>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</si>
  <si>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</si>
  <si>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</si>
  <si>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</si>
  <si>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</si>
  <si>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</si>
  <si>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</si>
  <si>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</si>
  <si>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</si>
  <si>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</si>
  <si>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</si>
  <si>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</si>
  <si>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</si>
  <si>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</si>
  <si>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</si>
  <si>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</si>
  <si>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</si>
  <si>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</si>
  <si>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</si>
  <si>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</si>
  <si>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</si>
  <si>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</si>
  <si>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</si>
  <si>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</si>
  <si>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</si>
  <si>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</si>
  <si>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</si>
  <si>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</si>
  <si>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</si>
  <si>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</si>
  <si>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</si>
  <si>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</si>
  <si>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</si>
  <si>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</si>
  <si>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</si>
  <si>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</si>
  <si>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</si>
  <si>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</si>
  <si>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</si>
  <si>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</si>
  <si>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</si>
  <si>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</si>
  <si>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</si>
  <si>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</si>
  <si>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</si>
  <si>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</si>
  <si>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</si>
  <si>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</si>
  <si>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</si>
  <si>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</si>
  <si>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</si>
  <si>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</si>
  <si>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</si>
  <si>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</si>
  <si>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</si>
  <si>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</si>
  <si>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</si>
  <si>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</si>
  <si>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</si>
  <si>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</si>
  <si>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</si>
  <si>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</si>
  <si>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</si>
  <si>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</si>
  <si>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</si>
  <si>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</si>
  <si>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</si>
  <si>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</si>
  <si>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</si>
  <si>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</si>
  <si>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</si>
  <si>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</si>
  <si>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</si>
  <si>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</si>
  <si>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</si>
  <si>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</si>
  <si>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</si>
  <si>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</si>
  <si>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</si>
  <si>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</si>
  <si>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</si>
  <si>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</si>
  <si>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</si>
  <si>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</si>
  <si>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</si>
  <si>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</si>
  <si>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</si>
  <si>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</si>
  <si>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</si>
  <si>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</si>
  <si>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</si>
  <si>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</si>
  <si>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</si>
  <si>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</si>
  <si>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</si>
  <si>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</si>
  <si>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</si>
  <si>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</si>
  <si>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</si>
  <si>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</si>
  <si>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</si>
  <si>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</si>
  <si>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</si>
  <si>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</si>
  <si>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</si>
  <si>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</si>
  <si>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</si>
  <si>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</si>
  <si>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</si>
  <si>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</si>
  <si>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</si>
  <si>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</si>
  <si>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</si>
  <si>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</si>
  <si>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</si>
  <si>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</si>
  <si>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</si>
  <si>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</si>
  <si>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</si>
  <si>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</si>
  <si>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</si>
  <si>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</si>
  <si>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</si>
  <si>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</si>
  <si>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</si>
  <si>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</si>
  <si>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</si>
  <si>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</si>
  <si>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</si>
  <si>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</si>
  <si>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</si>
  <si>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</si>
  <si>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</si>
  <si>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</si>
  <si>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</si>
  <si>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</si>
  <si>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</si>
  <si>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</si>
  <si>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</si>
  <si>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</si>
  <si>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</si>
  <si>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</si>
  <si>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</si>
  <si>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</si>
  <si>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</si>
  <si>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</si>
  <si>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</si>
  <si>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</si>
  <si>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</si>
  <si>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</si>
  <si>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</si>
  <si>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</si>
  <si>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</si>
  <si>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</si>
  <si>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</si>
  <si>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</si>
  <si>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</si>
  <si>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</si>
  <si>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</si>
  <si>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</si>
  <si>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</si>
  <si>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</si>
  <si>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</si>
  <si>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</si>
  <si>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</si>
  <si>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</si>
  <si>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</si>
  <si>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</si>
  <si>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</si>
  <si>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</si>
  <si>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</si>
  <si>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</si>
  <si>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</si>
  <si>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</si>
  <si>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</si>
  <si>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</si>
  <si>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</si>
  <si>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</si>
  <si>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</si>
  <si>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</si>
  <si>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</si>
  <si>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</si>
  <si>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</si>
  <si>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</si>
  <si>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</si>
  <si>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</si>
  <si>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</si>
  <si>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</si>
  <si>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</si>
  <si>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</si>
  <si>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</si>
  <si>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</si>
  <si>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</si>
  <si>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</si>
  <si>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</si>
  <si>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</si>
  <si>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</si>
  <si>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</si>
  <si>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</si>
  <si>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</si>
  <si>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</si>
  <si>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</si>
  <si>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</si>
  <si>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</si>
  <si>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</si>
  <si>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</si>
  <si>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</si>
  <si>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</si>
  <si>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</si>
  <si>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</si>
  <si>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</si>
  <si>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</si>
  <si>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</si>
  <si>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</si>
  <si>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</si>
  <si>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</si>
  <si>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</si>
  <si>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</si>
  <si>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</si>
  <si>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</si>
  <si>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</si>
  <si>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</si>
  <si>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</si>
  <si>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</si>
  <si>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</si>
  <si>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</si>
  <si>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</si>
  <si>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</si>
  <si>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</si>
  <si>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</si>
  <si>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</si>
  <si>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</si>
  <si>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</si>
  <si>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</si>
  <si>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</si>
  <si>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</si>
  <si>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</si>
  <si>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</si>
  <si>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</si>
  <si>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</si>
  <si>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</si>
  <si>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</si>
  <si>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</si>
  <si>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</si>
  <si>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</si>
  <si>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</si>
  <si>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</si>
  <si>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</si>
  <si>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</si>
  <si>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</si>
  <si>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</si>
  <si>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</si>
  <si>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</si>
  <si>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</si>
  <si>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</si>
  <si>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</si>
  <si>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</si>
  <si>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</si>
  <si>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</si>
  <si>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</si>
  <si>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</si>
  <si>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</si>
  <si>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</si>
  <si>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</si>
  <si>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</si>
  <si>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</si>
  <si>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</si>
  <si>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</si>
  <si>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</si>
  <si>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</si>
  <si>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</si>
  <si>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</si>
  <si>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</si>
  <si>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</si>
  <si>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</si>
  <si>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</si>
  <si>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</si>
  <si>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</si>
  <si>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</si>
  <si>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</si>
  <si>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</si>
  <si>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</si>
  <si>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</si>
  <si>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</si>
  <si>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</si>
  <si>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</si>
  <si>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</si>
  <si>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</si>
  <si>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</si>
  <si>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</si>
  <si>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</si>
  <si>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</si>
  <si>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</si>
  <si>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</si>
  <si>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</si>
  <si>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</si>
  <si>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</si>
  <si>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</si>
  <si>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</si>
  <si>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</si>
  <si>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</si>
  <si>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</si>
  <si>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</si>
  <si>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</si>
  <si>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</si>
  <si>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</si>
  <si>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</si>
  <si>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</si>
  <si>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</si>
  <si>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</si>
  <si>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</si>
  <si>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</si>
  <si>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</si>
  <si>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</si>
  <si>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</si>
  <si>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</si>
  <si>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</si>
  <si>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</si>
  <si>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</si>
  <si>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</si>
  <si>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</si>
  <si>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</si>
  <si>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</si>
  <si>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</si>
  <si>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</si>
  <si>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</si>
  <si>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</si>
  <si>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</si>
  <si>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</si>
  <si>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</si>
  <si>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</si>
  <si>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</si>
  <si>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</si>
  <si>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</si>
  <si>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</si>
  <si>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</si>
  <si>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</si>
  <si>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</si>
  <si>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</si>
  <si>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</si>
  <si>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</si>
  <si>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</si>
  <si>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</si>
  <si>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</si>
  <si>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</si>
  <si>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</si>
  <si>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</si>
  <si>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</si>
  <si>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</si>
  <si>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</si>
  <si>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</si>
  <si>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</si>
  <si>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</si>
  <si>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</si>
  <si>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</si>
  <si>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</si>
  <si>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</si>
  <si>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</si>
  <si>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</si>
  <si>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</si>
  <si>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</si>
  <si>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</si>
  <si>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</si>
  <si>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</si>
  <si>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</si>
  <si>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</si>
  <si>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</si>
  <si>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</si>
  <si>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</si>
  <si>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</si>
  <si>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</si>
  <si>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</si>
  <si>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</si>
  <si>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</si>
  <si>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</si>
  <si>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</si>
  <si>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</si>
  <si>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</si>
  <si>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</si>
  <si>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</si>
  <si>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</si>
  <si>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</si>
  <si>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</si>
  <si>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</si>
  <si>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</si>
  <si>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</si>
  <si>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</si>
  <si>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</si>
  <si>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</si>
  <si>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</si>
  <si>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</si>
  <si>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</si>
  <si>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</si>
  <si>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</si>
  <si>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</si>
  <si>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</si>
  <si>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</si>
  <si>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</si>
  <si>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</si>
  <si>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</si>
  <si>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</si>
  <si>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</si>
  <si>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</si>
  <si>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</si>
  <si>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</si>
  <si>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</si>
  <si>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</si>
  <si>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</si>
  <si>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</si>
  <si>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</si>
  <si>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</si>
  <si>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</si>
  <si>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</si>
  <si>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</si>
  <si>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</si>
  <si>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</si>
  <si>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</si>
  <si>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</si>
  <si>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</si>
  <si>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</si>
  <si>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</si>
  <si>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</si>
  <si>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</si>
  <si>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</si>
  <si>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</si>
  <si>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</si>
  <si>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</si>
  <si>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</si>
  <si>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</si>
  <si>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</si>
  <si>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</si>
  <si>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</si>
  <si>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</si>
  <si>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</si>
  <si>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</si>
  <si>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</si>
  <si>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</si>
  <si>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</si>
  <si>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</si>
  <si>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</si>
  <si>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</si>
  <si>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</si>
  <si>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</si>
  <si>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</si>
  <si>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</si>
  <si>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</si>
  <si>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</si>
  <si>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</si>
  <si>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</si>
  <si>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</si>
  <si>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</si>
  <si>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</si>
  <si>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</si>
  <si>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</si>
  <si>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</si>
  <si>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</si>
  <si>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</si>
  <si>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</si>
  <si>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</si>
  <si>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</si>
  <si>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</si>
  <si>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</si>
  <si>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</si>
  <si>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</si>
  <si>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</si>
  <si>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</si>
  <si>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</si>
  <si>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</si>
  <si>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</si>
  <si>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</si>
  <si>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</si>
  <si>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</si>
  <si>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</si>
  <si>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</si>
  <si>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</si>
  <si>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</si>
  <si>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</si>
  <si>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</si>
  <si>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</si>
  <si>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</si>
  <si>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</si>
  <si>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</si>
  <si>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</si>
  <si>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</si>
  <si>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</si>
  <si>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</si>
  <si>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</si>
  <si>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</si>
  <si>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</si>
  <si>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</si>
  <si>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</si>
  <si>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</si>
  <si>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</si>
  <si>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</si>
  <si>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</si>
  <si>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</si>
  <si>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</si>
  <si>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</si>
  <si>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</si>
  <si>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</si>
  <si>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</si>
  <si>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</si>
  <si>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</si>
  <si>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</si>
  <si>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</si>
  <si>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</si>
  <si>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</si>
  <si>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</si>
  <si>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</si>
  <si>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</si>
  <si>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</si>
  <si>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</si>
  <si>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</si>
  <si>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</si>
  <si>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</si>
  <si>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</si>
  <si>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</si>
  <si>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</si>
  <si>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</si>
  <si>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</si>
  <si>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</si>
  <si>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</si>
  <si>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</si>
  <si>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</si>
  <si>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</si>
  <si>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</si>
  <si>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</si>
  <si>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</si>
  <si>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</si>
  <si>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</si>
  <si>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</si>
  <si>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</si>
  <si>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</si>
  <si>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</si>
  <si>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</si>
  <si>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</si>
  <si>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</si>
  <si>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</si>
  <si>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</si>
  <si>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</si>
  <si>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</si>
  <si>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</si>
  <si>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</si>
  <si>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</si>
  <si>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</si>
  <si>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</si>
  <si>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</si>
  <si>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</si>
  <si>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</si>
  <si>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</si>
  <si>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</si>
  <si>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</si>
  <si>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</si>
  <si>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</si>
  <si>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</si>
  <si>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</si>
  <si>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</si>
  <si>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</si>
  <si>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</si>
  <si>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</si>
  <si>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</si>
  <si>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</si>
  <si>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</si>
  <si>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</si>
  <si>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</si>
  <si>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</si>
  <si>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</si>
  <si>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</si>
  <si>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</si>
  <si>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</si>
  <si>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</si>
  <si>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</si>
  <si>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</si>
  <si>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</si>
  <si>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</si>
  <si>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</si>
  <si>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</si>
  <si>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</si>
  <si>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</si>
  <si>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</si>
  <si>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</si>
  <si>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</si>
  <si>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</si>
  <si>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</si>
  <si>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</si>
  <si>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</si>
  <si>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</si>
  <si>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</si>
  <si>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</si>
  <si>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</si>
  <si>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</si>
  <si>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</si>
  <si>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</si>
  <si>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</si>
  <si>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</si>
  <si>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</si>
  <si>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</si>
  <si>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</si>
  <si>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</si>
  <si>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</si>
  <si>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</si>
  <si>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</si>
  <si>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</si>
  <si>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</si>
  <si>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</si>
  <si>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</si>
  <si>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</si>
  <si>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</si>
  <si>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</si>
  <si>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</si>
  <si>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</si>
  <si>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</si>
  <si>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</si>
  <si>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</si>
  <si>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</si>
  <si>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</si>
  <si>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</si>
  <si>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</si>
  <si>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</si>
  <si>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</si>
  <si>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</si>
  <si>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</si>
  <si>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</si>
  <si>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</si>
  <si>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</si>
  <si>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</si>
  <si>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</si>
  <si>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</si>
  <si>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</si>
  <si>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</si>
  <si>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</si>
  <si>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</si>
  <si>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</si>
  <si>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</si>
  <si>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</si>
  <si>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</si>
  <si>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</si>
  <si>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</si>
  <si>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</si>
  <si>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</si>
  <si>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</si>
  <si>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</si>
  <si>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</si>
  <si>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</si>
  <si>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</si>
  <si>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</si>
  <si>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</si>
  <si>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</si>
  <si>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</si>
  <si>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</si>
  <si>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</si>
  <si>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</si>
  <si>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</si>
  <si>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</si>
  <si>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</si>
  <si>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</si>
  <si>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</si>
  <si>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</si>
  <si>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</si>
  <si>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</si>
  <si>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</si>
  <si>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</si>
  <si>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</si>
  <si>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</si>
  <si>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</si>
  <si>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</si>
  <si>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</si>
  <si>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</si>
  <si>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</si>
  <si>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</si>
  <si>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</si>
  <si>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</si>
  <si>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</si>
  <si>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</si>
  <si>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</si>
  <si>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</si>
  <si>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</si>
  <si>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</si>
  <si>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</si>
  <si>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</si>
  <si>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</si>
  <si>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</si>
  <si>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</si>
  <si>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</si>
  <si>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</si>
  <si>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</si>
  <si>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</si>
  <si>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</si>
  <si>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</si>
  <si>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</si>
  <si>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</si>
  <si>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</si>
  <si>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</si>
  <si>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</si>
  <si>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</si>
  <si>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</si>
  <si>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</si>
  <si>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</si>
  <si>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</si>
  <si>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</si>
  <si>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</si>
  <si>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</si>
  <si>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</si>
  <si>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</si>
  <si>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</si>
  <si>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</si>
  <si>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</si>
  <si>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</si>
  <si>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</si>
  <si>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</si>
  <si>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</si>
  <si>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</si>
  <si>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</si>
  <si>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</si>
  <si>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</si>
  <si>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</si>
  <si>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</si>
  <si>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</si>
  <si>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</si>
  <si>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</si>
  <si>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</si>
  <si>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</si>
  <si>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</si>
  <si>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</si>
  <si>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</si>
  <si>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</si>
  <si>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</si>
  <si>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</si>
  <si>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</si>
  <si>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</si>
  <si>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</si>
  <si>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</si>
  <si>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</si>
  <si>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</si>
  <si>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</si>
  <si>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</si>
  <si>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</si>
  <si>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</si>
  <si>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</si>
  <si>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</si>
  <si>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</si>
  <si>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</si>
  <si>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</si>
  <si>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</si>
  <si>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</si>
  <si>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</si>
  <si>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</si>
  <si>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</si>
  <si>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</si>
  <si>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</si>
  <si>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</si>
  <si>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</si>
  <si>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</si>
  <si>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</si>
  <si>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</si>
  <si>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</si>
  <si>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</si>
  <si>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</si>
  <si>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</si>
  <si>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</si>
  <si>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</si>
  <si>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</si>
  <si>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</si>
  <si>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</si>
  <si>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</si>
  <si>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</si>
  <si>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</si>
  <si>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</si>
  <si>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</si>
  <si>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</si>
  <si>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</si>
  <si>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</si>
  <si>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</si>
  <si>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</si>
  <si>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</si>
  <si>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</si>
  <si>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</si>
  <si>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</si>
  <si>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</si>
  <si>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</si>
  <si>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</si>
  <si>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</si>
  <si>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</si>
  <si>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</si>
  <si>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Private Purpose Trusts (Scholarships)</t>
  </si>
  <si>
    <t>Permanent Funds</t>
  </si>
  <si>
    <t>07/06</t>
  </si>
  <si>
    <t>07/17</t>
  </si>
  <si>
    <t>08/21</t>
  </si>
  <si>
    <t>08/27</t>
  </si>
  <si>
    <t>Jaffrey-Rindge Cooperative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</si>
</sst>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6"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000000"/>
      <name val="Arial"/>
      <charset val="1"/>
    </font>
    <font>
      <sz val="10"/>
      <name val="Arial"/>
      <charset val="1"/>
    </font>
    <font>
      <sz val="10"/>
      <color rgb="FF000000"/>
      <name val="Arial"/>
      <family val="2"/>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xf numFmtId="0" fontId="63" fillId="0" borderId="0"/>
    <xf numFmtId="0" fontId="64" fillId="0" borderId="0"/>
    <xf numFmtId="0" fontId="65" fillId="0" borderId="0"/>
  </cellStyleXfs>
  <cellXfs count="35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0" fontId="3" fillId="0" borderId="0" xfId="0" applyNumberFormat="1" applyFont="1" applyProtection="1">
      <protection locked="0"/>
    </xf>
    <xf numFmtId="49" fontId="2" fillId="0" borderId="0" xfId="0" applyNumberFormat="1" applyFont="1" applyAlignment="1" applyProtection="1">
      <alignment horizontal="left"/>
      <protection locked="0"/>
    </xf>
    <xf numFmtId="40" fontId="0" fillId="5" borderId="0" xfId="0" applyNumberFormat="1" applyFill="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2 2" xfId="45"/>
    <cellStyle name="Normal 3" xfId="44"/>
    <cellStyle name="Normal 4" xfId="43"/>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P659" sqref="P65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1615</v>
      </c>
      <c r="B2" s="21">
        <v>274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1413036.25+3980</f>
        <v>1417016.25</v>
      </c>
      <c r="G9" s="18">
        <v>237.03</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2654912.35</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130462.8</v>
      </c>
      <c r="G12" s="18">
        <v>16701.93</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143080.97</v>
      </c>
      <c r="G13" s="18">
        <v>12520.73</v>
      </c>
      <c r="H13" s="18">
        <v>147427.34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7626.62</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23869.1</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8896.5</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1707083.1400000001</v>
      </c>
      <c r="G19" s="41">
        <f>SUM(G9:G18)</f>
        <v>53328.789999999994</v>
      </c>
      <c r="H19" s="41">
        <f>SUM(H9:H18)</f>
        <v>147427.34</v>
      </c>
      <c r="I19" s="41">
        <f>SUM(I9:I18)</f>
        <v>0</v>
      </c>
      <c r="J19" s="41">
        <f>SUM(J9:J18)</f>
        <v>2654912.35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147164.73000000001</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262.61</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353534.65</v>
      </c>
      <c r="G24" s="18">
        <v>1261.19</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v>8210</v>
      </c>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27756.35+2123.39+2691.41+15790.47</f>
        <v>48361.619999999995</v>
      </c>
      <c r="G28" s="18">
        <v>32.299999999999997</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18224.669999999998</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401896.27</v>
      </c>
      <c r="G32" s="41">
        <f>SUM(G22:G31)</f>
        <v>27728.159999999996</v>
      </c>
      <c r="H32" s="41">
        <f>SUM(H22:H31)</f>
        <v>147427.34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23869.1</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8896.5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1731.53</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2654912.35</v>
      </c>
      <c r="K43" s="24" t="s">
        <v>288</v>
      </c>
      <c r="L43" s="24" t="s">
        <v>288</v>
      </c>
      <c r="M43" s="8"/>
      <c r="N43" s="266"/>
    </row>
    <row r="44" spans="1:14" s="3" customFormat="1" ht="12.2" customHeight="1" x14ac:dyDescent="0.15">
      <c r="A44" s="1" t="s">
        <v>837</v>
      </c>
      <c r="B44" s="6">
        <v>1</v>
      </c>
      <c r="C44" s="6">
        <v>30</v>
      </c>
      <c r="D44" s="2" t="s">
        <v>653</v>
      </c>
      <c r="E44" s="6">
        <v>755</v>
      </c>
      <c r="F44" s="18">
        <v>200000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250000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v>5000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1091290.37-250000</f>
        <v>841290.37000000011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1305186.8700000001</v>
      </c>
      <c r="G51" s="41">
        <f>SUM(G35:G50)</f>
        <v>25600.629999999997</v>
      </c>
      <c r="H51" s="41">
        <f>SUM(H35:H50)</f>
        <v>0</v>
      </c>
      <c r="I51" s="41">
        <f>SUM(I35:I50)</f>
        <v>0</v>
      </c>
      <c r="J51" s="41">
        <f>SUM(J35:J50)</f>
        <v>2654912.35</v>
      </c>
      <c r="K51" s="45" t="s">
        <v>288</v>
      </c>
      <c r="L51" s="45" t="s">
        <v>288</v>
      </c>
      <c r="N51" s="264"/>
    </row>
    <row r="52" spans="1:14" s="3" customFormat="1" ht="12.2" customHeight="1" thickTop="1" x14ac:dyDescent="0.15">
      <c r="A52" s="38" t="s">
        <v>455</v>
      </c>
      <c r="B52" s="39" t="s">
        <v>289</v>
      </c>
      <c r="C52" s="6">
        <v>37</v>
      </c>
      <c r="D52" s="39" t="s">
        <v>653</v>
      </c>
      <c r="E52" s="39"/>
      <c r="F52" s="41">
        <f>F51+F32</f>
        <v>1707083.1400000001</v>
      </c>
      <c r="G52" s="41">
        <f>G51+G32</f>
        <v>53328.789999999994</v>
      </c>
      <c r="H52" s="41">
        <f>H51+H32</f>
        <v>147427.34</v>
      </c>
      <c r="I52" s="41">
        <f>I51+I32</f>
        <v>0</v>
      </c>
      <c r="J52" s="41">
        <f>J51+J32</f>
        <v>2654912.35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15143589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15143589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62190.74</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3154.43</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15122.56</v>
      </c>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80467.73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22866.080000000002</v>
      </c>
      <c r="G96" s="18"/>
      <c r="H96" s="18"/>
      <c r="I96" s="18"/>
      <c r="J96" s="18">
        <f>77017.41+52164.89</f>
        <v>129182.3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289938.56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2395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131267.35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51180.18+55220.85</f>
        <v>106401.03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262929.45999999996</v>
      </c>
      <c r="G111" s="41">
        <f>SUM(G96:G110)</f>
        <v>289938.56</v>
      </c>
      <c r="H111" s="41">
        <f>SUM(H96:H110)</f>
        <v>0</v>
      </c>
      <c r="I111" s="41">
        <f>SUM(I96:I110)</f>
        <v>0</v>
      </c>
      <c r="J111" s="41">
        <f>SUM(J96:J110)</f>
        <v>129182.3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15486986.190000001</v>
      </c>
      <c r="G112" s="41">
        <f>G60+G111</f>
        <v>289938.56</v>
      </c>
      <c r="H112" s="41">
        <f>H60+H79+H94+H111</f>
        <v>0</v>
      </c>
      <c r="I112" s="41">
        <f>I60+I111</f>
        <v>0</v>
      </c>
      <c r="J112" s="41">
        <f>J60+J111</f>
        <v>129182.3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4696913.08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2109498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469.46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6806880.54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325898.36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124976.83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396406.05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13747.75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3324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7166.71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179309.5</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1043662.49</v>
      </c>
      <c r="G136" s="41">
        <f>SUM(G123:G135)</f>
        <v>7166.71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7850543.0300000003</v>
      </c>
      <c r="G140" s="41">
        <f>G121+SUM(G136:G137)</f>
        <v>7166.71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320581.33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40662.93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201579.02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357575.43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145935.72</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145935.72</v>
      </c>
      <c r="G162" s="41">
        <f>SUM(G150:G161)</f>
        <v>201579.02</v>
      </c>
      <c r="H162" s="41">
        <f>SUM(H150:H161)</f>
        <v>718819.69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145935.72</v>
      </c>
      <c r="G169" s="41">
        <f>G147+G162+SUM(G163:G168)</f>
        <v>201579.02</v>
      </c>
      <c r="H169" s="41">
        <f>H147+H162+SUM(H163:H168)</f>
        <v>718819.69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250000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8000</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8000</v>
      </c>
      <c r="G183" s="41">
        <f>SUM(G179:G182)</f>
        <v>0</v>
      </c>
      <c r="H183" s="41">
        <f>SUM(H179:H182)</f>
        <v>0</v>
      </c>
      <c r="I183" s="41">
        <f>SUM(I179:I182)</f>
        <v>0</v>
      </c>
      <c r="J183" s="41">
        <f>SUM(J179:J182)</f>
        <v>250000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8000</v>
      </c>
      <c r="G192" s="41">
        <f>G183+SUM(G188:G191)</f>
        <v>0</v>
      </c>
      <c r="H192" s="41">
        <f>+H183+SUM(H188:H191)</f>
        <v>0</v>
      </c>
      <c r="I192" s="41">
        <f>I177+I183+SUM(I188:I191)</f>
        <v>0</v>
      </c>
      <c r="J192" s="41">
        <f>J183</f>
        <v>250000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23491464.940000001</v>
      </c>
      <c r="G193" s="47">
        <f>G112+G140+G169+G192</f>
        <v>498684.29000000004</v>
      </c>
      <c r="H193" s="47">
        <f>H112+H140+H169+H192</f>
        <v>718819.69</v>
      </c>
      <c r="I193" s="47">
        <f>I112+I140+I169+I192</f>
        <v>0</v>
      </c>
      <c r="J193" s="47">
        <f>J112+J140+J192</f>
        <v>379182.3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2696012.55</v>
      </c>
      <c r="G197" s="18">
        <f>1424335.48-0.01</f>
        <v>1424335.47</v>
      </c>
      <c r="H197" s="18">
        <v>13330.83</v>
      </c>
      <c r="I197" s="18">
        <v>93398.84</v>
      </c>
      <c r="J197" s="18">
        <v>4227.68</v>
      </c>
      <c r="K197" s="18">
        <v>90</v>
      </c>
      <c r="L197" s="19">
        <f>SUM(F197:K197)</f>
        <v>4231395.3699999992</v>
      </c>
      <c r="M197" s="8"/>
      <c r="N197" s="266"/>
    </row>
    <row r="198" spans="1:14" s="3" customFormat="1" ht="12.2" customHeight="1" x14ac:dyDescent="0.15">
      <c r="A198" s="1" t="s">
        <v>439</v>
      </c>
      <c r="B198" s="2" t="s">
        <v>341</v>
      </c>
      <c r="C198" s="2" t="s">
        <v>291</v>
      </c>
      <c r="D198" s="2" t="s">
        <v>431</v>
      </c>
      <c r="E198" s="6">
        <v>1200</v>
      </c>
      <c r="F198" s="18">
        <f>1419516.22+0.01</f>
        <v>1419516.23</v>
      </c>
      <c r="G198" s="18">
        <v>672784.71</v>
      </c>
      <c r="H198" s="18">
        <v>113300.82</v>
      </c>
      <c r="I198" s="18">
        <f>11683.92+0.01</f>
        <v>11683.93</v>
      </c>
      <c r="J198" s="18">
        <v>1206.92</v>
      </c>
      <c r="K198" s="18">
        <v>13911.81</v>
      </c>
      <c r="L198" s="19">
        <f>SUM(F198:K198)</f>
        <v>2232404.42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84481.75</v>
      </c>
      <c r="G200" s="18">
        <v>18222.86</v>
      </c>
      <c r="H200" s="18"/>
      <c r="I200" s="18">
        <v>940.75</v>
      </c>
      <c r="J200" s="18"/>
      <c r="K200" s="18"/>
      <c r="L200" s="19">
        <f>SUM(F200:K200)</f>
        <v>103645.36</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361154.84-0.01</f>
        <v>361154.83</v>
      </c>
      <c r="G202" s="18">
        <v>160985.73000000001</v>
      </c>
      <c r="H202" s="18">
        <v>31578.17</v>
      </c>
      <c r="I202" s="18">
        <v>6865.25</v>
      </c>
      <c r="J202" s="18"/>
      <c r="K202" s="18">
        <v>50</v>
      </c>
      <c r="L202" s="19">
        <f t="shared" ref="L202:L208" si="0">SUM(F202:K202)</f>
        <v>560633.9800000001</v>
      </c>
      <c r="M202" s="8"/>
      <c r="N202" s="266"/>
    </row>
    <row r="203" spans="1:14" s="3" customFormat="1" ht="12.2" customHeight="1" x14ac:dyDescent="0.15">
      <c r="A203" s="1" t="s">
        <v>443</v>
      </c>
      <c r="B203" s="2" t="s">
        <v>341</v>
      </c>
      <c r="C203" s="2" t="s">
        <v>295</v>
      </c>
      <c r="D203" s="2" t="s">
        <v>431</v>
      </c>
      <c r="E203" s="6">
        <v>2200</v>
      </c>
      <c r="F203" s="18">
        <v>196244.83</v>
      </c>
      <c r="G203" s="18">
        <f>71720.94+0.01</f>
        <v>71720.95</v>
      </c>
      <c r="H203" s="18">
        <v>17598.98</v>
      </c>
      <c r="I203" s="18">
        <f>17565.6-0.01</f>
        <v>17565.59</v>
      </c>
      <c r="J203" s="18"/>
      <c r="K203" s="18">
        <v>1465.1</v>
      </c>
      <c r="L203" s="19">
        <f t="shared" si="0"/>
        <v>304595.44999999995</v>
      </c>
      <c r="M203" s="8"/>
      <c r="N203" s="266"/>
    </row>
    <row r="204" spans="1:14" s="3" customFormat="1" ht="12.2" customHeight="1" x14ac:dyDescent="0.15">
      <c r="A204" s="1" t="s">
        <v>444</v>
      </c>
      <c r="B204" s="2" t="s">
        <v>341</v>
      </c>
      <c r="C204" s="2" t="s">
        <v>296</v>
      </c>
      <c r="D204" s="2" t="s">
        <v>431</v>
      </c>
      <c r="E204" s="6">
        <v>2300</v>
      </c>
      <c r="F204" s="18">
        <v>114031.4</v>
      </c>
      <c r="G204" s="18">
        <v>35406.43</v>
      </c>
      <c r="H204" s="18">
        <v>46907.79</v>
      </c>
      <c r="I204" s="18">
        <v>567.55999999999995</v>
      </c>
      <c r="J204" s="18"/>
      <c r="K204" s="18">
        <v>5392.67</v>
      </c>
      <c r="L204" s="19">
        <f t="shared" si="0"/>
        <v>202305.85</v>
      </c>
      <c r="M204" s="8"/>
      <c r="N204" s="266"/>
    </row>
    <row r="205" spans="1:14" s="3" customFormat="1" ht="12.2" customHeight="1" x14ac:dyDescent="0.15">
      <c r="A205" s="1" t="s">
        <v>445</v>
      </c>
      <c r="B205" s="2" t="s">
        <v>341</v>
      </c>
      <c r="C205" s="2" t="s">
        <v>297</v>
      </c>
      <c r="D205" s="2" t="s">
        <v>431</v>
      </c>
      <c r="E205" s="6">
        <v>2400</v>
      </c>
      <c r="F205" s="18">
        <v>372633.96</v>
      </c>
      <c r="G205" s="18">
        <v>157384.53</v>
      </c>
      <c r="H205" s="18">
        <v>12161.51</v>
      </c>
      <c r="I205" s="18">
        <v>2623.14</v>
      </c>
      <c r="J205" s="18">
        <v>604.55999999999995</v>
      </c>
      <c r="K205" s="18">
        <v>3542</v>
      </c>
      <c r="L205" s="19">
        <f t="shared" si="0"/>
        <v>548949.70000000007</v>
      </c>
      <c r="M205" s="8"/>
      <c r="N205" s="266"/>
    </row>
    <row r="206" spans="1:14" s="3" customFormat="1" ht="12.2" customHeight="1" x14ac:dyDescent="0.15">
      <c r="A206" s="1" t="s">
        <v>446</v>
      </c>
      <c r="B206" s="2" t="s">
        <v>341</v>
      </c>
      <c r="C206" s="2" t="s">
        <v>298</v>
      </c>
      <c r="D206" s="2" t="s">
        <v>431</v>
      </c>
      <c r="E206" s="6">
        <v>2500</v>
      </c>
      <c r="F206" s="18">
        <v>165497.9</v>
      </c>
      <c r="G206" s="18">
        <v>65439.5</v>
      </c>
      <c r="H206" s="18">
        <v>50925.18</v>
      </c>
      <c r="I206" s="18">
        <f>2353.28+0.01</f>
        <v>2353.2900000000004</v>
      </c>
      <c r="J206" s="18">
        <v>984.31</v>
      </c>
      <c r="K206" s="18">
        <v>10268.049999999999</v>
      </c>
      <c r="L206" s="19">
        <f t="shared" si="0"/>
        <v>295468.23</v>
      </c>
      <c r="M206" s="8"/>
      <c r="N206" s="266"/>
    </row>
    <row r="207" spans="1:14" s="3" customFormat="1" ht="12.2" customHeight="1" x14ac:dyDescent="0.15">
      <c r="A207" s="1" t="s">
        <v>447</v>
      </c>
      <c r="B207" s="2" t="s">
        <v>341</v>
      </c>
      <c r="C207" s="2" t="s">
        <v>299</v>
      </c>
      <c r="D207" s="2" t="s">
        <v>431</v>
      </c>
      <c r="E207" s="6">
        <v>2600</v>
      </c>
      <c r="F207" s="18">
        <v>333469.11</v>
      </c>
      <c r="G207" s="18">
        <f>166579.32-0.01</f>
        <v>166579.31</v>
      </c>
      <c r="H207" s="18">
        <f>396114.88+0.01</f>
        <v>396114.89</v>
      </c>
      <c r="I207" s="18">
        <f>162488.39+0.01</f>
        <v>162488.40000000002</v>
      </c>
      <c r="J207" s="18">
        <v>157266.26999999999</v>
      </c>
      <c r="K207" s="18"/>
      <c r="L207" s="19">
        <f t="shared" si="0"/>
        <v>1215917.98</v>
      </c>
      <c r="M207" s="8"/>
      <c r="N207" s="266"/>
    </row>
    <row r="208" spans="1:14" s="3" customFormat="1" ht="12.2" customHeight="1" x14ac:dyDescent="0.15">
      <c r="A208" s="1" t="s">
        <v>448</v>
      </c>
      <c r="B208" s="2" t="s">
        <v>341</v>
      </c>
      <c r="C208" s="2" t="s">
        <v>300</v>
      </c>
      <c r="D208" s="2" t="s">
        <v>431</v>
      </c>
      <c r="E208" s="6">
        <v>2700</v>
      </c>
      <c r="F208" s="18"/>
      <c r="G208" s="18"/>
      <c r="H208" s="18">
        <v>524060.05</v>
      </c>
      <c r="I208" s="18">
        <v>55508.92</v>
      </c>
      <c r="J208" s="18"/>
      <c r="K208" s="18"/>
      <c r="L208" s="19">
        <f t="shared" si="0"/>
        <v>579568.97</v>
      </c>
      <c r="M208" s="8"/>
      <c r="N208" s="266"/>
    </row>
    <row r="209" spans="1:14" s="3" customFormat="1" ht="12.2" customHeight="1" x14ac:dyDescent="0.15">
      <c r="A209" s="1" t="s">
        <v>449</v>
      </c>
      <c r="B209" s="2" t="s">
        <v>341</v>
      </c>
      <c r="C209" s="2" t="s">
        <v>343</v>
      </c>
      <c r="D209" s="2" t="s">
        <v>431</v>
      </c>
      <c r="E209" s="6">
        <v>2800</v>
      </c>
      <c r="F209" s="18">
        <v>72722.23</v>
      </c>
      <c r="G209" s="18">
        <v>27138.560000000001</v>
      </c>
      <c r="H209" s="18">
        <v>79679.740000000005</v>
      </c>
      <c r="I209" s="18">
        <f>73370.39+0.01</f>
        <v>73370.399999999994</v>
      </c>
      <c r="J209" s="18">
        <v>89812.54</v>
      </c>
      <c r="K209" s="18"/>
      <c r="L209" s="19">
        <f>SUM(F209:K209)</f>
        <v>342723.47</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5815764.790000001</v>
      </c>
      <c r="G211" s="41">
        <f t="shared" si="1"/>
        <v>2799998.0500000003</v>
      </c>
      <c r="H211" s="41">
        <f t="shared" si="1"/>
        <v>1285657.96</v>
      </c>
      <c r="I211" s="41">
        <f t="shared" si="1"/>
        <v>427366.06999999995</v>
      </c>
      <c r="J211" s="41">
        <f t="shared" si="1"/>
        <v>254102.27999999997</v>
      </c>
      <c r="K211" s="41">
        <f t="shared" si="1"/>
        <v>34719.630000000005</v>
      </c>
      <c r="L211" s="41">
        <f t="shared" si="1"/>
        <v>10617608.780000001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984802.55</v>
      </c>
      <c r="G215" s="18">
        <v>449359.07</v>
      </c>
      <c r="H215" s="18">
        <v>27726.45</v>
      </c>
      <c r="I215" s="18">
        <v>19602.8</v>
      </c>
      <c r="J215" s="18">
        <v>8163.67</v>
      </c>
      <c r="K215" s="18">
        <v>120</v>
      </c>
      <c r="L215" s="19">
        <f>SUM(F215:K215)</f>
        <v>1489774.54</v>
      </c>
      <c r="M215" s="8"/>
      <c r="N215" s="266"/>
    </row>
    <row r="216" spans="1:14" s="3" customFormat="1" ht="12.2" customHeight="1" x14ac:dyDescent="0.15">
      <c r="A216" s="1" t="s">
        <v>439</v>
      </c>
      <c r="B216" s="2" t="s">
        <v>346</v>
      </c>
      <c r="C216" s="2" t="s">
        <v>291</v>
      </c>
      <c r="D216" s="2" t="s">
        <v>431</v>
      </c>
      <c r="E216" s="6">
        <v>1200</v>
      </c>
      <c r="F216" s="18">
        <v>621613.4</v>
      </c>
      <c r="G216" s="18">
        <v>339107.85</v>
      </c>
      <c r="H216" s="18">
        <v>544783.18999999994</v>
      </c>
      <c r="I216" s="18">
        <v>4362.84</v>
      </c>
      <c r="J216" s="18"/>
      <c r="K216" s="18">
        <v>6530.03</v>
      </c>
      <c r="L216" s="19">
        <f>SUM(F216:K216)</f>
        <v>1516397.31</v>
      </c>
      <c r="M216" s="8"/>
      <c r="N216" s="266"/>
    </row>
    <row r="217" spans="1:14" s="3" customFormat="1" ht="12.2" customHeight="1" x14ac:dyDescent="0.15">
      <c r="A217" s="1" t="s">
        <v>440</v>
      </c>
      <c r="B217" s="2" t="s">
        <v>346</v>
      </c>
      <c r="C217" s="2" t="s">
        <v>292</v>
      </c>
      <c r="D217" s="2" t="s">
        <v>431</v>
      </c>
      <c r="E217" s="6">
        <v>1300</v>
      </c>
      <c r="F217" s="18">
        <v>162950</v>
      </c>
      <c r="G217" s="18">
        <v>64705.89</v>
      </c>
      <c r="H217" s="18"/>
      <c r="I217" s="18">
        <v>5245.54</v>
      </c>
      <c r="J217" s="18">
        <v>299.99</v>
      </c>
      <c r="K217" s="18"/>
      <c r="L217" s="19">
        <f>SUM(F217:K217)</f>
        <v>233201.42</v>
      </c>
      <c r="M217" s="8"/>
      <c r="N217" s="266"/>
    </row>
    <row r="218" spans="1:14" s="3" customFormat="1" ht="12.2" customHeight="1" x14ac:dyDescent="0.15">
      <c r="A218" s="1" t="s">
        <v>441</v>
      </c>
      <c r="B218" s="2" t="s">
        <v>346</v>
      </c>
      <c r="C218" s="2" t="s">
        <v>293</v>
      </c>
      <c r="D218" s="2" t="s">
        <v>431</v>
      </c>
      <c r="E218" s="6">
        <v>1400</v>
      </c>
      <c r="F218" s="18">
        <v>56789.8</v>
      </c>
      <c r="G218" s="18">
        <v>8246.86</v>
      </c>
      <c r="H218" s="18">
        <v>4103</v>
      </c>
      <c r="I218" s="18">
        <v>3461.8</v>
      </c>
      <c r="J218" s="18"/>
      <c r="K218" s="18">
        <v>841</v>
      </c>
      <c r="L218" s="19">
        <f>SUM(F218:K218)</f>
        <v>73442.460000000006</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173157.96</v>
      </c>
      <c r="G220" s="18">
        <v>87490.19</v>
      </c>
      <c r="H220" s="18">
        <v>17897.240000000002</v>
      </c>
      <c r="I220" s="18">
        <v>1852.48</v>
      </c>
      <c r="J220" s="18"/>
      <c r="K220" s="18"/>
      <c r="L220" s="19">
        <f t="shared" ref="L220:L226" si="2">SUM(F220:K220)</f>
        <v>280397.87</v>
      </c>
      <c r="M220" s="8"/>
      <c r="N220" s="266"/>
    </row>
    <row r="221" spans="1:14" s="3" customFormat="1" ht="12.2" customHeight="1" x14ac:dyDescent="0.15">
      <c r="A221" s="1" t="s">
        <v>443</v>
      </c>
      <c r="B221" s="2" t="s">
        <v>346</v>
      </c>
      <c r="C221" s="2" t="s">
        <v>295</v>
      </c>
      <c r="D221" s="2" t="s">
        <v>431</v>
      </c>
      <c r="E221" s="6">
        <v>2200</v>
      </c>
      <c r="F221" s="18">
        <v>107846.03</v>
      </c>
      <c r="G221" s="18">
        <v>43681.440000000002</v>
      </c>
      <c r="H221" s="18">
        <v>8260.74</v>
      </c>
      <c r="I221" s="18">
        <v>8519.02</v>
      </c>
      <c r="J221" s="18"/>
      <c r="K221" s="18">
        <v>687.7</v>
      </c>
      <c r="L221" s="19">
        <f t="shared" si="2"/>
        <v>168994.93</v>
      </c>
      <c r="M221" s="8"/>
      <c r="N221" s="266"/>
    </row>
    <row r="222" spans="1:14" s="3" customFormat="1" ht="12.2" customHeight="1" x14ac:dyDescent="0.15">
      <c r="A222" s="1" t="s">
        <v>444</v>
      </c>
      <c r="B222" s="2" t="s">
        <v>346</v>
      </c>
      <c r="C222" s="2" t="s">
        <v>296</v>
      </c>
      <c r="D222" s="2" t="s">
        <v>431</v>
      </c>
      <c r="E222" s="6">
        <v>2300</v>
      </c>
      <c r="F222" s="18">
        <v>53524.94</v>
      </c>
      <c r="G222" s="18">
        <v>16619.34</v>
      </c>
      <c r="H222" s="18">
        <v>22017.94</v>
      </c>
      <c r="I222" s="18">
        <v>266.39999999999998</v>
      </c>
      <c r="J222" s="18"/>
      <c r="K222" s="18">
        <v>2531.25</v>
      </c>
      <c r="L222" s="19">
        <f t="shared" si="2"/>
        <v>94959.87</v>
      </c>
      <c r="M222" s="8"/>
      <c r="N222" s="266"/>
    </row>
    <row r="223" spans="1:14" s="3" customFormat="1" ht="12.2" customHeight="1" x14ac:dyDescent="0.15">
      <c r="A223" s="1" t="s">
        <v>445</v>
      </c>
      <c r="B223" s="2" t="s">
        <v>346</v>
      </c>
      <c r="C223" s="2" t="s">
        <v>297</v>
      </c>
      <c r="D223" s="2" t="s">
        <v>431</v>
      </c>
      <c r="E223" s="6">
        <v>2400</v>
      </c>
      <c r="F223" s="18">
        <v>197708.41</v>
      </c>
      <c r="G223" s="18">
        <v>94937.26</v>
      </c>
      <c r="H223" s="18">
        <v>5680.32</v>
      </c>
      <c r="I223" s="18">
        <v>1308.68</v>
      </c>
      <c r="J223" s="18"/>
      <c r="K223" s="18">
        <v>1457.75</v>
      </c>
      <c r="L223" s="19">
        <f t="shared" si="2"/>
        <v>301092.42</v>
      </c>
      <c r="M223" s="8"/>
      <c r="N223" s="266"/>
    </row>
    <row r="224" spans="1:14" s="3" customFormat="1" ht="12.2" customHeight="1" x14ac:dyDescent="0.15">
      <c r="A224" s="1" t="s">
        <v>446</v>
      </c>
      <c r="B224" s="2" t="s">
        <v>346</v>
      </c>
      <c r="C224" s="2" t="s">
        <v>298</v>
      </c>
      <c r="D224" s="2" t="s">
        <v>431</v>
      </c>
      <c r="E224" s="6">
        <v>2500</v>
      </c>
      <c r="F224" s="18">
        <v>77682.69</v>
      </c>
      <c r="G224" s="18">
        <v>30716.5</v>
      </c>
      <c r="H224" s="18">
        <v>23903.65</v>
      </c>
      <c r="I224" s="18">
        <v>1104.5999999999999</v>
      </c>
      <c r="J224" s="18">
        <v>462.02</v>
      </c>
      <c r="K224" s="18">
        <v>4819.7</v>
      </c>
      <c r="L224" s="19">
        <f t="shared" si="2"/>
        <v>138689.16</v>
      </c>
      <c r="M224" s="8"/>
      <c r="N224" s="266"/>
    </row>
    <row r="225" spans="1:14" s="3" customFormat="1" ht="12.2" customHeight="1" x14ac:dyDescent="0.15">
      <c r="A225" s="1" t="s">
        <v>447</v>
      </c>
      <c r="B225" s="2" t="s">
        <v>346</v>
      </c>
      <c r="C225" s="2" t="s">
        <v>299</v>
      </c>
      <c r="D225" s="2" t="s">
        <v>431</v>
      </c>
      <c r="E225" s="6">
        <v>2600</v>
      </c>
      <c r="F225" s="18">
        <v>128702.49</v>
      </c>
      <c r="G225" s="18">
        <v>50012.33</v>
      </c>
      <c r="H225" s="18">
        <v>111062</v>
      </c>
      <c r="I225" s="18">
        <v>97310.9</v>
      </c>
      <c r="J225" s="18">
        <v>57049.11</v>
      </c>
      <c r="K225" s="18"/>
      <c r="L225" s="19">
        <f t="shared" si="2"/>
        <v>444136.82999999996</v>
      </c>
      <c r="M225" s="8"/>
      <c r="N225" s="266"/>
    </row>
    <row r="226" spans="1:14" s="3" customFormat="1" ht="12.2" customHeight="1" x14ac:dyDescent="0.15">
      <c r="A226" s="1" t="s">
        <v>448</v>
      </c>
      <c r="B226" s="2" t="s">
        <v>346</v>
      </c>
      <c r="C226" s="2" t="s">
        <v>300</v>
      </c>
      <c r="D226" s="2" t="s">
        <v>431</v>
      </c>
      <c r="E226" s="6">
        <v>2700</v>
      </c>
      <c r="F226" s="18"/>
      <c r="G226" s="18"/>
      <c r="H226" s="18">
        <v>287393.19</v>
      </c>
      <c r="I226" s="18">
        <v>26055.21</v>
      </c>
      <c r="J226" s="18"/>
      <c r="K226" s="18"/>
      <c r="L226" s="19">
        <f t="shared" si="2"/>
        <v>313448.40000000002</v>
      </c>
      <c r="M226" s="8"/>
      <c r="N226" s="266"/>
    </row>
    <row r="227" spans="1:14" s="3" customFormat="1" ht="12.2" customHeight="1" x14ac:dyDescent="0.15">
      <c r="A227" s="1" t="s">
        <v>449</v>
      </c>
      <c r="B227" s="2" t="s">
        <v>346</v>
      </c>
      <c r="C227" s="2" t="s">
        <v>343</v>
      </c>
      <c r="D227" s="2" t="s">
        <v>431</v>
      </c>
      <c r="E227" s="6">
        <v>2800</v>
      </c>
      <c r="F227" s="18">
        <v>34134.93</v>
      </c>
      <c r="G227" s="18">
        <v>12738.51</v>
      </c>
      <c r="H227" s="18">
        <v>37400.69</v>
      </c>
      <c r="I227" s="18">
        <v>30131.39</v>
      </c>
      <c r="J227" s="18">
        <v>40963.21</v>
      </c>
      <c r="K227" s="18"/>
      <c r="L227" s="19">
        <f>SUM(F227:K227)</f>
        <v>155368.73000000001</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2598913.2000000007</v>
      </c>
      <c r="G229" s="41">
        <f>SUM(G215:G228)</f>
        <v>1197615.2399999998</v>
      </c>
      <c r="H229" s="41">
        <f>SUM(H215:H228)</f>
        <v>1090228.4099999997</v>
      </c>
      <c r="I229" s="41">
        <f>SUM(I215:I228)</f>
        <v>199221.65999999997</v>
      </c>
      <c r="J229" s="41">
        <f>SUM(J215:J228)</f>
        <v>106938</v>
      </c>
      <c r="K229" s="41">
        <f t="shared" si="3"/>
        <v>16987.43</v>
      </c>
      <c r="L229" s="41">
        <f t="shared" si="3"/>
        <v>5209903.9400000013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1337988.1000000001</v>
      </c>
      <c r="G233" s="18">
        <v>639915.25</v>
      </c>
      <c r="H233" s="18">
        <v>16978.43</v>
      </c>
      <c r="I233" s="18">
        <v>41106.21</v>
      </c>
      <c r="J233" s="18">
        <v>7360.08</v>
      </c>
      <c r="K233" s="18">
        <v>3565</v>
      </c>
      <c r="L233" s="19">
        <f>SUM(F233:K233)</f>
        <v>2046913.07</v>
      </c>
      <c r="M233" s="8"/>
      <c r="N233" s="266"/>
    </row>
    <row r="234" spans="1:14" s="3" customFormat="1" ht="12.2" customHeight="1" x14ac:dyDescent="0.15">
      <c r="A234" s="1" t="s">
        <v>439</v>
      </c>
      <c r="B234" s="2" t="s">
        <v>350</v>
      </c>
      <c r="C234" s="2" t="s">
        <v>291</v>
      </c>
      <c r="D234" s="2" t="s">
        <v>431</v>
      </c>
      <c r="E234" s="6">
        <v>1200</v>
      </c>
      <c r="F234" s="18">
        <v>871024.89</v>
      </c>
      <c r="G234" s="18">
        <v>407646.2</v>
      </c>
      <c r="H234" s="18">
        <v>635570.37</v>
      </c>
      <c r="I234" s="18">
        <v>7739.71</v>
      </c>
      <c r="J234" s="18"/>
      <c r="K234" s="18">
        <v>7949.6</v>
      </c>
      <c r="L234" s="19">
        <f>SUM(F234:K234)</f>
        <v>1929930.77</v>
      </c>
      <c r="M234" s="8"/>
      <c r="N234" s="266"/>
    </row>
    <row r="235" spans="1:14" s="3" customFormat="1" ht="12.2" customHeight="1" x14ac:dyDescent="0.15">
      <c r="A235" s="1" t="s">
        <v>440</v>
      </c>
      <c r="B235" s="2" t="s">
        <v>350</v>
      </c>
      <c r="C235" s="2" t="s">
        <v>292</v>
      </c>
      <c r="D235" s="2" t="s">
        <v>431</v>
      </c>
      <c r="E235" s="6">
        <v>1300</v>
      </c>
      <c r="F235" s="18">
        <v>103900</v>
      </c>
      <c r="G235" s="18">
        <v>44857.02</v>
      </c>
      <c r="H235" s="18">
        <v>25303.58</v>
      </c>
      <c r="I235" s="18">
        <v>11118.44</v>
      </c>
      <c r="J235" s="18"/>
      <c r="K235" s="18"/>
      <c r="L235" s="19">
        <f>SUM(F235:K235)</f>
        <v>185179.03999999998</v>
      </c>
      <c r="M235" s="8"/>
      <c r="N235" s="266"/>
    </row>
    <row r="236" spans="1:14" s="3" customFormat="1" ht="12.2" customHeight="1" x14ac:dyDescent="0.15">
      <c r="A236" s="1" t="s">
        <v>441</v>
      </c>
      <c r="B236" s="2" t="s">
        <v>350</v>
      </c>
      <c r="C236" s="2" t="s">
        <v>293</v>
      </c>
      <c r="D236" s="2" t="s">
        <v>431</v>
      </c>
      <c r="E236" s="6">
        <v>1400</v>
      </c>
      <c r="F236" s="18">
        <v>131940.70000000001</v>
      </c>
      <c r="G236" s="18">
        <v>16815.84</v>
      </c>
      <c r="H236" s="18">
        <v>25863.32</v>
      </c>
      <c r="I236" s="18">
        <v>10474.35</v>
      </c>
      <c r="J236" s="18"/>
      <c r="K236" s="18">
        <v>8724.5</v>
      </c>
      <c r="L236" s="19">
        <f>SUM(F236:K236)</f>
        <v>193818.71000000002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280562.34000000003</v>
      </c>
      <c r="G238" s="18">
        <v>121532.45</v>
      </c>
      <c r="H238" s="18">
        <v>32598.23</v>
      </c>
      <c r="I238" s="18">
        <v>13773.7</v>
      </c>
      <c r="J238" s="18"/>
      <c r="K238" s="18">
        <v>100</v>
      </c>
      <c r="L238" s="19">
        <f t="shared" ref="L238:L244" si="4">SUM(F238:K238)</f>
        <v>448566.72000000003</v>
      </c>
      <c r="M238" s="8"/>
      <c r="N238" s="266"/>
    </row>
    <row r="239" spans="1:14" s="3" customFormat="1" ht="12.2" customHeight="1" x14ac:dyDescent="0.15">
      <c r="A239" s="1" t="s">
        <v>443</v>
      </c>
      <c r="B239" s="2" t="s">
        <v>350</v>
      </c>
      <c r="C239" s="2" t="s">
        <v>295</v>
      </c>
      <c r="D239" s="2" t="s">
        <v>431</v>
      </c>
      <c r="E239" s="6">
        <v>2200</v>
      </c>
      <c r="F239" s="18">
        <v>51507.93</v>
      </c>
      <c r="G239" s="18">
        <v>13658.26</v>
      </c>
      <c r="H239" s="18">
        <v>10435.56</v>
      </c>
      <c r="I239" s="18">
        <v>12803.29</v>
      </c>
      <c r="J239" s="18"/>
      <c r="K239" s="18">
        <v>837.2</v>
      </c>
      <c r="L239" s="19">
        <f t="shared" si="4"/>
        <v>89242.240000000005</v>
      </c>
      <c r="M239" s="8"/>
      <c r="N239" s="266"/>
    </row>
    <row r="240" spans="1:14" s="3" customFormat="1" ht="12.2" customHeight="1" x14ac:dyDescent="0.15">
      <c r="A240" s="1" t="s">
        <v>444</v>
      </c>
      <c r="B240" s="2" t="s">
        <v>350</v>
      </c>
      <c r="C240" s="2" t="s">
        <v>296</v>
      </c>
      <c r="D240" s="2" t="s">
        <v>431</v>
      </c>
      <c r="E240" s="6">
        <v>2300</v>
      </c>
      <c r="F240" s="18">
        <v>65160.800000000003</v>
      </c>
      <c r="G240" s="18">
        <v>20232.25</v>
      </c>
      <c r="H240" s="18">
        <v>26804.45</v>
      </c>
      <c r="I240" s="18">
        <v>324.32</v>
      </c>
      <c r="J240" s="18"/>
      <c r="K240" s="18">
        <v>3081.53</v>
      </c>
      <c r="L240" s="19">
        <f t="shared" si="4"/>
        <v>115603.35</v>
      </c>
      <c r="M240" s="8"/>
      <c r="N240" s="266"/>
    </row>
    <row r="241" spans="1:14" s="3" customFormat="1" ht="12.2" customHeight="1" x14ac:dyDescent="0.15">
      <c r="A241" s="1" t="s">
        <v>445</v>
      </c>
      <c r="B241" s="2" t="s">
        <v>350</v>
      </c>
      <c r="C241" s="2" t="s">
        <v>297</v>
      </c>
      <c r="D241" s="2" t="s">
        <v>431</v>
      </c>
      <c r="E241" s="6">
        <v>2400</v>
      </c>
      <c r="F241" s="18">
        <v>202107.83</v>
      </c>
      <c r="G241" s="18">
        <v>95574.78</v>
      </c>
      <c r="H241" s="18">
        <v>10351.94</v>
      </c>
      <c r="I241" s="18">
        <v>2057.86</v>
      </c>
      <c r="J241" s="18"/>
      <c r="K241" s="18">
        <v>588.75</v>
      </c>
      <c r="L241" s="19">
        <f t="shared" si="4"/>
        <v>310681.15999999997</v>
      </c>
      <c r="M241" s="8"/>
      <c r="N241" s="266"/>
    </row>
    <row r="242" spans="1:14" s="3" customFormat="1" ht="12.2" customHeight="1" x14ac:dyDescent="0.15">
      <c r="A242" s="1" t="s">
        <v>446</v>
      </c>
      <c r="B242" s="2" t="s">
        <v>350</v>
      </c>
      <c r="C242" s="2" t="s">
        <v>298</v>
      </c>
      <c r="D242" s="2" t="s">
        <v>431</v>
      </c>
      <c r="E242" s="6">
        <v>2500</v>
      </c>
      <c r="F242" s="18">
        <v>94570.23</v>
      </c>
      <c r="G242" s="18">
        <v>37394</v>
      </c>
      <c r="H242" s="18">
        <v>29100.1</v>
      </c>
      <c r="I242" s="18">
        <v>1344.73</v>
      </c>
      <c r="J242" s="18">
        <v>562.46</v>
      </c>
      <c r="K242" s="18">
        <v>5867.46</v>
      </c>
      <c r="L242" s="19">
        <f t="shared" si="4"/>
        <v>168838.97999999998</v>
      </c>
      <c r="M242" s="8"/>
      <c r="N242" s="266"/>
    </row>
    <row r="243" spans="1:14" s="3" customFormat="1" ht="12.2" customHeight="1" x14ac:dyDescent="0.15">
      <c r="A243" s="1" t="s">
        <v>447</v>
      </c>
      <c r="B243" s="2" t="s">
        <v>350</v>
      </c>
      <c r="C243" s="2" t="s">
        <v>299</v>
      </c>
      <c r="D243" s="2" t="s">
        <v>431</v>
      </c>
      <c r="E243" s="6">
        <v>2600</v>
      </c>
      <c r="F243" s="18">
        <v>139099.82999999999</v>
      </c>
      <c r="G243" s="18">
        <v>54670.06</v>
      </c>
      <c r="H243" s="18">
        <v>138423.14000000001</v>
      </c>
      <c r="I243" s="18">
        <v>94994.82</v>
      </c>
      <c r="J243" s="18">
        <v>48964.59</v>
      </c>
      <c r="K243" s="18"/>
      <c r="L243" s="19">
        <f t="shared" si="4"/>
        <v>476152.44000000006</v>
      </c>
      <c r="M243" s="8"/>
      <c r="N243" s="266"/>
    </row>
    <row r="244" spans="1:14" s="3" customFormat="1" ht="12.2" customHeight="1" x14ac:dyDescent="0.15">
      <c r="A244" s="1" t="s">
        <v>448</v>
      </c>
      <c r="B244" s="2" t="s">
        <v>350</v>
      </c>
      <c r="C244" s="2" t="s">
        <v>300</v>
      </c>
      <c r="D244" s="2" t="s">
        <v>431</v>
      </c>
      <c r="E244" s="6">
        <v>2700</v>
      </c>
      <c r="F244" s="18"/>
      <c r="G244" s="18"/>
      <c r="H244" s="18">
        <f>473201.52+120360</f>
        <v>593561.52</v>
      </c>
      <c r="I244" s="18">
        <v>31719.39</v>
      </c>
      <c r="J244" s="18"/>
      <c r="K244" s="18"/>
      <c r="L244" s="19">
        <f t="shared" si="4"/>
        <v>625280.91</v>
      </c>
      <c r="M244" s="8"/>
      <c r="N244" s="266"/>
    </row>
    <row r="245" spans="1:14" s="3" customFormat="1" ht="12.2" customHeight="1" x14ac:dyDescent="0.15">
      <c r="A245" s="1" t="s">
        <v>449</v>
      </c>
      <c r="B245" s="2" t="s">
        <v>350</v>
      </c>
      <c r="C245" s="2" t="s">
        <v>343</v>
      </c>
      <c r="D245" s="2" t="s">
        <v>431</v>
      </c>
      <c r="E245" s="6">
        <v>2800</v>
      </c>
      <c r="F245" s="18">
        <v>41555.56</v>
      </c>
      <c r="G245" s="18">
        <v>15507.75</v>
      </c>
      <c r="H245" s="18">
        <v>45531.28</v>
      </c>
      <c r="I245" s="18">
        <v>42202.22</v>
      </c>
      <c r="J245" s="18">
        <v>49868.26</v>
      </c>
      <c r="K245" s="18"/>
      <c r="L245" s="19">
        <f>SUM(F245:K245)</f>
        <v>194665.07</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3319418.2100000004</v>
      </c>
      <c r="G247" s="41">
        <f t="shared" si="5"/>
        <v>1467803.86</v>
      </c>
      <c r="H247" s="41">
        <f t="shared" si="5"/>
        <v>1590521.92</v>
      </c>
      <c r="I247" s="41">
        <f t="shared" si="5"/>
        <v>269659.04000000004</v>
      </c>
      <c r="J247" s="41">
        <f t="shared" si="5"/>
        <v>106755.39</v>
      </c>
      <c r="K247" s="41">
        <f t="shared" si="5"/>
        <v>30714.039999999997</v>
      </c>
      <c r="L247" s="41">
        <f t="shared" si="5"/>
        <v>6784872.46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11734096.200000003</v>
      </c>
      <c r="G257" s="41">
        <f t="shared" si="8"/>
        <v>5465417.1500000004</v>
      </c>
      <c r="H257" s="41">
        <f t="shared" si="8"/>
        <v>3966408.2899999996</v>
      </c>
      <c r="I257" s="41">
        <f t="shared" si="8"/>
        <v>896246.77</v>
      </c>
      <c r="J257" s="41">
        <f t="shared" si="8"/>
        <v>467795.67</v>
      </c>
      <c r="K257" s="41">
        <f t="shared" si="8"/>
        <v>82421.100000000006</v>
      </c>
      <c r="L257" s="41">
        <f t="shared" si="8"/>
        <v>22612385.180000003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756400</v>
      </c>
      <c r="L260" s="19">
        <f>SUM(F260:K260)</f>
        <v>756400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145216.20000000001</v>
      </c>
      <c r="L261" s="19">
        <f>SUM(F261:K261)</f>
        <v>145216.20000000001</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250000</v>
      </c>
      <c r="L266" s="19">
        <f t="shared" si="9"/>
        <v>250000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1151616.2</v>
      </c>
      <c r="L270" s="41">
        <f t="shared" si="9"/>
        <v>1151616.2</v>
      </c>
      <c r="N270" s="264"/>
    </row>
    <row r="271" spans="1:14" s="3" customFormat="1" ht="12.2" customHeight="1" thickTop="1" x14ac:dyDescent="0.2">
      <c r="A271" s="43" t="s">
        <v>464</v>
      </c>
      <c r="B271" s="40">
        <v>10</v>
      </c>
      <c r="C271" s="40">
        <v>18</v>
      </c>
      <c r="D271" s="39" t="s">
        <v>431</v>
      </c>
      <c r="E271" s="40"/>
      <c r="F271" s="42">
        <f t="shared" ref="F271:L271" si="11">F257+F270</f>
        <v>11734096.200000003</v>
      </c>
      <c r="G271" s="42">
        <f t="shared" si="11"/>
        <v>5465417.1500000004</v>
      </c>
      <c r="H271" s="42">
        <f t="shared" si="11"/>
        <v>3966408.2899999996</v>
      </c>
      <c r="I271" s="42">
        <f t="shared" si="11"/>
        <v>896246.77</v>
      </c>
      <c r="J271" s="42">
        <f t="shared" si="11"/>
        <v>467795.67</v>
      </c>
      <c r="K271" s="42">
        <f t="shared" si="11"/>
        <v>1234037.3</v>
      </c>
      <c r="L271" s="42">
        <f t="shared" si="11"/>
        <v>23764001.380000003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202850</v>
      </c>
      <c r="G276" s="18">
        <v>78127.34</v>
      </c>
      <c r="H276" s="18"/>
      <c r="I276" s="18">
        <v>59.98</v>
      </c>
      <c r="J276" s="18"/>
      <c r="K276" s="18"/>
      <c r="L276" s="19">
        <f>SUM(F276:K276)</f>
        <v>281037.31999999995</v>
      </c>
      <c r="M276" s="8"/>
      <c r="N276" s="266"/>
    </row>
    <row r="277" spans="1:14" s="3" customFormat="1" ht="12.2" customHeight="1" x14ac:dyDescent="0.15">
      <c r="A277" s="1" t="s">
        <v>439</v>
      </c>
      <c r="B277" s="2" t="s">
        <v>357</v>
      </c>
      <c r="C277" s="2" t="s">
        <v>291</v>
      </c>
      <c r="D277" s="2" t="s">
        <v>431</v>
      </c>
      <c r="E277" s="6">
        <v>1200</v>
      </c>
      <c r="F277" s="18">
        <v>102311.99</v>
      </c>
      <c r="G277" s="18">
        <v>35927.58</v>
      </c>
      <c r="H277" s="18">
        <v>2198.29</v>
      </c>
      <c r="I277" s="18"/>
      <c r="J277" s="18"/>
      <c r="K277" s="18"/>
      <c r="L277" s="19">
        <f>SUM(F277:K277)</f>
        <v>140437.86000000002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2929</v>
      </c>
      <c r="G279" s="18">
        <v>732.55</v>
      </c>
      <c r="H279" s="18">
        <v>3053.76</v>
      </c>
      <c r="I279" s="18"/>
      <c r="J279" s="18"/>
      <c r="K279" s="18"/>
      <c r="L279" s="19">
        <f>SUM(F279:K279)</f>
        <v>6715.31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20863.46</v>
      </c>
      <c r="G281" s="18">
        <v>10875.19</v>
      </c>
      <c r="H281" s="18"/>
      <c r="I281" s="18">
        <v>1090.05</v>
      </c>
      <c r="J281" s="18"/>
      <c r="K281" s="18"/>
      <c r="L281" s="19">
        <f t="shared" ref="L281:L287" si="12">SUM(F281:K281)</f>
        <v>32828.700000000004</v>
      </c>
      <c r="M281" s="8"/>
      <c r="N281" s="266"/>
    </row>
    <row r="282" spans="1:14" s="3" customFormat="1" ht="12.2" customHeight="1" x14ac:dyDescent="0.15">
      <c r="A282" s="1" t="s">
        <v>443</v>
      </c>
      <c r="B282" s="2" t="s">
        <v>357</v>
      </c>
      <c r="C282" s="2" t="s">
        <v>295</v>
      </c>
      <c r="D282" s="2" t="s">
        <v>431</v>
      </c>
      <c r="E282" s="6">
        <v>2200</v>
      </c>
      <c r="F282" s="18">
        <v>28087</v>
      </c>
      <c r="G282" s="18">
        <v>3407.67</v>
      </c>
      <c r="H282" s="18">
        <v>62606.91</v>
      </c>
      <c r="I282" s="18"/>
      <c r="J282" s="18"/>
      <c r="K282" s="18"/>
      <c r="L282" s="19">
        <f t="shared" si="12"/>
        <v>94101.58</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357041.45</v>
      </c>
      <c r="G290" s="42">
        <f t="shared" si="13"/>
        <v>129070.33</v>
      </c>
      <c r="H290" s="42">
        <f t="shared" si="13"/>
        <v>67858.960000000006</v>
      </c>
      <c r="I290" s="42">
        <f t="shared" si="13"/>
        <v>1150.03</v>
      </c>
      <c r="J290" s="42">
        <f t="shared" si="13"/>
        <v>0</v>
      </c>
      <c r="K290" s="42">
        <f t="shared" si="13"/>
        <v>0</v>
      </c>
      <c r="L290" s="41">
        <f t="shared" si="13"/>
        <v>555120.7699999999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v>1675.95</v>
      </c>
      <c r="G296" s="18">
        <v>418.31</v>
      </c>
      <c r="H296" s="18">
        <v>1031.8499999999999</v>
      </c>
      <c r="I296" s="18"/>
      <c r="J296" s="18"/>
      <c r="K296" s="18"/>
      <c r="L296" s="19">
        <f>SUM(F296:K296)</f>
        <v>3126.11</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3404</v>
      </c>
      <c r="G301" s="18">
        <v>851.34</v>
      </c>
      <c r="H301" s="18">
        <v>29386.92</v>
      </c>
      <c r="I301" s="18"/>
      <c r="J301" s="18"/>
      <c r="K301" s="18"/>
      <c r="L301" s="19">
        <f t="shared" si="14"/>
        <v>33642.259999999995</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5079.95</v>
      </c>
      <c r="G309" s="42">
        <f t="shared" si="15"/>
        <v>1269.6500000000001</v>
      </c>
      <c r="H309" s="42">
        <f t="shared" si="15"/>
        <v>30418.769999999997</v>
      </c>
      <c r="I309" s="42">
        <f t="shared" si="15"/>
        <v>0</v>
      </c>
      <c r="J309" s="42">
        <f t="shared" si="15"/>
        <v>0</v>
      </c>
      <c r="K309" s="42">
        <f t="shared" si="15"/>
        <v>0</v>
      </c>
      <c r="L309" s="41">
        <f t="shared" si="15"/>
        <v>36768.369999999995</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v>47814.2</v>
      </c>
      <c r="G315" s="18">
        <v>28904.39</v>
      </c>
      <c r="H315" s="18">
        <v>1256.17</v>
      </c>
      <c r="I315" s="18"/>
      <c r="J315" s="18"/>
      <c r="K315" s="18"/>
      <c r="L315" s="19">
        <f>SUM(F315:K315)</f>
        <v>77974.759999999995</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4144</v>
      </c>
      <c r="G320" s="18">
        <v>1036.4100000000001</v>
      </c>
      <c r="H320" s="18">
        <v>35775.379999999997</v>
      </c>
      <c r="I320" s="18"/>
      <c r="J320" s="18"/>
      <c r="K320" s="18"/>
      <c r="L320" s="19">
        <f t="shared" si="16"/>
        <v>40955.789999999994</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51958.2</v>
      </c>
      <c r="G328" s="42">
        <f t="shared" si="17"/>
        <v>29940.799999999999</v>
      </c>
      <c r="H328" s="42">
        <f t="shared" si="17"/>
        <v>37031.549999999996</v>
      </c>
      <c r="I328" s="42">
        <f t="shared" si="17"/>
        <v>0</v>
      </c>
      <c r="J328" s="42">
        <f t="shared" si="17"/>
        <v>0</v>
      </c>
      <c r="K328" s="42">
        <f t="shared" si="17"/>
        <v>0</v>
      </c>
      <c r="L328" s="41">
        <f t="shared" si="17"/>
        <v>118930.54999999999</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414079.60000000003</v>
      </c>
      <c r="G338" s="41">
        <f t="shared" si="20"/>
        <v>160280.78</v>
      </c>
      <c r="H338" s="41">
        <f t="shared" si="20"/>
        <v>135309.28</v>
      </c>
      <c r="I338" s="41">
        <f t="shared" si="20"/>
        <v>1150.03</v>
      </c>
      <c r="J338" s="41">
        <f t="shared" si="20"/>
        <v>0</v>
      </c>
      <c r="K338" s="41">
        <f t="shared" si="20"/>
        <v>0</v>
      </c>
      <c r="L338" s="41">
        <f t="shared" si="20"/>
        <v>710819.69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8000</v>
      </c>
      <c r="L344" s="19">
        <f t="shared" ref="L344:L350" si="21">SUM(F344:K344)</f>
        <v>8000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8000</v>
      </c>
      <c r="L351" s="41">
        <f>SUM(L341:L350)</f>
        <v>8000</v>
      </c>
      <c r="M351" s="8"/>
      <c r="N351" s="266"/>
    </row>
    <row r="352" spans="1:43" s="12" customFormat="1" ht="12.2" customHeight="1" thickTop="1" thickBot="1" x14ac:dyDescent="0.25">
      <c r="A352" s="38" t="s">
        <v>469</v>
      </c>
      <c r="B352" s="40">
        <v>14</v>
      </c>
      <c r="C352" s="40">
        <v>17</v>
      </c>
      <c r="D352" s="39" t="s">
        <v>431</v>
      </c>
      <c r="E352" s="40"/>
      <c r="F352" s="41">
        <f>F338</f>
        <v>414079.60000000003</v>
      </c>
      <c r="G352" s="41">
        <f>G338</f>
        <v>160280.78</v>
      </c>
      <c r="H352" s="41">
        <f>H338</f>
        <v>135309.28</v>
      </c>
      <c r="I352" s="41">
        <f>I338</f>
        <v>1150.03</v>
      </c>
      <c r="J352" s="41">
        <f>J338</f>
        <v>0</v>
      </c>
      <c r="K352" s="47">
        <f>K338+K351</f>
        <v>8000</v>
      </c>
      <c r="L352" s="41">
        <f>L338+L351</f>
        <v>718819.69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1254.6500000000001</v>
      </c>
      <c r="G358" s="18">
        <v>96.01</v>
      </c>
      <c r="H358" s="18">
        <v>244714.71</v>
      </c>
      <c r="I358" s="18">
        <v>719.25</v>
      </c>
      <c r="J358" s="18">
        <v>74.98</v>
      </c>
      <c r="K358" s="18">
        <v>1.1000000000000001</v>
      </c>
      <c r="L358" s="13">
        <f>SUM(F358:K358)</f>
        <v>246860.7</v>
      </c>
      <c r="N358" s="264"/>
      <c r="R358" s="3"/>
      <c r="S358" s="3"/>
      <c r="T358" s="3"/>
      <c r="U358" s="3"/>
      <c r="V358" s="3"/>
    </row>
    <row r="359" spans="1:22" s="3" customFormat="1" ht="12.2" customHeight="1" x14ac:dyDescent="0.15">
      <c r="A359" s="1" t="s">
        <v>542</v>
      </c>
      <c r="B359" s="2" t="s">
        <v>366</v>
      </c>
      <c r="C359" s="6">
        <v>2</v>
      </c>
      <c r="D359" s="2" t="s">
        <v>431</v>
      </c>
      <c r="E359" s="6"/>
      <c r="F359" s="18">
        <v>588.91</v>
      </c>
      <c r="G359" s="18">
        <v>45.07</v>
      </c>
      <c r="H359" s="18">
        <v>114866.09</v>
      </c>
      <c r="I359" s="18">
        <v>337.6</v>
      </c>
      <c r="J359" s="18">
        <v>35.200000000000003</v>
      </c>
      <c r="K359" s="18">
        <v>0.52</v>
      </c>
      <c r="L359" s="19">
        <f>SUM(F359:K359)</f>
        <v>115873.39</v>
      </c>
      <c r="M359" s="8"/>
      <c r="N359" s="266"/>
    </row>
    <row r="360" spans="1:22" s="3" customFormat="1" ht="12.2" customHeight="1" x14ac:dyDescent="0.15">
      <c r="A360" s="3" t="s">
        <v>543</v>
      </c>
      <c r="B360" s="2" t="s">
        <v>366</v>
      </c>
      <c r="C360" s="6">
        <v>3</v>
      </c>
      <c r="D360" s="2" t="s">
        <v>431</v>
      </c>
      <c r="E360" s="6"/>
      <c r="F360" s="18">
        <v>716.94</v>
      </c>
      <c r="G360" s="18">
        <v>54.86</v>
      </c>
      <c r="H360" s="18">
        <v>139836.98000000001</v>
      </c>
      <c r="I360" s="18">
        <v>411</v>
      </c>
      <c r="J360" s="18">
        <v>42.85</v>
      </c>
      <c r="K360" s="18">
        <v>0.63</v>
      </c>
      <c r="L360" s="19">
        <f>SUM(F360:K360)</f>
        <v>141063.26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2560.5</v>
      </c>
      <c r="G362" s="47">
        <f t="shared" si="22"/>
        <v>195.94</v>
      </c>
      <c r="H362" s="47">
        <f t="shared" si="22"/>
        <v>499417.78</v>
      </c>
      <c r="I362" s="47">
        <f t="shared" si="22"/>
        <v>1467.85</v>
      </c>
      <c r="J362" s="47">
        <f t="shared" si="22"/>
        <v>153.03</v>
      </c>
      <c r="K362" s="47">
        <f t="shared" si="22"/>
        <v>2.25</v>
      </c>
      <c r="L362" s="47">
        <f t="shared" si="22"/>
        <v>503797.35000000003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719.25</v>
      </c>
      <c r="G368" s="63">
        <v>337.6</v>
      </c>
      <c r="H368" s="63">
        <v>411</v>
      </c>
      <c r="I368" s="56">
        <f>SUM(F368:H368)</f>
        <v>1467.85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719.25</v>
      </c>
      <c r="G369" s="47">
        <f>SUM(G367:G368)</f>
        <v>337.6</v>
      </c>
      <c r="H369" s="47">
        <f>SUM(H367:H368)</f>
        <v>411</v>
      </c>
      <c r="I369" s="47">
        <f>SUM(I367:I368)</f>
        <v>1467.85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150000</v>
      </c>
      <c r="H389" s="18">
        <v>4214.24</v>
      </c>
      <c r="I389" s="18"/>
      <c r="J389" s="24" t="s">
        <v>288</v>
      </c>
      <c r="K389" s="24" t="s">
        <v>288</v>
      </c>
      <c r="L389" s="56">
        <f t="shared" si="25"/>
        <v>154214.24</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150000</v>
      </c>
      <c r="H393" s="139">
        <f>SUM(H387:H392)</f>
        <v>4214.24</v>
      </c>
      <c r="I393" s="65">
        <f>SUM(I387:I392)</f>
        <v>0</v>
      </c>
      <c r="J393" s="45" t="s">
        <v>288</v>
      </c>
      <c r="K393" s="45" t="s">
        <v>288</v>
      </c>
      <c r="L393" s="47">
        <f>SUM(L387:L392)</f>
        <v>154214.24</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100000</v>
      </c>
      <c r="H397" s="18">
        <v>6906.23</v>
      </c>
      <c r="I397" s="18"/>
      <c r="J397" s="24" t="s">
        <v>288</v>
      </c>
      <c r="K397" s="24" t="s">
        <v>288</v>
      </c>
      <c r="L397" s="56">
        <f t="shared" si="26"/>
        <v>106906.23</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44273.14-6906.23-4214.24+22261.43+3843.3</f>
        <v>59257.400000000009</v>
      </c>
      <c r="I400" s="18"/>
      <c r="J400" s="24" t="s">
        <v>288</v>
      </c>
      <c r="K400" s="24" t="s">
        <v>288</v>
      </c>
      <c r="L400" s="56">
        <f t="shared" si="26"/>
        <v>59257.400000000009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100000</v>
      </c>
      <c r="H401" s="47">
        <f>SUM(H395:H400)</f>
        <v>66163.63</v>
      </c>
      <c r="I401" s="47">
        <f>SUM(I395:I400)</f>
        <v>0</v>
      </c>
      <c r="J401" s="45" t="s">
        <v>288</v>
      </c>
      <c r="K401" s="45" t="s">
        <v>288</v>
      </c>
      <c r="L401" s="47">
        <f>SUM(L395:L400)</f>
        <v>166163.63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323" t="s">
        <v>1609</v>
      </c>
      <c r="B403" s="2" t="s">
        <v>381</v>
      </c>
      <c r="C403" s="6">
        <v>15</v>
      </c>
      <c r="D403" s="2" t="s">
        <v>432</v>
      </c>
      <c r="E403" s="6"/>
      <c r="F403" s="18"/>
      <c r="G403" s="18"/>
      <c r="H403" s="18">
        <f>31926.36+25408.28</f>
        <v>57334.64</v>
      </c>
      <c r="I403" s="18"/>
      <c r="J403" s="24" t="s">
        <v>288</v>
      </c>
      <c r="K403" s="24" t="s">
        <v>288</v>
      </c>
      <c r="L403" s="56">
        <f>SUM(F403:K403)</f>
        <v>57334.64</v>
      </c>
      <c r="M403" s="8"/>
      <c r="N403" s="266"/>
    </row>
    <row r="404" spans="1:21" s="3" customFormat="1" ht="12.2" customHeight="1" x14ac:dyDescent="0.15">
      <c r="A404" s="323" t="s">
        <v>1610</v>
      </c>
      <c r="B404" s="2" t="s">
        <v>381</v>
      </c>
      <c r="C404" s="6">
        <v>16</v>
      </c>
      <c r="D404" s="2" t="s">
        <v>432</v>
      </c>
      <c r="E404" s="6"/>
      <c r="F404" s="18"/>
      <c r="G404" s="18"/>
      <c r="H404" s="18">
        <f>817.91+651.88</f>
        <v>1469.79</v>
      </c>
      <c r="I404" s="18"/>
      <c r="J404" s="24" t="s">
        <v>288</v>
      </c>
      <c r="K404" s="24" t="s">
        <v>288</v>
      </c>
      <c r="L404" s="56">
        <f>SUM(F404:K404)</f>
        <v>1469.79</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58804.43</v>
      </c>
      <c r="I407" s="47">
        <f>SUM(I403:I406)</f>
        <v>0</v>
      </c>
      <c r="J407" s="49" t="s">
        <v>288</v>
      </c>
      <c r="K407" s="49" t="s">
        <v>288</v>
      </c>
      <c r="L407" s="47">
        <f>SUM(L403:L406)</f>
        <v>58804.43</v>
      </c>
      <c r="M407" s="8"/>
      <c r="N407" s="266"/>
    </row>
    <row r="408" spans="1:21" s="3" customFormat="1" ht="12.2" customHeight="1" thickTop="1" x14ac:dyDescent="0.15">
      <c r="A408" s="78" t="s">
        <v>421</v>
      </c>
      <c r="B408" s="2" t="s">
        <v>381</v>
      </c>
      <c r="C408" s="6">
        <v>20</v>
      </c>
      <c r="D408" s="6"/>
      <c r="E408" s="40"/>
      <c r="F408" s="47">
        <f>F393+F401+F407</f>
        <v>0</v>
      </c>
      <c r="G408" s="47">
        <f>G393+G401+G407</f>
        <v>250000</v>
      </c>
      <c r="H408" s="47">
        <f>H393+H401+H407</f>
        <v>129182.30000000002</v>
      </c>
      <c r="I408" s="47">
        <f>I393+I401+I407</f>
        <v>0</v>
      </c>
      <c r="J408" s="24" t="s">
        <v>288</v>
      </c>
      <c r="K408" s="24" t="s">
        <v>288</v>
      </c>
      <c r="L408" s="47">
        <f>L393+L401+L407</f>
        <v>379182.3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f>1499.17+37846</f>
        <v>39345.17</v>
      </c>
      <c r="I415" s="18"/>
      <c r="J415" s="18">
        <v>16019.79</v>
      </c>
      <c r="K415" s="18"/>
      <c r="L415" s="56">
        <f t="shared" si="27"/>
        <v>55364.959999999999</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39345.17</v>
      </c>
      <c r="I419" s="139">
        <f t="shared" si="28"/>
        <v>0</v>
      </c>
      <c r="J419" s="139">
        <f t="shared" si="28"/>
        <v>16019.79</v>
      </c>
      <c r="K419" s="139">
        <f t="shared" si="28"/>
        <v>0</v>
      </c>
      <c r="L419" s="47">
        <f t="shared" si="28"/>
        <v>55364.959999999999</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v>2463.09</v>
      </c>
      <c r="I423" s="18"/>
      <c r="J423" s="18"/>
      <c r="K423" s="18"/>
      <c r="L423" s="56">
        <f t="shared" si="29"/>
        <v>2463.09</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f>12956.96+72102.1-1499.17-16019.79-37846-2463.09-619.75-9646.96-7969.6</f>
        <v>8994.7000000000062</v>
      </c>
      <c r="I426" s="18">
        <v>619.75</v>
      </c>
      <c r="J426" s="18"/>
      <c r="K426" s="18"/>
      <c r="L426" s="56">
        <f t="shared" si="29"/>
        <v>9614.4500000000062</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11457.790000000006</v>
      </c>
      <c r="I427" s="47">
        <f t="shared" si="30"/>
        <v>619.75</v>
      </c>
      <c r="J427" s="47">
        <f t="shared" si="30"/>
        <v>0</v>
      </c>
      <c r="K427" s="47">
        <f t="shared" si="30"/>
        <v>0</v>
      </c>
      <c r="L427" s="47">
        <f t="shared" si="30"/>
        <v>12077.540000000006</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323" t="s">
        <v>1609</v>
      </c>
      <c r="B429" s="6">
        <v>17</v>
      </c>
      <c r="C429" s="6">
        <v>15</v>
      </c>
      <c r="D429" s="2" t="s">
        <v>432</v>
      </c>
      <c r="E429" s="6"/>
      <c r="F429" s="18"/>
      <c r="G429" s="18"/>
      <c r="H429" s="18">
        <f>8633.09+16200</f>
        <v>24833.09</v>
      </c>
      <c r="I429" s="18"/>
      <c r="J429" s="18"/>
      <c r="K429" s="18"/>
      <c r="L429" s="56">
        <f>SUM(F429:K429)</f>
        <v>24833.09</v>
      </c>
      <c r="M429" s="68"/>
      <c r="N429" s="227"/>
    </row>
    <row r="430" spans="1:21" s="58" customFormat="1" ht="12.2" customHeight="1" x14ac:dyDescent="0.15">
      <c r="A430" s="323" t="s">
        <v>1610</v>
      </c>
      <c r="B430" s="6">
        <v>17</v>
      </c>
      <c r="C430" s="6">
        <v>16</v>
      </c>
      <c r="D430" s="2" t="s">
        <v>432</v>
      </c>
      <c r="E430" s="6"/>
      <c r="F430" s="18"/>
      <c r="G430" s="18"/>
      <c r="H430" s="18">
        <v>221.04</v>
      </c>
      <c r="I430" s="18"/>
      <c r="J430" s="18"/>
      <c r="K430" s="18"/>
      <c r="L430" s="56">
        <f>SUM(F430:K430)</f>
        <v>221.04</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25054.13</v>
      </c>
      <c r="I433" s="47">
        <f t="shared" si="31"/>
        <v>0</v>
      </c>
      <c r="J433" s="47">
        <f t="shared" si="31"/>
        <v>0</v>
      </c>
      <c r="K433" s="47">
        <f t="shared" si="31"/>
        <v>0</v>
      </c>
      <c r="L433" s="47">
        <f t="shared" si="31"/>
        <v>25054.13</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75857.090000000011</v>
      </c>
      <c r="I434" s="47">
        <f t="shared" si="32"/>
        <v>619.75</v>
      </c>
      <c r="J434" s="47">
        <f t="shared" si="32"/>
        <v>16019.79</v>
      </c>
      <c r="K434" s="47">
        <f t="shared" si="32"/>
        <v>0</v>
      </c>
      <c r="L434" s="47">
        <f t="shared" si="32"/>
        <v>92496.63</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219514.67</v>
      </c>
      <c r="G440" s="18">
        <f>1652093.31-219514.67</f>
        <v>1432578.6400000001</v>
      </c>
      <c r="H440" s="18">
        <f>977711.64+25107.4</f>
        <v>1002819.04</v>
      </c>
      <c r="I440" s="56">
        <f t="shared" si="33"/>
        <v>2654912.35</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219514.67</v>
      </c>
      <c r="G446" s="13">
        <f>SUM(G439:G445)</f>
        <v>1432578.6400000001</v>
      </c>
      <c r="H446" s="13">
        <f>SUM(H439:H445)</f>
        <v>1002819.04</v>
      </c>
      <c r="I446" s="13">
        <f>SUM(I439:I445)</f>
        <v>2654912.35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322">
        <v>219514.67</v>
      </c>
      <c r="G456" s="322">
        <f>1652093.31-219514.67</f>
        <v>1432578.6400000001</v>
      </c>
      <c r="H456" s="322">
        <f>977711.64+25107.4</f>
        <v>1002819.04</v>
      </c>
      <c r="I456" s="56">
        <f t="shared" si="34"/>
        <v>2654912.35</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219514.67</v>
      </c>
      <c r="G460" s="83">
        <f>SUM(G454:G459)</f>
        <v>1432578.6400000001</v>
      </c>
      <c r="H460" s="83">
        <f>SUM(H454:H459)</f>
        <v>1002819.04</v>
      </c>
      <c r="I460" s="83">
        <f>SUM(I454:I459)</f>
        <v>2654912.35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219514.67</v>
      </c>
      <c r="G461" s="42">
        <f>G452+G460</f>
        <v>1432578.6400000001</v>
      </c>
      <c r="H461" s="42">
        <f>H452+H460</f>
        <v>1002819.04</v>
      </c>
      <c r="I461" s="42">
        <f>I452+I460</f>
        <v>2654912.35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1577723.31</v>
      </c>
      <c r="G465" s="18">
        <v>30713.69</v>
      </c>
      <c r="H465" s="18"/>
      <c r="I465" s="18"/>
      <c r="J465" s="18">
        <v>2368226.6800000002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23491464.940000001</v>
      </c>
      <c r="G468" s="18">
        <v>498684.29</v>
      </c>
      <c r="H468" s="18">
        <v>718819.69</v>
      </c>
      <c r="I468" s="18"/>
      <c r="J468" s="18">
        <v>379182.3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23491464.940000001</v>
      </c>
      <c r="G470" s="53">
        <f>SUM(G468:G469)</f>
        <v>498684.29</v>
      </c>
      <c r="H470" s="53">
        <f>SUM(H468:H469)</f>
        <v>718819.69</v>
      </c>
      <c r="I470" s="53">
        <f>SUM(I468:I469)</f>
        <v>0</v>
      </c>
      <c r="J470" s="53">
        <f>SUM(J468:J469)</f>
        <v>379182.3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23764001.379999999</v>
      </c>
      <c r="G472" s="18">
        <v>503797.35</v>
      </c>
      <c r="H472" s="18">
        <v>718819.69</v>
      </c>
      <c r="I472" s="18"/>
      <c r="J472" s="18">
        <v>92496.63</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23764001.379999999</v>
      </c>
      <c r="G474" s="53">
        <f>SUM(G472:G473)</f>
        <v>503797.35</v>
      </c>
      <c r="H474" s="53">
        <f>SUM(H472:H473)</f>
        <v>718819.69</v>
      </c>
      <c r="I474" s="53">
        <f>SUM(I472:I473)</f>
        <v>0</v>
      </c>
      <c r="J474" s="53">
        <f>SUM(J472:J473)</f>
        <v>92496.63</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1305186.870000001</v>
      </c>
      <c r="G476" s="53">
        <f>(G465+G470)- G474</f>
        <v>25600.630000000005</v>
      </c>
      <c r="H476" s="53">
        <f>(H465+H470)- H474</f>
        <v>0</v>
      </c>
      <c r="I476" s="53">
        <f>(I465+I470)- I474</f>
        <v>0</v>
      </c>
      <c r="J476" s="53">
        <f>(J465+J470)- J474</f>
        <v>2654912.35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15</v>
      </c>
      <c r="G490" s="154">
        <v>10</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t="s">
        <v>1612</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1613</v>
      </c>
      <c r="G492" s="155" t="s">
        <v>1614</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9247684</v>
      </c>
      <c r="G493" s="18">
        <v>1446400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5</v>
      </c>
      <c r="G494" s="18">
        <v>5.0999999999999996</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2460000</v>
      </c>
      <c r="G495" s="18">
        <v>1446400</v>
      </c>
      <c r="H495" s="18"/>
      <c r="I495" s="18"/>
      <c r="J495" s="18"/>
      <c r="K495" s="53">
        <f>SUM(F495:J495)</f>
        <v>3906400</v>
      </c>
      <c r="L495" s="24" t="s">
        <v>288</v>
      </c>
      <c r="N495" s="265"/>
    </row>
    <row r="496" spans="1:14" s="52" customFormat="1" ht="12.2" customHeight="1" x14ac:dyDescent="0.2">
      <c r="A496" s="22" t="s">
        <v>620</v>
      </c>
      <c r="B496" s="75">
        <v>20</v>
      </c>
      <c r="C496" s="115">
        <v>7</v>
      </c>
      <c r="D496" s="2" t="s">
        <v>432</v>
      </c>
      <c r="E496" s="115"/>
      <c r="F496" s="18">
        <v>0</v>
      </c>
      <c r="G496" s="18">
        <v>0</v>
      </c>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615000</v>
      </c>
      <c r="G497" s="18">
        <v>141400</v>
      </c>
      <c r="H497" s="18"/>
      <c r="I497" s="18"/>
      <c r="J497" s="18"/>
      <c r="K497" s="53">
        <f t="shared" si="35"/>
        <v>756400</v>
      </c>
      <c r="L497" s="24" t="s">
        <v>288</v>
      </c>
      <c r="N497" s="265"/>
    </row>
    <row r="498" spans="1:14" s="52" customFormat="1" ht="12.2" customHeight="1" x14ac:dyDescent="0.2">
      <c r="A498" s="200" t="s">
        <v>622</v>
      </c>
      <c r="B498" s="201">
        <v>20</v>
      </c>
      <c r="C498" s="202">
        <v>9</v>
      </c>
      <c r="D498" s="203" t="s">
        <v>432</v>
      </c>
      <c r="E498" s="202"/>
      <c r="F498" s="204">
        <v>1845000</v>
      </c>
      <c r="G498" s="204">
        <v>1305000</v>
      </c>
      <c r="H498" s="204"/>
      <c r="I498" s="204"/>
      <c r="J498" s="204"/>
      <c r="K498" s="205">
        <f t="shared" si="35"/>
        <v>3150000</v>
      </c>
      <c r="L498" s="206" t="s">
        <v>288</v>
      </c>
      <c r="N498" s="265"/>
    </row>
    <row r="499" spans="1:14" s="52" customFormat="1" ht="12.2" customHeight="1" thickBot="1" x14ac:dyDescent="0.25">
      <c r="A499" s="22" t="s">
        <v>623</v>
      </c>
      <c r="B499" s="75">
        <v>20</v>
      </c>
      <c r="C499" s="115">
        <v>10</v>
      </c>
      <c r="D499" s="2" t="s">
        <v>432</v>
      </c>
      <c r="E499" s="115"/>
      <c r="F499" s="18">
        <v>45418.76</v>
      </c>
      <c r="G499" s="18">
        <v>299497.5</v>
      </c>
      <c r="H499" s="18"/>
      <c r="I499" s="18"/>
      <c r="J499" s="18"/>
      <c r="K499" s="53">
        <f t="shared" si="35"/>
        <v>344916.26</v>
      </c>
      <c r="L499" s="24" t="s">
        <v>288</v>
      </c>
      <c r="N499" s="265"/>
    </row>
    <row r="500" spans="1:14" s="52" customFormat="1" ht="12.2" customHeight="1" thickTop="1" x14ac:dyDescent="0.2">
      <c r="A500" s="139" t="s">
        <v>624</v>
      </c>
      <c r="B500" s="44">
        <v>20</v>
      </c>
      <c r="C500" s="195">
        <v>11</v>
      </c>
      <c r="D500" s="39" t="s">
        <v>432</v>
      </c>
      <c r="E500" s="195"/>
      <c r="F500" s="42">
        <f>SUM(F498:F499)</f>
        <v>1890418.76</v>
      </c>
      <c r="G500" s="42">
        <f>SUM(G498:G499)</f>
        <v>1604497.5</v>
      </c>
      <c r="H500" s="42">
        <f>SUM(H498:H499)</f>
        <v>0</v>
      </c>
      <c r="I500" s="42">
        <f>SUM(I498:I499)</f>
        <v>0</v>
      </c>
      <c r="J500" s="42">
        <f>SUM(J498:J499)</f>
        <v>0</v>
      </c>
      <c r="K500" s="42">
        <f t="shared" si="35"/>
        <v>3494916.26</v>
      </c>
      <c r="L500" s="45" t="s">
        <v>288</v>
      </c>
      <c r="N500" s="265"/>
    </row>
    <row r="501" spans="1:14" s="52" customFormat="1" ht="12.2" customHeight="1" x14ac:dyDescent="0.2">
      <c r="A501" s="200" t="s">
        <v>651</v>
      </c>
      <c r="B501" s="201">
        <v>20</v>
      </c>
      <c r="C501" s="202">
        <v>12</v>
      </c>
      <c r="D501" s="203" t="s">
        <v>432</v>
      </c>
      <c r="E501" s="202"/>
      <c r="F501" s="204">
        <v>615000</v>
      </c>
      <c r="G501" s="204">
        <v>145000</v>
      </c>
      <c r="H501" s="204"/>
      <c r="I501" s="204"/>
      <c r="J501" s="204"/>
      <c r="K501" s="205">
        <f t="shared" si="35"/>
        <v>760000</v>
      </c>
      <c r="L501" s="206" t="s">
        <v>288</v>
      </c>
      <c r="N501" s="265"/>
    </row>
    <row r="502" spans="1:14" s="52" customFormat="1" ht="12.2" customHeight="1" thickBot="1" x14ac:dyDescent="0.25">
      <c r="A502" s="22" t="s">
        <v>625</v>
      </c>
      <c r="B502" s="75">
        <v>20</v>
      </c>
      <c r="C502" s="115">
        <v>13</v>
      </c>
      <c r="D502" s="2" t="s">
        <v>432</v>
      </c>
      <c r="E502" s="115"/>
      <c r="F502" s="18">
        <v>30378.13</v>
      </c>
      <c r="G502" s="18">
        <v>62857.5</v>
      </c>
      <c r="H502" s="18"/>
      <c r="I502" s="18"/>
      <c r="J502" s="18"/>
      <c r="K502" s="53">
        <f t="shared" si="35"/>
        <v>93235.63</v>
      </c>
      <c r="L502" s="24" t="s">
        <v>288</v>
      </c>
      <c r="N502" s="265"/>
    </row>
    <row r="503" spans="1:14" s="52" customFormat="1" ht="12.2" customHeight="1" thickTop="1" x14ac:dyDescent="0.2">
      <c r="A503" s="139" t="s">
        <v>626</v>
      </c>
      <c r="B503" s="44">
        <v>20</v>
      </c>
      <c r="C503" s="195">
        <v>14</v>
      </c>
      <c r="D503" s="39" t="s">
        <v>432</v>
      </c>
      <c r="E503" s="195"/>
      <c r="F503" s="42">
        <f>SUM(F501:F502)</f>
        <v>645378.13</v>
      </c>
      <c r="G503" s="42">
        <f>SUM(G501:G502)</f>
        <v>207857.5</v>
      </c>
      <c r="H503" s="42">
        <f>SUM(H501:H502)</f>
        <v>0</v>
      </c>
      <c r="I503" s="42">
        <f>SUM(I501:I502)</f>
        <v>0</v>
      </c>
      <c r="J503" s="42">
        <f>SUM(J501:J502)</f>
        <v>0</v>
      </c>
      <c r="K503" s="42">
        <f t="shared" si="35"/>
        <v>853235.63</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1394252.36</v>
      </c>
      <c r="G507" s="144"/>
      <c r="H507" s="144">
        <v>160873.14000000001</v>
      </c>
      <c r="I507" s="144">
        <f>1214952.56+18426.66</f>
        <v>1233379.22</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v>750120.15</v>
      </c>
      <c r="G511" s="24" t="s">
        <v>288</v>
      </c>
      <c r="H511" s="18">
        <v>750120.15</v>
      </c>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v>222220.4</v>
      </c>
      <c r="G512" s="24" t="s">
        <v>288</v>
      </c>
      <c r="H512" s="18">
        <v>222220.4</v>
      </c>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v>28241099.940000001</v>
      </c>
      <c r="G513" s="24" t="s">
        <v>288</v>
      </c>
      <c r="H513" s="18">
        <v>28518941.57</v>
      </c>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v>1393883.52</v>
      </c>
      <c r="G514" s="24" t="s">
        <v>288</v>
      </c>
      <c r="H514" s="18">
        <v>1361023.45</v>
      </c>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v>30607324.010000002</v>
      </c>
      <c r="H516" s="24" t="s">
        <v>288</v>
      </c>
      <c r="I516" s="18">
        <v>30852305.57</v>
      </c>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30607324.010000002</v>
      </c>
      <c r="G517" s="42">
        <f>SUM(G511:G516)</f>
        <v>30607324.010000002</v>
      </c>
      <c r="H517" s="42">
        <f>SUM(H511:H516)</f>
        <v>30852305.57</v>
      </c>
      <c r="I517" s="42">
        <f>SUM(I511:I516)</f>
        <v>30852305.57</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1258869.43</v>
      </c>
      <c r="G521" s="18">
        <v>599299.4</v>
      </c>
      <c r="H521" s="18">
        <v>103583.41</v>
      </c>
      <c r="I521" s="18">
        <v>10258.39</v>
      </c>
      <c r="J521" s="18">
        <v>1206.92</v>
      </c>
      <c r="K521" s="18"/>
      <c r="L521" s="88">
        <f>SUM(F521:K521)</f>
        <v>1973217.5499999998</v>
      </c>
      <c r="N521" s="265"/>
    </row>
    <row r="522" spans="1:14" s="52" customFormat="1" ht="12.2" customHeight="1" x14ac:dyDescent="0.2">
      <c r="A522" s="22" t="s">
        <v>634</v>
      </c>
      <c r="B522" s="105">
        <v>21</v>
      </c>
      <c r="C522" s="115">
        <v>2</v>
      </c>
      <c r="D522" s="2" t="s">
        <v>432</v>
      </c>
      <c r="E522" s="115"/>
      <c r="F522" s="18">
        <v>533903.79</v>
      </c>
      <c r="G522" s="18">
        <v>302311.90999999997</v>
      </c>
      <c r="H522" s="18">
        <v>540221.96</v>
      </c>
      <c r="I522" s="18">
        <v>3579.77</v>
      </c>
      <c r="J522" s="18"/>
      <c r="K522" s="18"/>
      <c r="L522" s="88">
        <f>SUM(F522:K522)</f>
        <v>1380017.43</v>
      </c>
      <c r="N522" s="265"/>
    </row>
    <row r="523" spans="1:14" s="52" customFormat="1" ht="12.2" customHeight="1" thickBot="1" x14ac:dyDescent="0.25">
      <c r="A523" s="22" t="s">
        <v>635</v>
      </c>
      <c r="B523" s="105">
        <v>21</v>
      </c>
      <c r="C523" s="115">
        <v>3</v>
      </c>
      <c r="D523" s="2" t="s">
        <v>432</v>
      </c>
      <c r="E523" s="115"/>
      <c r="F523" s="18">
        <v>769130.97</v>
      </c>
      <c r="G523" s="18">
        <v>363792.07</v>
      </c>
      <c r="H523" s="18">
        <v>630017.56000000006</v>
      </c>
      <c r="I523" s="18">
        <v>6901.86</v>
      </c>
      <c r="J523" s="18"/>
      <c r="K523" s="18"/>
      <c r="L523" s="88">
        <f>SUM(F523:K523)</f>
        <v>1769842.4600000002</v>
      </c>
      <c r="N523" s="265"/>
    </row>
    <row r="524" spans="1:14" s="52" customFormat="1" ht="12.2" customHeight="1" thickTop="1" x14ac:dyDescent="0.2">
      <c r="A524" s="139" t="s">
        <v>63</v>
      </c>
      <c r="B524" s="107">
        <v>21</v>
      </c>
      <c r="C524" s="195">
        <v>4</v>
      </c>
      <c r="D524" s="196" t="s">
        <v>432</v>
      </c>
      <c r="E524" s="195"/>
      <c r="F524" s="108">
        <f>SUM(F521:F523)</f>
        <v>2561904.19</v>
      </c>
      <c r="G524" s="108">
        <f t="shared" ref="G524:L524" si="36">SUM(G521:G523)</f>
        <v>1265403.3800000001</v>
      </c>
      <c r="H524" s="108">
        <f t="shared" si="36"/>
        <v>1273822.9300000002</v>
      </c>
      <c r="I524" s="108">
        <f t="shared" si="36"/>
        <v>20740.02</v>
      </c>
      <c r="J524" s="108">
        <f t="shared" si="36"/>
        <v>1206.92</v>
      </c>
      <c r="K524" s="108">
        <f t="shared" si="36"/>
        <v>0</v>
      </c>
      <c r="L524" s="89">
        <f t="shared" si="36"/>
        <v>5123077.4399999995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94573.03</v>
      </c>
      <c r="G526" s="18">
        <v>54676.77</v>
      </c>
      <c r="H526" s="18">
        <v>31448.17</v>
      </c>
      <c r="I526" s="18">
        <v>4772.79</v>
      </c>
      <c r="J526" s="18">
        <v>2543.09</v>
      </c>
      <c r="K526" s="18"/>
      <c r="L526" s="88">
        <f>SUM(F526:K526)</f>
        <v>188013.84999999998</v>
      </c>
      <c r="M526" s="8"/>
      <c r="N526" s="266"/>
    </row>
    <row r="527" spans="1:14" s="3" customFormat="1" ht="12.2" customHeight="1" x14ac:dyDescent="0.15">
      <c r="A527" s="22" t="s">
        <v>634</v>
      </c>
      <c r="B527" s="105">
        <v>21</v>
      </c>
      <c r="C527" s="115">
        <v>6</v>
      </c>
      <c r="D527" s="2" t="s">
        <v>432</v>
      </c>
      <c r="E527" s="115"/>
      <c r="F527" s="18">
        <v>94567.85</v>
      </c>
      <c r="G527" s="18">
        <v>54673.16</v>
      </c>
      <c r="H527" s="18">
        <v>17897.240000000002</v>
      </c>
      <c r="I527" s="18">
        <v>541.55999999999995</v>
      </c>
      <c r="J527" s="18"/>
      <c r="K527" s="18"/>
      <c r="L527" s="88">
        <f>SUM(F527:K527)</f>
        <v>167679.81</v>
      </c>
      <c r="M527" s="8"/>
      <c r="N527" s="266"/>
    </row>
    <row r="528" spans="1:14" s="3" customFormat="1" ht="12.2" customHeight="1" thickBot="1" x14ac:dyDescent="0.2">
      <c r="A528" s="22" t="s">
        <v>635</v>
      </c>
      <c r="B528" s="118">
        <v>21</v>
      </c>
      <c r="C528" s="118">
        <v>7</v>
      </c>
      <c r="D528" s="2" t="s">
        <v>432</v>
      </c>
      <c r="E528" s="118"/>
      <c r="F528" s="18">
        <v>94591.52</v>
      </c>
      <c r="G528" s="18">
        <v>54688.55</v>
      </c>
      <c r="H528" s="18">
        <v>31641.68</v>
      </c>
      <c r="I528" s="18">
        <v>1308.5999999999999</v>
      </c>
      <c r="J528" s="18"/>
      <c r="K528" s="18"/>
      <c r="L528" s="88">
        <f>SUM(F528:K528)</f>
        <v>182230.35</v>
      </c>
      <c r="M528" s="8"/>
      <c r="N528" s="266"/>
    </row>
    <row r="529" spans="1:14" s="3" customFormat="1" ht="12.2" customHeight="1" thickTop="1" x14ac:dyDescent="0.15">
      <c r="A529" s="139" t="s">
        <v>65</v>
      </c>
      <c r="B529" s="107">
        <v>21</v>
      </c>
      <c r="C529" s="107">
        <v>8</v>
      </c>
      <c r="D529" s="158" t="s">
        <v>432</v>
      </c>
      <c r="E529" s="107"/>
      <c r="F529" s="89">
        <f>SUM(F526:F528)</f>
        <v>283732.40000000002</v>
      </c>
      <c r="G529" s="89">
        <f t="shared" ref="G529:L529" si="37">SUM(G526:G528)</f>
        <v>164038.47999999998</v>
      </c>
      <c r="H529" s="89">
        <f t="shared" si="37"/>
        <v>80987.09</v>
      </c>
      <c r="I529" s="89">
        <f t="shared" si="37"/>
        <v>6622.9500000000007</v>
      </c>
      <c r="J529" s="89">
        <f t="shared" si="37"/>
        <v>2543.09</v>
      </c>
      <c r="K529" s="89">
        <f t="shared" si="37"/>
        <v>0</v>
      </c>
      <c r="L529" s="89">
        <f t="shared" si="37"/>
        <v>537924.01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168115.65</v>
      </c>
      <c r="G531" s="18">
        <v>76786.92</v>
      </c>
      <c r="H531" s="18">
        <v>11956.93</v>
      </c>
      <c r="I531" s="18">
        <v>1151.8900000000001</v>
      </c>
      <c r="J531" s="18"/>
      <c r="K531" s="18">
        <v>13235.61</v>
      </c>
      <c r="L531" s="88">
        <f>SUM(F531:K531)</f>
        <v>271247</v>
      </c>
      <c r="M531" s="8"/>
      <c r="N531" s="266"/>
    </row>
    <row r="532" spans="1:14" s="3" customFormat="1" ht="12.2" customHeight="1" x14ac:dyDescent="0.15">
      <c r="A532" s="22" t="s">
        <v>634</v>
      </c>
      <c r="B532" s="105">
        <v>21</v>
      </c>
      <c r="C532" s="105">
        <v>10</v>
      </c>
      <c r="D532" s="2" t="s">
        <v>432</v>
      </c>
      <c r="E532" s="105"/>
      <c r="F532" s="18">
        <v>78911.42</v>
      </c>
      <c r="G532" s="18">
        <v>36042.85</v>
      </c>
      <c r="H532" s="18">
        <v>5612.44</v>
      </c>
      <c r="I532" s="18">
        <v>540.67999999999995</v>
      </c>
      <c r="J532" s="18"/>
      <c r="K532" s="18">
        <v>6212.63</v>
      </c>
      <c r="L532" s="88">
        <f>SUM(F532:K532)</f>
        <v>127320.01999999999</v>
      </c>
      <c r="M532" s="8"/>
      <c r="N532" s="266"/>
    </row>
    <row r="533" spans="1:14" s="3" customFormat="1" ht="12.2" customHeight="1" thickBot="1" x14ac:dyDescent="0.2">
      <c r="A533" s="22" t="s">
        <v>635</v>
      </c>
      <c r="B533" s="105">
        <v>21</v>
      </c>
      <c r="C533" s="105">
        <v>11</v>
      </c>
      <c r="D533" s="2" t="s">
        <v>432</v>
      </c>
      <c r="E533" s="105"/>
      <c r="F533" s="18">
        <v>96066.08</v>
      </c>
      <c r="G533" s="18">
        <v>43878.239999999998</v>
      </c>
      <c r="H533" s="18">
        <v>6832.53</v>
      </c>
      <c r="I533" s="18">
        <v>658.23</v>
      </c>
      <c r="J533" s="18"/>
      <c r="K533" s="18">
        <v>7563.2</v>
      </c>
      <c r="L533" s="88">
        <f>SUM(F533:K533)</f>
        <v>154998.28000000003</v>
      </c>
      <c r="M533" s="8"/>
      <c r="N533" s="266"/>
    </row>
    <row r="534" spans="1:14" s="3" customFormat="1" ht="12.2" customHeight="1" thickTop="1" x14ac:dyDescent="0.15">
      <c r="A534" s="139" t="s">
        <v>67</v>
      </c>
      <c r="B534" s="107">
        <v>21</v>
      </c>
      <c r="C534" s="107">
        <v>12</v>
      </c>
      <c r="D534" s="158" t="s">
        <v>432</v>
      </c>
      <c r="E534" s="107"/>
      <c r="F534" s="89">
        <f>SUM(F531:F533)</f>
        <v>343093.15</v>
      </c>
      <c r="G534" s="89">
        <f t="shared" ref="G534:L534" si="38">SUM(G531:G533)</f>
        <v>156708.00999999998</v>
      </c>
      <c r="H534" s="89">
        <f t="shared" si="38"/>
        <v>24401.899999999998</v>
      </c>
      <c r="I534" s="89">
        <f t="shared" si="38"/>
        <v>2350.8000000000002</v>
      </c>
      <c r="J534" s="89">
        <f t="shared" si="38"/>
        <v>0</v>
      </c>
      <c r="K534" s="89">
        <f t="shared" si="38"/>
        <v>27011.440000000002</v>
      </c>
      <c r="L534" s="89">
        <f t="shared" si="38"/>
        <v>553565.30000000005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416.65</v>
      </c>
      <c r="I536" s="18"/>
      <c r="J536" s="18"/>
      <c r="K536" s="18"/>
      <c r="L536" s="88">
        <f>SUM(F536:K536)</f>
        <v>416.65</v>
      </c>
      <c r="M536" s="8"/>
      <c r="N536" s="266"/>
    </row>
    <row r="537" spans="1:14" s="3" customFormat="1" ht="12.2" customHeight="1" x14ac:dyDescent="0.15">
      <c r="A537" s="22" t="s">
        <v>634</v>
      </c>
      <c r="B537" s="105">
        <v>21</v>
      </c>
      <c r="C537" s="105">
        <v>14</v>
      </c>
      <c r="D537" s="2" t="s">
        <v>432</v>
      </c>
      <c r="E537" s="105"/>
      <c r="F537" s="18"/>
      <c r="G537" s="18"/>
      <c r="H537" s="18">
        <v>195.57</v>
      </c>
      <c r="I537" s="18"/>
      <c r="J537" s="18"/>
      <c r="K537" s="18"/>
      <c r="L537" s="88">
        <f>SUM(F537:K537)</f>
        <v>195.57</v>
      </c>
      <c r="M537" s="8"/>
      <c r="N537" s="266"/>
    </row>
    <row r="538" spans="1:14" s="3" customFormat="1" ht="12.2" customHeight="1" thickBot="1" x14ac:dyDescent="0.2">
      <c r="A538" s="22" t="s">
        <v>635</v>
      </c>
      <c r="B538" s="105">
        <v>21</v>
      </c>
      <c r="C538" s="105">
        <v>15</v>
      </c>
      <c r="D538" s="2" t="s">
        <v>432</v>
      </c>
      <c r="E538" s="105"/>
      <c r="F538" s="18"/>
      <c r="G538" s="18"/>
      <c r="H538" s="18">
        <v>238.08</v>
      </c>
      <c r="I538" s="18"/>
      <c r="J538" s="18"/>
      <c r="K538" s="18"/>
      <c r="L538" s="88">
        <f>SUM(F538:K538)</f>
        <v>238.08</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850.30000000000007</v>
      </c>
      <c r="I539" s="89">
        <f t="shared" si="39"/>
        <v>0</v>
      </c>
      <c r="J539" s="89">
        <f t="shared" si="39"/>
        <v>0</v>
      </c>
      <c r="K539" s="89">
        <f t="shared" si="39"/>
        <v>0</v>
      </c>
      <c r="L539" s="89">
        <f t="shared" si="39"/>
        <v>850.30000000000007</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182552.44</v>
      </c>
      <c r="I541" s="18"/>
      <c r="J541" s="18"/>
      <c r="K541" s="18"/>
      <c r="L541" s="88">
        <f>SUM(F541:K541)</f>
        <v>182552.44</v>
      </c>
      <c r="M541" s="8"/>
      <c r="N541" s="266"/>
    </row>
    <row r="542" spans="1:14" s="3" customFormat="1" ht="12.2" customHeight="1" x14ac:dyDescent="0.15">
      <c r="A542" s="22" t="s">
        <v>634</v>
      </c>
      <c r="B542" s="105">
        <v>21</v>
      </c>
      <c r="C542" s="105">
        <v>18</v>
      </c>
      <c r="D542" s="2" t="s">
        <v>432</v>
      </c>
      <c r="E542" s="105"/>
      <c r="F542" s="18"/>
      <c r="G542" s="18"/>
      <c r="H542" s="18">
        <v>117233</v>
      </c>
      <c r="I542" s="18"/>
      <c r="J542" s="18"/>
      <c r="K542" s="18"/>
      <c r="L542" s="88">
        <f>SUM(F542:K542)</f>
        <v>117233</v>
      </c>
      <c r="M542" s="8"/>
      <c r="N542" s="266"/>
    </row>
    <row r="543" spans="1:14" s="3" customFormat="1" ht="12.2" customHeight="1" thickBot="1" x14ac:dyDescent="0.2">
      <c r="A543" s="22" t="s">
        <v>635</v>
      </c>
      <c r="B543" s="105">
        <v>21</v>
      </c>
      <c r="C543" s="105">
        <v>19</v>
      </c>
      <c r="D543" s="2" t="s">
        <v>432</v>
      </c>
      <c r="E543" s="105"/>
      <c r="F543" s="18"/>
      <c r="G543" s="18"/>
      <c r="H543" s="18">
        <v>235460</v>
      </c>
      <c r="I543" s="18"/>
      <c r="J543" s="18"/>
      <c r="K543" s="18"/>
      <c r="L543" s="88">
        <f>SUM(F543:K543)</f>
        <v>235460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535245.43999999994</v>
      </c>
      <c r="I544" s="193">
        <f t="shared" si="40"/>
        <v>0</v>
      </c>
      <c r="J544" s="193">
        <f t="shared" si="40"/>
        <v>0</v>
      </c>
      <c r="K544" s="193">
        <f t="shared" si="40"/>
        <v>0</v>
      </c>
      <c r="L544" s="193">
        <f t="shared" si="40"/>
        <v>535245.43999999994</v>
      </c>
      <c r="M544" s="8"/>
      <c r="N544" s="266"/>
    </row>
    <row r="545" spans="1:14" s="3" customFormat="1" ht="12.2" customHeight="1" thickTop="1" x14ac:dyDescent="0.15">
      <c r="A545" s="98" t="s">
        <v>72</v>
      </c>
      <c r="B545" s="107">
        <v>21</v>
      </c>
      <c r="C545" s="107">
        <v>21</v>
      </c>
      <c r="D545" s="158" t="s">
        <v>432</v>
      </c>
      <c r="E545" s="107"/>
      <c r="F545" s="89">
        <f>F524+F529+F534+F539+F544</f>
        <v>3188729.7399999998</v>
      </c>
      <c r="G545" s="89">
        <f t="shared" ref="G545:L545" si="41">G524+G529+G534+G539+G544</f>
        <v>1586149.87</v>
      </c>
      <c r="H545" s="89">
        <f t="shared" si="41"/>
        <v>1915307.6600000001</v>
      </c>
      <c r="I545" s="89">
        <f t="shared" si="41"/>
        <v>29713.77</v>
      </c>
      <c r="J545" s="89">
        <f t="shared" si="41"/>
        <v>3750.01</v>
      </c>
      <c r="K545" s="89">
        <f t="shared" si="41"/>
        <v>27011.440000000002</v>
      </c>
      <c r="L545" s="89">
        <f t="shared" si="41"/>
        <v>6750662.4899999984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1973217.5499999998</v>
      </c>
      <c r="G549" s="87">
        <f>L526</f>
        <v>188013.84999999998</v>
      </c>
      <c r="H549" s="87">
        <f>L531</f>
        <v>271247</v>
      </c>
      <c r="I549" s="87">
        <f>L536</f>
        <v>416.65</v>
      </c>
      <c r="J549" s="87">
        <f>L541</f>
        <v>182552.44</v>
      </c>
      <c r="K549" s="87">
        <f>SUM(F549:J549)</f>
        <v>2615447.4899999998</v>
      </c>
      <c r="L549" s="24" t="s">
        <v>288</v>
      </c>
      <c r="M549" s="8"/>
      <c r="N549" s="266"/>
    </row>
    <row r="550" spans="1:14" s="3" customFormat="1" ht="12.2" customHeight="1" x14ac:dyDescent="0.15">
      <c r="A550" s="22" t="s">
        <v>634</v>
      </c>
      <c r="B550" s="75">
        <v>21</v>
      </c>
      <c r="C550" s="75">
        <v>23</v>
      </c>
      <c r="D550" s="2" t="s">
        <v>432</v>
      </c>
      <c r="E550" s="75"/>
      <c r="F550" s="87">
        <f>L522</f>
        <v>1380017.43</v>
      </c>
      <c r="G550" s="87">
        <f>L527</f>
        <v>167679.81</v>
      </c>
      <c r="H550" s="87">
        <f>L532</f>
        <v>127320.01999999999</v>
      </c>
      <c r="I550" s="87">
        <f>L537</f>
        <v>195.57</v>
      </c>
      <c r="J550" s="87">
        <f>L542</f>
        <v>117233</v>
      </c>
      <c r="K550" s="87">
        <f>SUM(F550:J550)</f>
        <v>1792445.83</v>
      </c>
      <c r="L550" s="24" t="s">
        <v>288</v>
      </c>
      <c r="M550" s="8"/>
      <c r="N550" s="266"/>
    </row>
    <row r="551" spans="1:14" s="3" customFormat="1" ht="12.2" customHeight="1" thickBot="1" x14ac:dyDescent="0.2">
      <c r="A551" s="22" t="s">
        <v>635</v>
      </c>
      <c r="B551" s="75">
        <v>21</v>
      </c>
      <c r="C551" s="75">
        <v>24</v>
      </c>
      <c r="D551" s="2" t="s">
        <v>432</v>
      </c>
      <c r="E551" s="75"/>
      <c r="F551" s="87">
        <f>L523</f>
        <v>1769842.4600000002</v>
      </c>
      <c r="G551" s="87">
        <f>L528</f>
        <v>182230.35</v>
      </c>
      <c r="H551" s="87">
        <f>L533</f>
        <v>154998.28000000003</v>
      </c>
      <c r="I551" s="87">
        <f>L538</f>
        <v>238.08</v>
      </c>
      <c r="J551" s="87">
        <f>L543</f>
        <v>235460</v>
      </c>
      <c r="K551" s="87">
        <f>SUM(F551:J551)</f>
        <v>2342769.1700000004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5123077.4399999995</v>
      </c>
      <c r="G552" s="89">
        <f t="shared" si="42"/>
        <v>537924.01</v>
      </c>
      <c r="H552" s="89">
        <f t="shared" si="42"/>
        <v>553565.30000000005</v>
      </c>
      <c r="I552" s="89">
        <f t="shared" si="42"/>
        <v>850.30000000000007</v>
      </c>
      <c r="J552" s="89">
        <f t="shared" si="42"/>
        <v>535245.43999999994</v>
      </c>
      <c r="K552" s="89">
        <f t="shared" si="42"/>
        <v>6750662.4900000002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3114.05</v>
      </c>
      <c r="G562" s="18">
        <v>238.24</v>
      </c>
      <c r="H562" s="18"/>
      <c r="I562" s="18"/>
      <c r="J562" s="18"/>
      <c r="K562" s="18"/>
      <c r="L562" s="88">
        <f>SUM(F562:K562)</f>
        <v>3352.29</v>
      </c>
      <c r="M562" s="8"/>
      <c r="N562" s="266"/>
    </row>
    <row r="563" spans="1:14" s="3" customFormat="1" ht="12.2" customHeight="1" x14ac:dyDescent="0.15">
      <c r="A563" s="22" t="s">
        <v>634</v>
      </c>
      <c r="B563" s="105">
        <v>22</v>
      </c>
      <c r="C563" s="115">
        <v>6</v>
      </c>
      <c r="D563" s="2" t="s">
        <v>432</v>
      </c>
      <c r="E563" s="115"/>
      <c r="F563" s="18">
        <v>1461.7</v>
      </c>
      <c r="G563" s="18">
        <v>111.83</v>
      </c>
      <c r="H563" s="18"/>
      <c r="I563" s="18"/>
      <c r="J563" s="18"/>
      <c r="K563" s="18"/>
      <c r="L563" s="88">
        <f>SUM(F563:K563)</f>
        <v>1573.53</v>
      </c>
      <c r="M563" s="8"/>
      <c r="N563" s="266"/>
    </row>
    <row r="564" spans="1:14" s="3" customFormat="1" ht="12.2" customHeight="1" thickBot="1" x14ac:dyDescent="0.2">
      <c r="A564" s="22" t="s">
        <v>635</v>
      </c>
      <c r="B564" s="105">
        <v>22</v>
      </c>
      <c r="C564" s="118">
        <v>7</v>
      </c>
      <c r="D564" s="2" t="s">
        <v>432</v>
      </c>
      <c r="E564" s="118"/>
      <c r="F564" s="18">
        <v>1779.45</v>
      </c>
      <c r="G564" s="18">
        <v>136.13999999999999</v>
      </c>
      <c r="H564" s="18"/>
      <c r="I564" s="18"/>
      <c r="J564" s="18"/>
      <c r="K564" s="18"/>
      <c r="L564" s="88">
        <f>SUM(F564:K564)</f>
        <v>1915.5900000000001</v>
      </c>
      <c r="M564" s="8"/>
      <c r="N564" s="266"/>
    </row>
    <row r="565" spans="1:14" s="3" customFormat="1" ht="12.2" customHeight="1" thickTop="1" x14ac:dyDescent="0.15">
      <c r="A565" s="139" t="s">
        <v>65</v>
      </c>
      <c r="B565" s="107">
        <v>22</v>
      </c>
      <c r="C565" s="107">
        <v>8</v>
      </c>
      <c r="D565" s="196" t="s">
        <v>432</v>
      </c>
      <c r="E565" s="107"/>
      <c r="F565" s="89">
        <f t="shared" ref="F565:L565" si="44">SUM(F562:F564)</f>
        <v>6355.2</v>
      </c>
      <c r="G565" s="89">
        <f t="shared" si="44"/>
        <v>486.21</v>
      </c>
      <c r="H565" s="89">
        <f t="shared" si="44"/>
        <v>0</v>
      </c>
      <c r="I565" s="89">
        <f t="shared" si="44"/>
        <v>0</v>
      </c>
      <c r="J565" s="89">
        <f t="shared" si="44"/>
        <v>0</v>
      </c>
      <c r="K565" s="89">
        <f t="shared" si="44"/>
        <v>0</v>
      </c>
      <c r="L565" s="89">
        <f t="shared" si="44"/>
        <v>6841.41</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18743.97</v>
      </c>
      <c r="G567" s="18">
        <v>1604.43</v>
      </c>
      <c r="H567" s="18">
        <v>219.03</v>
      </c>
      <c r="I567" s="18">
        <v>641.34</v>
      </c>
      <c r="J567" s="18"/>
      <c r="K567" s="18">
        <v>676.2</v>
      </c>
      <c r="L567" s="88">
        <f>SUM(F567:K567)</f>
        <v>21884.97</v>
      </c>
      <c r="M567" s="8"/>
      <c r="N567" s="266"/>
    </row>
    <row r="568" spans="1:14" s="3" customFormat="1" ht="12.2" customHeight="1" x14ac:dyDescent="0.15">
      <c r="A568" s="22" t="s">
        <v>634</v>
      </c>
      <c r="B568" s="105">
        <v>22</v>
      </c>
      <c r="C568" s="105">
        <v>10</v>
      </c>
      <c r="D568" s="2" t="s">
        <v>432</v>
      </c>
      <c r="E568" s="105"/>
      <c r="F568" s="18">
        <v>8798.19</v>
      </c>
      <c r="G568" s="18">
        <v>753.1</v>
      </c>
      <c r="H568" s="18">
        <v>102.81</v>
      </c>
      <c r="I568" s="18">
        <v>301.04000000000002</v>
      </c>
      <c r="J568" s="18"/>
      <c r="K568" s="18">
        <v>317.39999999999998</v>
      </c>
      <c r="L568" s="88">
        <f>SUM(F568:K568)</f>
        <v>10272.540000000001</v>
      </c>
      <c r="M568" s="8"/>
      <c r="N568" s="266"/>
    </row>
    <row r="569" spans="1:14" s="3" customFormat="1" ht="12.2" customHeight="1" thickBot="1" x14ac:dyDescent="0.2">
      <c r="A569" s="22" t="s">
        <v>635</v>
      </c>
      <c r="B569" s="105">
        <v>22</v>
      </c>
      <c r="C569" s="105">
        <v>11</v>
      </c>
      <c r="D569" s="2" t="s">
        <v>432</v>
      </c>
      <c r="E569" s="105"/>
      <c r="F569" s="18">
        <v>10710.84</v>
      </c>
      <c r="G569" s="18">
        <v>916.82</v>
      </c>
      <c r="H569" s="18">
        <v>125.16</v>
      </c>
      <c r="I569" s="18">
        <v>366.48</v>
      </c>
      <c r="J569" s="18"/>
      <c r="K569" s="18">
        <v>386.4</v>
      </c>
      <c r="L569" s="88">
        <f>SUM(F569:K569)</f>
        <v>12505.699999999999</v>
      </c>
      <c r="M569" s="8"/>
      <c r="N569" s="266"/>
    </row>
    <row r="570" spans="1:14" s="3" customFormat="1" ht="12.2" customHeight="1" thickTop="1" thickBot="1" x14ac:dyDescent="0.2">
      <c r="A570" s="130" t="s">
        <v>67</v>
      </c>
      <c r="B570" s="191">
        <v>22</v>
      </c>
      <c r="C570" s="191">
        <v>12</v>
      </c>
      <c r="D570" s="197" t="s">
        <v>432</v>
      </c>
      <c r="E570" s="191"/>
      <c r="F570" s="193">
        <f>SUM(F567:F569)</f>
        <v>38253</v>
      </c>
      <c r="G570" s="193">
        <f t="shared" ref="G570:L570" si="45">SUM(G567:G569)</f>
        <v>3274.3500000000004</v>
      </c>
      <c r="H570" s="193">
        <f t="shared" si="45"/>
        <v>447</v>
      </c>
      <c r="I570" s="193">
        <f t="shared" si="45"/>
        <v>1308.8600000000001</v>
      </c>
      <c r="J570" s="193">
        <f t="shared" si="45"/>
        <v>0</v>
      </c>
      <c r="K570" s="193">
        <f t="shared" si="45"/>
        <v>1380</v>
      </c>
      <c r="L570" s="193">
        <f t="shared" si="45"/>
        <v>44663.21</v>
      </c>
      <c r="M570" s="8"/>
      <c r="N570" s="266"/>
    </row>
    <row r="571" spans="1:14" s="3" customFormat="1" ht="12.2" customHeight="1" thickTop="1" x14ac:dyDescent="0.15">
      <c r="A571" s="98" t="s">
        <v>88</v>
      </c>
      <c r="B571" s="107">
        <v>22</v>
      </c>
      <c r="C571" s="107">
        <v>13</v>
      </c>
      <c r="D571" s="158" t="s">
        <v>432</v>
      </c>
      <c r="E571" s="107"/>
      <c r="F571" s="89">
        <f>F560+F565+F570</f>
        <v>44608.2</v>
      </c>
      <c r="G571" s="89">
        <f t="shared" ref="G571:L571" si="46">G560+G565+G570</f>
        <v>3760.5600000000004</v>
      </c>
      <c r="H571" s="89">
        <f t="shared" si="46"/>
        <v>447</v>
      </c>
      <c r="I571" s="89">
        <f t="shared" si="46"/>
        <v>1308.8600000000001</v>
      </c>
      <c r="J571" s="89">
        <f t="shared" si="46"/>
        <v>0</v>
      </c>
      <c r="K571" s="89">
        <f t="shared" si="46"/>
        <v>1380</v>
      </c>
      <c r="L571" s="89">
        <f t="shared" si="46"/>
        <v>51504.619999999995</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v>27229.65</v>
      </c>
      <c r="H578" s="18">
        <v>12350</v>
      </c>
      <c r="I578" s="87">
        <f t="shared" si="47"/>
        <v>39579.65</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102522.49</v>
      </c>
      <c r="G580" s="18">
        <v>149377.29</v>
      </c>
      <c r="H580" s="18">
        <v>62727.85</v>
      </c>
      <c r="I580" s="87">
        <f t="shared" si="47"/>
        <v>314627.63</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213997.24</v>
      </c>
      <c r="H582" s="18">
        <v>524955.37</v>
      </c>
      <c r="I582" s="87">
        <f t="shared" si="47"/>
        <v>738952.61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v>36321.839999999997</v>
      </c>
      <c r="H583" s="18">
        <v>173920.01</v>
      </c>
      <c r="I583" s="87">
        <f t="shared" si="47"/>
        <v>210241.85</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25189.78</v>
      </c>
      <c r="I584" s="87">
        <f t="shared" si="47"/>
        <v>25189.78</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385070.53</v>
      </c>
      <c r="I591" s="18">
        <v>180747.4</v>
      </c>
      <c r="J591" s="18">
        <v>220040.31</v>
      </c>
      <c r="K591" s="104">
        <f t="shared" ref="K591:K597" si="48">SUM(H591:J591)</f>
        <v>785858.24</v>
      </c>
      <c r="L591" s="24" t="s">
        <v>288</v>
      </c>
      <c r="M591" s="8"/>
      <c r="N591" s="266"/>
    </row>
    <row r="592" spans="1:14" s="3" customFormat="1" ht="12.2" customHeight="1" x14ac:dyDescent="0.15">
      <c r="A592" s="3" t="s">
        <v>638</v>
      </c>
      <c r="B592" s="75">
        <v>23</v>
      </c>
      <c r="C592" s="75">
        <v>2</v>
      </c>
      <c r="D592" s="2" t="s">
        <v>432</v>
      </c>
      <c r="E592" s="75"/>
      <c r="F592" s="102">
        <v>2722</v>
      </c>
      <c r="G592" s="103" t="s">
        <v>97</v>
      </c>
      <c r="H592" s="18">
        <f>181586.44+966</f>
        <v>182552.44</v>
      </c>
      <c r="I592" s="18">
        <f>117095+138</f>
        <v>117233</v>
      </c>
      <c r="J592" s="18">
        <f>234364+1096</f>
        <v>235460</v>
      </c>
      <c r="K592" s="104">
        <f t="shared" si="48"/>
        <v>535245.43999999994</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120360</v>
      </c>
      <c r="K593" s="104">
        <f t="shared" si="48"/>
        <v>120360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7046</v>
      </c>
      <c r="J594" s="18">
        <v>40458</v>
      </c>
      <c r="K594" s="104">
        <f t="shared" si="48"/>
        <v>47504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5754.2+6191.8</f>
        <v>11946</v>
      </c>
      <c r="I595" s="18">
        <v>8422</v>
      </c>
      <c r="J595" s="18">
        <v>8962.6</v>
      </c>
      <c r="K595" s="104">
        <f t="shared" si="48"/>
        <v>29330.6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579568.97</v>
      </c>
      <c r="I598" s="108">
        <f>SUM(I591:I597)</f>
        <v>313448.40000000002</v>
      </c>
      <c r="J598" s="108">
        <f>SUM(J591:J597)</f>
        <v>625280.91</v>
      </c>
      <c r="K598" s="108">
        <f>SUM(K591:K597)</f>
        <v>1518298.28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254102.28</v>
      </c>
      <c r="I604" s="18">
        <v>106938</v>
      </c>
      <c r="J604" s="18">
        <v>106755.39</v>
      </c>
      <c r="K604" s="104">
        <f>SUM(H604:J604)</f>
        <v>467795.67000000004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254102.28</v>
      </c>
      <c r="I605" s="108">
        <f>SUM(I602:I604)</f>
        <v>106938</v>
      </c>
      <c r="J605" s="108">
        <f>SUM(J602:J604)</f>
        <v>106755.39</v>
      </c>
      <c r="K605" s="108">
        <f>SUM(K602:K604)</f>
        <v>467795.67000000004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62235.71</v>
      </c>
      <c r="G611" s="18">
        <v>12765.4</v>
      </c>
      <c r="H611" s="18">
        <v>658.44</v>
      </c>
      <c r="I611" s="18">
        <v>667.79</v>
      </c>
      <c r="J611" s="18"/>
      <c r="K611" s="18"/>
      <c r="L611" s="88">
        <f>SUM(F611:K611)</f>
        <v>76327.34</v>
      </c>
      <c r="M611" s="8"/>
      <c r="N611" s="266"/>
    </row>
    <row r="612" spans="1:14" s="3" customFormat="1" ht="12.2" customHeight="1" x14ac:dyDescent="0.15">
      <c r="A612" s="22" t="s">
        <v>634</v>
      </c>
      <c r="B612" s="75">
        <v>23</v>
      </c>
      <c r="C612" s="75">
        <v>14</v>
      </c>
      <c r="D612" s="2" t="s">
        <v>432</v>
      </c>
      <c r="E612" s="75"/>
      <c r="F612" s="18">
        <v>18042.169999999998</v>
      </c>
      <c r="G612" s="18">
        <v>3170.2</v>
      </c>
      <c r="H612" s="18">
        <v>309.06</v>
      </c>
      <c r="I612" s="18">
        <v>82.57</v>
      </c>
      <c r="J612" s="18"/>
      <c r="K612" s="18"/>
      <c r="L612" s="88">
        <f>SUM(F612:K612)</f>
        <v>21604</v>
      </c>
      <c r="M612" s="8"/>
      <c r="N612" s="266"/>
    </row>
    <row r="613" spans="1:14" s="3" customFormat="1" ht="12.2" customHeight="1" thickBot="1" x14ac:dyDescent="0.2">
      <c r="A613" s="22" t="s">
        <v>645</v>
      </c>
      <c r="B613" s="75">
        <v>23</v>
      </c>
      <c r="C613" s="75">
        <v>15</v>
      </c>
      <c r="D613" s="2" t="s">
        <v>432</v>
      </c>
      <c r="E613" s="75"/>
      <c r="F613" s="18">
        <v>7008.12</v>
      </c>
      <c r="G613" s="18">
        <v>1472.43</v>
      </c>
      <c r="H613" s="18">
        <v>376.26</v>
      </c>
      <c r="I613" s="18">
        <v>115.45</v>
      </c>
      <c r="J613" s="18"/>
      <c r="K613" s="18"/>
      <c r="L613" s="88">
        <f>SUM(F613:K613)</f>
        <v>8972.26</v>
      </c>
      <c r="M613" s="8"/>
      <c r="N613" s="266"/>
    </row>
    <row r="614" spans="1:14" s="3" customFormat="1" ht="12.2" customHeight="1" thickTop="1" x14ac:dyDescent="0.15">
      <c r="A614" s="98" t="s">
        <v>340</v>
      </c>
      <c r="B614" s="107">
        <v>23</v>
      </c>
      <c r="C614" s="107">
        <v>16</v>
      </c>
      <c r="D614" s="39" t="s">
        <v>432</v>
      </c>
      <c r="E614" s="107"/>
      <c r="F614" s="108">
        <f t="shared" ref="F614:L614" si="49">SUM(F611:F613)</f>
        <v>87286</v>
      </c>
      <c r="G614" s="108">
        <f t="shared" si="49"/>
        <v>17408.03</v>
      </c>
      <c r="H614" s="108">
        <f t="shared" si="49"/>
        <v>1343.76</v>
      </c>
      <c r="I614" s="108">
        <f t="shared" si="49"/>
        <v>865.81</v>
      </c>
      <c r="J614" s="108">
        <f t="shared" si="49"/>
        <v>0</v>
      </c>
      <c r="K614" s="108">
        <f t="shared" si="49"/>
        <v>0</v>
      </c>
      <c r="L614" s="89">
        <f t="shared" si="49"/>
        <v>106903.59999999999</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1707083.1400000001</v>
      </c>
      <c r="H617" s="109">
        <f>SUM(F52)</f>
        <v>1707083.1400000001</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53328.789999999994</v>
      </c>
      <c r="H618" s="109">
        <f>SUM(G52)</f>
        <v>53328.789999999994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147427.34</v>
      </c>
      <c r="H619" s="109">
        <f>SUM(H52)</f>
        <v>147427.34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2654912.35</v>
      </c>
      <c r="H621" s="109">
        <f>SUM(J52)</f>
        <v>2654912.35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1305186.8700000001</v>
      </c>
      <c r="H622" s="109">
        <f>F476</f>
        <v>1305186.870000001</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25600.629999999997</v>
      </c>
      <c r="H623" s="109">
        <f>G476</f>
        <v>25600.630000000005</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2654912.35</v>
      </c>
      <c r="H626" s="109">
        <f>J476</f>
        <v>2654912.35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23491464.940000001</v>
      </c>
      <c r="H627" s="104">
        <f>SUM(F468)</f>
        <v>23491464.940000001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498684.29000000004</v>
      </c>
      <c r="H628" s="104">
        <f>SUM(G468)</f>
        <v>498684.29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718819.69</v>
      </c>
      <c r="H629" s="104">
        <f>SUM(H468)</f>
        <v>718819.69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379182.3</v>
      </c>
      <c r="H631" s="104">
        <f>SUM(J468)</f>
        <v>379182.3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23764001.380000003</v>
      </c>
      <c r="H632" s="104">
        <f>SUM(F472)</f>
        <v>23764001.379999999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718819.69</v>
      </c>
      <c r="H633" s="104">
        <f>SUM(H472)</f>
        <v>718819.69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1467.85</v>
      </c>
      <c r="H634" s="104">
        <f>I369</f>
        <v>1467.85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503797.35000000003</v>
      </c>
      <c r="H635" s="104">
        <f>SUM(G472)</f>
        <v>503797.35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379182.3</v>
      </c>
      <c r="H637" s="164">
        <f>SUM(J468)</f>
        <v>379182.3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92496.63</v>
      </c>
      <c r="H638" s="164">
        <f>SUM(J472)</f>
        <v>92496.63</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219514.67</v>
      </c>
      <c r="H639" s="104">
        <f>SUM(F461)</f>
        <v>219514.67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1432578.6400000001</v>
      </c>
      <c r="H640" s="104">
        <f>SUM(G461)</f>
        <v>1432578.6400000001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1002819.04</v>
      </c>
      <c r="H641" s="104">
        <f>SUM(H461)</f>
        <v>1002819.04</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2654912.35</v>
      </c>
      <c r="H642" s="104">
        <f>SUM(I461)</f>
        <v>2654912.35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129182.3</v>
      </c>
      <c r="H644" s="104">
        <f>H408</f>
        <v>129182.30000000002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250000</v>
      </c>
      <c r="H645" s="104">
        <f>G408</f>
        <v>250000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379182.3</v>
      </c>
      <c r="H646" s="104">
        <f>L408</f>
        <v>379182.3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1518298.28</v>
      </c>
      <c r="H647" s="104">
        <f>L208+L226+L244</f>
        <v>1518298.28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467795.67000000004</v>
      </c>
      <c r="H648" s="104">
        <f>(J257+J338)-(J255+J336)</f>
        <v>467795.67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579568.97</v>
      </c>
      <c r="H649" s="104">
        <f>H598</f>
        <v>579568.97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313448.40000000002</v>
      </c>
      <c r="H650" s="104">
        <f>I598</f>
        <v>313448.40000000002</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625280.91</v>
      </c>
      <c r="H651" s="104">
        <f>J598</f>
        <v>625280.91</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250000</v>
      </c>
      <c r="H655" s="104">
        <f>K266+K347</f>
        <v>250000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11419590.25</v>
      </c>
      <c r="G660" s="19">
        <f>(L229+L309+L359)</f>
        <v>5362545.7000000011</v>
      </c>
      <c r="H660" s="19">
        <f>(L247+L328+L360)</f>
        <v>7044866.2699999996</v>
      </c>
      <c r="I660" s="19">
        <f>SUM(F660:H660)</f>
        <v>23827002.220000003</v>
      </c>
      <c r="J660" s="13"/>
      <c r="K660" s="13"/>
      <c r="L660" s="13"/>
      <c r="M660" s="9"/>
    </row>
    <row r="661" spans="1:13" s="3" customFormat="1" ht="12.2" customHeight="1" x14ac:dyDescent="0.2">
      <c r="A661" s="1" t="s">
        <v>127</v>
      </c>
      <c r="F661" s="19">
        <f>(L358/IF(SUM(L358:L360)=0,1,SUM(L358:L360))*(SUM(G97:G110)))</f>
        <v>142069.89353674051</v>
      </c>
      <c r="G661" s="19">
        <f>(L359/IF(SUM(L358:L360)=0,1,SUM(L358:L360))*(SUM(G97:G110)))</f>
        <v>66685.868512246831</v>
      </c>
      <c r="H661" s="19">
        <f>(L360/IF(SUM(L358:L360)=0,1,SUM(L358:L360))*(SUM(G97:G110)))</f>
        <v>81182.797951012646</v>
      </c>
      <c r="I661" s="19">
        <f>SUM(F661:H661)</f>
        <v>289938.55999999994</v>
      </c>
      <c r="J661"/>
      <c r="K661" s="13"/>
      <c r="L661" s="13"/>
      <c r="M661" s="9"/>
    </row>
    <row r="662" spans="1:13" s="3" customFormat="1" ht="12.2" customHeight="1" x14ac:dyDescent="0.2">
      <c r="A662" s="1" t="s">
        <v>128</v>
      </c>
      <c r="F662" s="19">
        <f>(L208+L287)-(J208+J287)</f>
        <v>579568.97</v>
      </c>
      <c r="G662" s="19">
        <f>(L226+L306)-(J226+J306)</f>
        <v>313448.40000000002</v>
      </c>
      <c r="H662" s="19">
        <f>(L244+L325)-(J244+J325)</f>
        <v>625280.91</v>
      </c>
      <c r="I662" s="19">
        <f>SUM(F662:H662)</f>
        <v>1518298.28</v>
      </c>
      <c r="J662"/>
      <c r="K662" s="13"/>
      <c r="L662" s="13"/>
      <c r="M662" s="8"/>
    </row>
    <row r="663" spans="1:13" s="3" customFormat="1" ht="12.2" customHeight="1" x14ac:dyDescent="0.15">
      <c r="A663" s="198" t="s">
        <v>129</v>
      </c>
      <c r="B663" s="169"/>
      <c r="C663" s="169"/>
      <c r="D663" s="169"/>
      <c r="E663" s="169"/>
      <c r="F663" s="199">
        <f>SUM(F575:F587)+SUM(H602:H604)+SUM(L611)</f>
        <v>432952.11</v>
      </c>
      <c r="G663" s="199">
        <f>SUM(G575:G587)+SUM(I602:I604)+L612</f>
        <v>555468.02</v>
      </c>
      <c r="H663" s="199">
        <f>SUM(H575:H587)+SUM(J602:J604)+L613</f>
        <v>914870.66</v>
      </c>
      <c r="I663" s="19">
        <f>SUM(F663:H663)</f>
        <v>1903290.79</v>
      </c>
      <c r="J663" s="13"/>
      <c r="K663" s="13"/>
      <c r="L663" s="13"/>
      <c r="M663" s="9"/>
    </row>
    <row r="664" spans="1:13" s="3" customFormat="1" ht="12.2" customHeight="1" x14ac:dyDescent="0.15">
      <c r="A664" s="1" t="s">
        <v>130</v>
      </c>
      <c r="F664" s="19">
        <f>F660-SUM(F661:F663)</f>
        <v>10264999.276463259</v>
      </c>
      <c r="G664" s="19">
        <f>G660-SUM(G661:G663)</f>
        <v>4426943.4114877544</v>
      </c>
      <c r="H664" s="19">
        <f>H660-SUM(H661:H663)</f>
        <v>5423531.9020489864</v>
      </c>
      <c r="I664" s="19">
        <f>I660-SUM(I661:I663)</f>
        <v>20115474.590000004</v>
      </c>
      <c r="J664" s="13"/>
      <c r="K664" s="13"/>
      <c r="L664" s="13"/>
      <c r="M664" s="9"/>
    </row>
    <row r="665" spans="1:13" s="3" customFormat="1" ht="12.2" customHeight="1" x14ac:dyDescent="0.2">
      <c r="A665" s="1" t="s">
        <v>131</v>
      </c>
      <c r="F665" s="246">
        <v>668.85</v>
      </c>
      <c r="G665" s="247">
        <v>314.98</v>
      </c>
      <c r="H665" s="247">
        <v>374.04</v>
      </c>
      <c r="I665" s="19">
        <f>SUM(F665:H665)</f>
        <v>1357.8700000000001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15347.24</v>
      </c>
      <c r="G667" s="19">
        <f>ROUND(G664/G665,2)</f>
        <v>14054.68</v>
      </c>
      <c r="H667" s="19">
        <f>ROUND(H664/H665,2)</f>
        <v>14499.87</v>
      </c>
      <c r="I667" s="19">
        <f>ROUND(I664/I665,2)</f>
        <v>14813.99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-1.34</v>
      </c>
      <c r="I670" s="19">
        <f>SUM(F670:H670)</f>
        <v>-1.34</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15347.24</v>
      </c>
      <c r="G672" s="19">
        <f>ROUND((G664+G669)/(G665+G670),2)</f>
        <v>14054.68</v>
      </c>
      <c r="H672" s="19">
        <f>ROUND((H664+H669)/(H665+H670),2)</f>
        <v>14552</v>
      </c>
      <c r="I672" s="19">
        <f>ROUND((I664+I669)/(I665+I670),2)</f>
        <v>14828.62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6" sqref="A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Jaffrey-Rindge Cooperative School District</v>
      </c>
      <c r="C1" s="238" t="s">
        <v>824</v>
      </c>
    </row>
    <row r="2" spans="1:3" x14ac:dyDescent="0.2">
      <c r="A2" s="233"/>
      <c r="B2" s="232"/>
    </row>
    <row r="3" spans="1:3" x14ac:dyDescent="0.2">
      <c r="A3" s="328" t="s">
        <v>780</v>
      </c>
      <c r="B3" s="328"/>
      <c r="C3" s="328"/>
    </row>
    <row r="4" spans="1:3" x14ac:dyDescent="0.2">
      <c r="A4" s="236"/>
      <c r="B4" s="237" t="str">
        <f>'DOE25'!H1</f>
        <v>DOE 25  2018-2019</v>
      </c>
      <c r="C4" s="236"/>
    </row>
    <row r="5" spans="1:3" x14ac:dyDescent="0.2">
      <c r="A5" s="233"/>
      <c r="B5" s="232"/>
    </row>
    <row r="6" spans="1:3" x14ac:dyDescent="0.2">
      <c r="A6" s="227"/>
      <c r="B6" s="327" t="s">
        <v>779</v>
      </c>
      <c r="C6" s="327"/>
    </row>
    <row r="7" spans="1:3" x14ac:dyDescent="0.2">
      <c r="A7" s="239" t="s">
        <v>782</v>
      </c>
      <c r="B7" s="325" t="s">
        <v>778</v>
      </c>
      <c r="C7" s="326"/>
    </row>
    <row r="8" spans="1:3" x14ac:dyDescent="0.2">
      <c r="B8" s="228" t="s">
        <v>54</v>
      </c>
      <c r="C8" s="228" t="s">
        <v>772</v>
      </c>
    </row>
    <row r="9" spans="1:3" x14ac:dyDescent="0.2">
      <c r="A9" s="33" t="s">
        <v>773</v>
      </c>
      <c r="B9" s="229">
        <f>'DOE25'!F197+'DOE25'!F215+'DOE25'!F233+'DOE25'!F276+'DOE25'!F295+'DOE25'!F314</f>
        <v>5221653.1999999993</v>
      </c>
      <c r="C9" s="229">
        <f>'DOE25'!G197+'DOE25'!G215+'DOE25'!G233+'DOE25'!G276+'DOE25'!G295+'DOE25'!G314</f>
        <v>2591737.13</v>
      </c>
    </row>
    <row r="10" spans="1:3" x14ac:dyDescent="0.2">
      <c r="A10" t="s">
        <v>775</v>
      </c>
      <c r="B10" s="240">
        <v>5040070.9800000004</v>
      </c>
      <c r="C10" s="240">
        <f>2591737.13-12944.34-946.71</f>
        <v>2577846.08</v>
      </c>
    </row>
    <row r="11" spans="1:3" x14ac:dyDescent="0.2">
      <c r="A11" t="s">
        <v>776</v>
      </c>
      <c r="B11" s="240">
        <f>11213.8+1161.38</f>
        <v>12375.18</v>
      </c>
      <c r="C11" s="240">
        <f>857.86+88.85</f>
        <v>946.71</v>
      </c>
    </row>
    <row r="12" spans="1:3" x14ac:dyDescent="0.2">
      <c r="A12" t="s">
        <v>777</v>
      </c>
      <c r="B12" s="240">
        <f>87151.31+82055.73</f>
        <v>169207.03999999998</v>
      </c>
      <c r="C12" s="240">
        <v>12944.34</v>
      </c>
    </row>
    <row r="13" spans="1:3" x14ac:dyDescent="0.2">
      <c r="A13" t="str">
        <f>IF(B9=B13,IF(C9=C13,"Check Total OK","Check Total Error"),"Check Total Error")</f>
        <v>Check Total OK</v>
      </c>
      <c r="B13" s="231">
        <f>SUM(B10:B12)</f>
        <v>5221653.2</v>
      </c>
      <c r="C13" s="231">
        <f>SUM(C10:C12)</f>
        <v>2591737.13</v>
      </c>
    </row>
    <row r="14" spans="1:3" x14ac:dyDescent="0.2">
      <c r="B14" s="230"/>
      <c r="C14" s="230"/>
    </row>
    <row r="15" spans="1:3" x14ac:dyDescent="0.2">
      <c r="B15" s="327" t="s">
        <v>779</v>
      </c>
      <c r="C15" s="327"/>
    </row>
    <row r="16" spans="1:3" x14ac:dyDescent="0.2">
      <c r="A16" s="239" t="s">
        <v>783</v>
      </c>
      <c r="B16" s="325" t="s">
        <v>703</v>
      </c>
      <c r="C16" s="326"/>
    </row>
    <row r="17" spans="1:3" x14ac:dyDescent="0.2">
      <c r="B17" s="228" t="s">
        <v>54</v>
      </c>
      <c r="C17" s="228" t="s">
        <v>772</v>
      </c>
    </row>
    <row r="18" spans="1:3" x14ac:dyDescent="0.2">
      <c r="A18" s="33" t="s">
        <v>773</v>
      </c>
      <c r="B18" s="229">
        <f>'DOE25'!F198+'DOE25'!F216+'DOE25'!F234+'DOE25'!F277+'DOE25'!F296+'DOE25'!F315</f>
        <v>3063956.6600000006</v>
      </c>
      <c r="C18" s="229">
        <f>'DOE25'!G198+'DOE25'!G216+'DOE25'!G234+'DOE25'!G277+'DOE25'!G296+'DOE25'!G315</f>
        <v>1484789.04</v>
      </c>
    </row>
    <row r="19" spans="1:3" x14ac:dyDescent="0.2">
      <c r="A19" t="s">
        <v>775</v>
      </c>
      <c r="B19" s="240">
        <v>1646684.2</v>
      </c>
      <c r="C19" s="240">
        <v>796291.28</v>
      </c>
    </row>
    <row r="20" spans="1:3" x14ac:dyDescent="0.2">
      <c r="A20" t="s">
        <v>776</v>
      </c>
      <c r="B20" s="240">
        <v>960755.76</v>
      </c>
      <c r="C20" s="240">
        <v>534214.22</v>
      </c>
    </row>
    <row r="21" spans="1:3" x14ac:dyDescent="0.2">
      <c r="A21" t="s">
        <v>777</v>
      </c>
      <c r="B21" s="240">
        <f>89000+74765+157243.14+41447+33421.8+60639.76</f>
        <v>456516.7</v>
      </c>
      <c r="C21" s="240">
        <f>47785.09+40154.92+41108.52+18039.01+2557.04+4638.97-0.01</f>
        <v>154283.54</v>
      </c>
    </row>
    <row r="22" spans="1:3" x14ac:dyDescent="0.2">
      <c r="A22" t="str">
        <f>IF(B18=B22,IF(C18=C22,"Check Total OK","Check Total Error"),"Check Total Error")</f>
        <v>Check Total OK</v>
      </c>
      <c r="B22" s="231">
        <f>SUM(B19:B21)</f>
        <v>3063956.66</v>
      </c>
      <c r="C22" s="231">
        <f>SUM(C19:C21)</f>
        <v>1484789.04</v>
      </c>
    </row>
    <row r="23" spans="1:3" x14ac:dyDescent="0.2">
      <c r="B23" s="230"/>
      <c r="C23" s="230"/>
    </row>
    <row r="24" spans="1:3" x14ac:dyDescent="0.2">
      <c r="B24" s="327" t="s">
        <v>779</v>
      </c>
      <c r="C24" s="327"/>
    </row>
    <row r="25" spans="1:3" x14ac:dyDescent="0.2">
      <c r="A25" s="239" t="s">
        <v>784</v>
      </c>
      <c r="B25" s="325" t="s">
        <v>704</v>
      </c>
      <c r="C25" s="326"/>
    </row>
    <row r="26" spans="1:3" x14ac:dyDescent="0.2">
      <c r="B26" s="228" t="s">
        <v>54</v>
      </c>
      <c r="C26" s="228" t="s">
        <v>772</v>
      </c>
    </row>
    <row r="27" spans="1:3" x14ac:dyDescent="0.2">
      <c r="A27" s="33" t="s">
        <v>773</v>
      </c>
      <c r="B27" s="234">
        <f>'DOE25'!F199+'DOE25'!F217+'DOE25'!F235+'DOE25'!F278+'DOE25'!F297+'DOE25'!F316</f>
        <v>266850</v>
      </c>
      <c r="C27" s="234">
        <f>'DOE25'!G199+'DOE25'!G217+'DOE25'!G235+'DOE25'!G278+'DOE25'!G297+'DOE25'!G316</f>
        <v>109562.91</v>
      </c>
    </row>
    <row r="28" spans="1:3" x14ac:dyDescent="0.2">
      <c r="A28" t="s">
        <v>775</v>
      </c>
      <c r="B28" s="240">
        <f>51950+48500+104550+61850</f>
        <v>266850</v>
      </c>
      <c r="C28" s="240">
        <f>22428.51+12689.85+58197.94+16246.61</f>
        <v>109562.91</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266850</v>
      </c>
      <c r="C31" s="231">
        <f>SUM(C28:C30)</f>
        <v>109562.91</v>
      </c>
    </row>
    <row r="33" spans="1:3" x14ac:dyDescent="0.2">
      <c r="B33" s="327" t="s">
        <v>779</v>
      </c>
      <c r="C33" s="327"/>
    </row>
    <row r="34" spans="1:3" x14ac:dyDescent="0.2">
      <c r="A34" s="239" t="s">
        <v>785</v>
      </c>
      <c r="B34" s="325" t="s">
        <v>705</v>
      </c>
      <c r="C34" s="326"/>
    </row>
    <row r="35" spans="1:3" x14ac:dyDescent="0.2">
      <c r="B35" s="228" t="s">
        <v>54</v>
      </c>
      <c r="C35" s="228" t="s">
        <v>772</v>
      </c>
    </row>
    <row r="36" spans="1:3" x14ac:dyDescent="0.2">
      <c r="A36" s="33" t="s">
        <v>773</v>
      </c>
      <c r="B36" s="235">
        <f>'DOE25'!F200+'DOE25'!F218+'DOE25'!F236+'DOE25'!F279+'DOE25'!F298+'DOE25'!F317</f>
        <v>276141.25</v>
      </c>
      <c r="C36" s="235">
        <f>'DOE25'!G200+'DOE25'!G218+'DOE25'!G236+'DOE25'!G279+'DOE25'!G298+'DOE25'!G317</f>
        <v>44018.11</v>
      </c>
    </row>
    <row r="37" spans="1:3" x14ac:dyDescent="0.2">
      <c r="A37" t="s">
        <v>775</v>
      </c>
      <c r="B37" s="240">
        <v>127644.32</v>
      </c>
      <c r="C37" s="240">
        <f>9643.4+21998.01</f>
        <v>31641.409999999996</v>
      </c>
    </row>
    <row r="38" spans="1:3" x14ac:dyDescent="0.2">
      <c r="A38" t="s">
        <v>776</v>
      </c>
      <c r="B38" s="240">
        <v>10751.93</v>
      </c>
      <c r="C38" s="240">
        <f>822.57+734.88</f>
        <v>1557.45</v>
      </c>
    </row>
    <row r="39" spans="1:3" x14ac:dyDescent="0.2">
      <c r="A39" t="s">
        <v>777</v>
      </c>
      <c r="B39" s="240">
        <f>2475+36365+1624+3478+93803</f>
        <v>137745</v>
      </c>
      <c r="C39" s="240">
        <f>189.34+281.66+2906.11+266.09+7176.05</f>
        <v>10819.25</v>
      </c>
    </row>
    <row r="40" spans="1:3" x14ac:dyDescent="0.2">
      <c r="A40" t="str">
        <f>IF(B36=B40,IF(C36=C40,"Check Total OK","Check Total Error"),"Check Total Error")</f>
        <v>Check Total OK</v>
      </c>
      <c r="B40" s="231">
        <f>SUM(B37:B39)</f>
        <v>276141.25</v>
      </c>
      <c r="C40" s="231">
        <f>SUM(C37:C39)</f>
        <v>44018.109999999993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A6" sqref="A6"/>
      <selection pane="bottomLeft" activeCell="A6" sqref="A6"/>
    </sheetView>
  </sheetViews>
  <sheetFormatPr defaultRowHeight="11.25" x14ac:dyDescent="0.2"/>
  <cols>
    <col min="1" max="1" width="10.83203125" customWidth="1"/>
    <col min="2" max="2" width="41.1640625" customWidth="1"/>
    <col min="3" max="3" width="17" bestFit="1" customWidth="1"/>
    <col min="4" max="5" width="17.83203125" customWidth="1"/>
    <col min="6" max="6" width="16.33203125" customWidth="1"/>
    <col min="7" max="7" width="15.5" customWidth="1"/>
    <col min="8" max="8" width="12.83203125" customWidth="1"/>
    <col min="9" max="9" width="13.6640625" customWidth="1"/>
  </cols>
  <sheetData>
    <row r="1" spans="1:9" x14ac:dyDescent="0.2">
      <c r="A1" s="327" t="s">
        <v>894</v>
      </c>
      <c r="B1" s="331"/>
      <c r="C1" s="331"/>
      <c r="D1" s="331"/>
      <c r="E1" s="331"/>
      <c r="F1" s="331"/>
      <c r="G1" s="331"/>
      <c r="H1" s="331"/>
      <c r="I1" s="181"/>
    </row>
    <row r="2" spans="1:9" x14ac:dyDescent="0.2">
      <c r="A2" s="33" t="s">
        <v>713</v>
      </c>
      <c r="B2" s="260" t="str">
        <f>'DOE25'!A2</f>
        <v>Jaffrey-Rindge Cooperative School District</v>
      </c>
      <c r="C2" s="278"/>
      <c r="D2" s="181" t="s">
        <v>787</v>
      </c>
      <c r="E2" s="181" t="s">
        <v>789</v>
      </c>
      <c r="F2" s="329" t="s">
        <v>893</v>
      </c>
      <c r="G2" s="330"/>
      <c r="H2" s="33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14236102.469999999</v>
      </c>
      <c r="D5" s="20">
        <f>SUM('DOE25'!L197:L200)+SUM('DOE25'!L215:L218)+SUM('DOE25'!L233:L236)-F5-G5-H5</f>
        <v>14173112.189999999</v>
      </c>
      <c r="E5" s="243"/>
      <c r="F5" s="244"/>
      <c r="G5" s="53">
        <f>SUM('DOE25'!J197:J200)+SUM('DOE25'!J215:J218)+SUM('DOE25'!J233:J236)</f>
        <v>21258.34</v>
      </c>
      <c r="H5" s="53">
        <f>SUM('DOE25'!K197:K200)+SUM('DOE25'!K215:K218)+SUM('DOE25'!K233:K236)</f>
        <v>41731.94</v>
      </c>
      <c r="I5" s="256"/>
    </row>
    <row r="6" spans="1:9" x14ac:dyDescent="0.2">
      <c r="A6" s="32">
        <v>2100</v>
      </c>
      <c r="B6" t="s">
        <v>796</v>
      </c>
      <c r="C6" s="276">
        <f t="shared" si="0"/>
        <v>1289598.57</v>
      </c>
      <c r="D6" s="20">
        <f>'DOE25'!L202+'DOE25'!L220+'DOE25'!L238-F6-G6-H6</f>
        <v>1289448.57</v>
      </c>
      <c r="E6" s="243"/>
      <c r="F6" s="244"/>
      <c r="G6" s="53">
        <f>'DOE25'!J202+'DOE25'!J220+'DOE25'!J238</f>
        <v>0</v>
      </c>
      <c r="H6" s="53">
        <f>'DOE25'!K202+'DOE25'!K220+'DOE25'!K238</f>
        <v>150</v>
      </c>
      <c r="I6" s="256"/>
    </row>
    <row r="7" spans="1:9" x14ac:dyDescent="0.2">
      <c r="A7" s="32">
        <v>2200</v>
      </c>
      <c r="B7" t="s">
        <v>821</v>
      </c>
      <c r="C7" s="276">
        <f t="shared" si="0"/>
        <v>562832.62</v>
      </c>
      <c r="D7" s="20">
        <f>'DOE25'!L203+'DOE25'!L221+'DOE25'!L239-F7-G7-H7</f>
        <v>559842.62</v>
      </c>
      <c r="E7" s="243"/>
      <c r="F7" s="244"/>
      <c r="G7" s="53">
        <f>'DOE25'!J203+'DOE25'!J221+'DOE25'!J239</f>
        <v>0</v>
      </c>
      <c r="H7" s="53">
        <f>'DOE25'!K203+'DOE25'!K221+'DOE25'!K239</f>
        <v>2990</v>
      </c>
      <c r="I7" s="256"/>
    </row>
    <row r="8" spans="1:9" x14ac:dyDescent="0.2">
      <c r="A8" s="32">
        <v>2300</v>
      </c>
      <c r="B8" t="s">
        <v>797</v>
      </c>
      <c r="C8" s="276">
        <f t="shared" si="0"/>
        <v>88434.799999999916</v>
      </c>
      <c r="D8" s="243"/>
      <c r="E8" s="20">
        <f>'DOE25'!L204+'DOE25'!L222+'DOE25'!L240-F8-G8-H8-D9-D11</f>
        <v>38675.849999999919</v>
      </c>
      <c r="F8" s="244">
        <f>63753.5-25000</f>
        <v>38753.5</v>
      </c>
      <c r="G8" s="53">
        <f>'DOE25'!J204+'DOE25'!J222+'DOE25'!J240</f>
        <v>0</v>
      </c>
      <c r="H8" s="53">
        <f>'DOE25'!K204+'DOE25'!K222+'DOE25'!K240</f>
        <v>11005.45</v>
      </c>
      <c r="I8" s="256"/>
    </row>
    <row r="9" spans="1:9" ht="14.25" x14ac:dyDescent="0.2">
      <c r="A9" s="32">
        <v>2310</v>
      </c>
      <c r="B9" s="185" t="s">
        <v>890</v>
      </c>
      <c r="C9" s="276">
        <f t="shared" si="0"/>
        <v>29833.01</v>
      </c>
      <c r="D9" s="244">
        <v>29833.01</v>
      </c>
      <c r="E9" s="243"/>
      <c r="F9" s="253"/>
      <c r="G9" s="253"/>
      <c r="H9" s="253"/>
      <c r="I9" s="256"/>
    </row>
    <row r="10" spans="1:9" ht="14.25" x14ac:dyDescent="0.2">
      <c r="A10" s="32">
        <v>2317</v>
      </c>
      <c r="B10" s="185" t="s">
        <v>891</v>
      </c>
      <c r="C10" s="276">
        <f t="shared" si="0"/>
        <v>19525</v>
      </c>
      <c r="D10" s="243"/>
      <c r="E10" s="244">
        <v>19525</v>
      </c>
      <c r="F10" s="253"/>
      <c r="G10" s="253"/>
      <c r="H10" s="253"/>
      <c r="I10" s="256"/>
    </row>
    <row r="11" spans="1:9" ht="14.25" x14ac:dyDescent="0.2">
      <c r="A11" s="32">
        <v>2321</v>
      </c>
      <c r="B11" s="185" t="s">
        <v>892</v>
      </c>
      <c r="C11" s="276">
        <f t="shared" si="0"/>
        <v>294601.26</v>
      </c>
      <c r="D11" s="244">
        <v>294601.26</v>
      </c>
      <c r="E11" s="243"/>
      <c r="F11" s="253"/>
      <c r="G11" s="253"/>
      <c r="H11" s="253"/>
      <c r="I11" s="256"/>
    </row>
    <row r="12" spans="1:9" x14ac:dyDescent="0.2">
      <c r="A12" s="32">
        <v>2400</v>
      </c>
      <c r="B12" t="s">
        <v>711</v>
      </c>
      <c r="C12" s="276">
        <f t="shared" si="0"/>
        <v>1160723.28</v>
      </c>
      <c r="D12" s="20">
        <f>'DOE25'!L205+'DOE25'!L223+'DOE25'!L241-F12-G12-H12</f>
        <v>1154530.22</v>
      </c>
      <c r="E12" s="243"/>
      <c r="F12" s="244"/>
      <c r="G12" s="53">
        <f>'DOE25'!J205+'DOE25'!J223+'DOE25'!J241</f>
        <v>604.55999999999995</v>
      </c>
      <c r="H12" s="53">
        <f>'DOE25'!K205+'DOE25'!K223+'DOE25'!K241</f>
        <v>5588.5</v>
      </c>
      <c r="I12" s="256"/>
    </row>
    <row r="13" spans="1:9" x14ac:dyDescent="0.2">
      <c r="A13" s="32">
        <v>2500</v>
      </c>
      <c r="B13" t="s">
        <v>798</v>
      </c>
      <c r="C13" s="276">
        <f t="shared" si="0"/>
        <v>602996.37</v>
      </c>
      <c r="D13" s="243"/>
      <c r="E13" s="20">
        <f>'DOE25'!L206+'DOE25'!L224+'DOE25'!L242-F13-G13-H13</f>
        <v>580032.37</v>
      </c>
      <c r="F13" s="244"/>
      <c r="G13" s="53">
        <f>'DOE25'!J206+'DOE25'!J224+'DOE25'!J242</f>
        <v>2008.79</v>
      </c>
      <c r="H13" s="53">
        <f>'DOE25'!K206+'DOE25'!K224+'DOE25'!K242</f>
        <v>20955.21</v>
      </c>
      <c r="I13" s="256"/>
    </row>
    <row r="14" spans="1:9" x14ac:dyDescent="0.2">
      <c r="A14" s="32">
        <v>2600</v>
      </c>
      <c r="B14" t="s">
        <v>819</v>
      </c>
      <c r="C14" s="276">
        <f t="shared" si="0"/>
        <v>2136207.25</v>
      </c>
      <c r="D14" s="20">
        <f>'DOE25'!L207+'DOE25'!L225+'DOE25'!L243-F14-G14-H14</f>
        <v>1693628.1</v>
      </c>
      <c r="E14" s="243"/>
      <c r="F14" s="244">
        <f>73061.22-25000+71955-25000+44849-25000+42982.5-25000+30571.6-25000+30502.86-25000+60377-25000</f>
        <v>179299.18</v>
      </c>
      <c r="G14" s="53">
        <f>'DOE25'!J207+'DOE25'!J225+'DOE25'!J243</f>
        <v>263279.96999999997</v>
      </c>
      <c r="H14" s="53">
        <f>'DOE25'!K207+'DOE25'!K225+'DOE25'!K243</f>
        <v>0</v>
      </c>
      <c r="I14" s="256"/>
    </row>
    <row r="15" spans="1:9" x14ac:dyDescent="0.2">
      <c r="A15" s="32">
        <v>2700</v>
      </c>
      <c r="B15" t="s">
        <v>799</v>
      </c>
      <c r="C15" s="276">
        <f t="shared" si="0"/>
        <v>1518298.28</v>
      </c>
      <c r="D15" s="20">
        <f>'DOE25'!L208+'DOE25'!L226+'DOE25'!L244-F15-G15-H15</f>
        <v>170260.78000000003</v>
      </c>
      <c r="E15" s="243"/>
      <c r="F15" s="244">
        <f>1373037.5-25000</f>
        <v>1348037.5</v>
      </c>
      <c r="G15" s="53">
        <f>'DOE25'!J208+'DOE25'!J226+'DOE25'!J244</f>
        <v>0</v>
      </c>
      <c r="H15" s="53">
        <f>'DOE25'!K208+'DOE25'!K226+'DOE25'!K244</f>
        <v>0</v>
      </c>
      <c r="I15" s="256"/>
    </row>
    <row r="16" spans="1:9" x14ac:dyDescent="0.2">
      <c r="A16" s="32">
        <v>2800</v>
      </c>
      <c r="B16" t="s">
        <v>800</v>
      </c>
      <c r="C16" s="276">
        <f t="shared" si="0"/>
        <v>692757.27</v>
      </c>
      <c r="D16" s="243"/>
      <c r="E16" s="20">
        <f>'DOE25'!L209+'DOE25'!L227+'DOE25'!L245-F16-G16-H16</f>
        <v>481722.45999999996</v>
      </c>
      <c r="F16" s="244">
        <f>46014-25000+34376.8-25000</f>
        <v>30390.800000000003</v>
      </c>
      <c r="G16" s="53">
        <f>'DOE25'!J209+'DOE25'!J227+'DOE25'!J245</f>
        <v>180644.01</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901616.2</v>
      </c>
      <c r="D25" s="243"/>
      <c r="E25" s="243"/>
      <c r="F25" s="255"/>
      <c r="G25" s="253"/>
      <c r="H25" s="253"/>
      <c r="I25" s="254">
        <f>'DOE25'!L260+'DOE25'!L261+'DOE25'!L341+'DOE25'!L342</f>
        <v>901616.2</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503797.35000000009</v>
      </c>
      <c r="D29" s="284">
        <f>'DOE25'!L358+'DOE25'!L359+'DOE25'!L360-'DOE25'!I367-F29-G29-H29</f>
        <v>85092.070000000036</v>
      </c>
      <c r="E29" s="243"/>
      <c r="F29" s="244">
        <f>443550-25000</f>
        <v>418550</v>
      </c>
      <c r="G29" s="53">
        <f>'DOE25'!J358+'DOE25'!J359+'DOE25'!J360</f>
        <v>153.03</v>
      </c>
      <c r="H29" s="53">
        <f>'DOE25'!K358+'DOE25'!K359+'DOE25'!K360</f>
        <v>2.25</v>
      </c>
      <c r="I29" s="256"/>
    </row>
    <row r="30" spans="1:9" x14ac:dyDescent="0.2">
      <c r="A30" s="32"/>
      <c r="C30" s="277"/>
      <c r="D30" s="20"/>
      <c r="E30" s="281"/>
      <c r="F30" s="271"/>
      <c r="G30" s="53"/>
      <c r="H30" s="53"/>
      <c r="I30" s="256"/>
    </row>
    <row r="31" spans="1:9" x14ac:dyDescent="0.2">
      <c r="A31" s="32" t="s">
        <v>818</v>
      </c>
      <c r="B31" t="s">
        <v>817</v>
      </c>
      <c r="C31" s="276">
        <f>SUM(D31:I31)</f>
        <v>710819.69</v>
      </c>
      <c r="D31" s="20">
        <f>'DOE25'!L290+'DOE25'!L309+'DOE25'!L328+'DOE25'!L333+'DOE25'!L334+'DOE25'!L335-F31-G31-H31</f>
        <v>679890.69</v>
      </c>
      <c r="E31" s="243"/>
      <c r="F31" s="324">
        <f>55929-25000</f>
        <v>30929</v>
      </c>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20130239.510000002</v>
      </c>
      <c r="E33" s="245">
        <f t="shared" si="1"/>
        <v>1119955.68</v>
      </c>
      <c r="F33" s="245">
        <f t="shared" si="1"/>
        <v>2045959.98</v>
      </c>
      <c r="G33" s="245">
        <f t="shared" si="1"/>
        <v>467948.7</v>
      </c>
      <c r="H33" s="245">
        <f t="shared" si="1"/>
        <v>82423.350000000006</v>
      </c>
      <c r="I33" s="245">
        <f t="shared" si="1"/>
        <v>901616.2</v>
      </c>
    </row>
    <row r="35" spans="1:9" ht="12" thickBot="1" x14ac:dyDescent="0.25">
      <c r="B35" s="251" t="s">
        <v>831</v>
      </c>
      <c r="D35" s="252">
        <f>E33</f>
        <v>1119955.68</v>
      </c>
      <c r="E35" s="248"/>
    </row>
    <row r="36" spans="1:9" ht="12" thickTop="1" x14ac:dyDescent="0.2">
      <c r="B36" t="s">
        <v>810</v>
      </c>
      <c r="D36" s="20">
        <f>D33</f>
        <v>20130239.510000002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2" t="s">
        <v>908</v>
      </c>
      <c r="C53" s="332"/>
      <c r="D53" s="332"/>
      <c r="E53" s="332"/>
      <c r="F53" s="332"/>
      <c r="G53" s="332"/>
      <c r="H53" s="332"/>
      <c r="I53" s="282"/>
    </row>
  </sheetData>
  <sheetProtection algorithmName="SHA-512" hashValue="NEQCiT1Yt8xz2xZe/UPUYgvmji0q8tZDpG1N8iyGGsgXOZvxFTWWHlCOONiWqTHcbm7a8U7nIlsh8OTFc4sqfA==" saltValue="a8R7IANZBKM2VdHpUv1V2w==" spinCount="100000" sheet="1" objects="1" scenarios="1"/>
  <mergeCells count="3">
    <mergeCell ref="F2:H2"/>
    <mergeCell ref="A1:H1"/>
    <mergeCell ref="B53:H53"/>
  </mergeCells>
  <phoneticPr fontId="0" type="noConversion"/>
  <pageMargins left="0.5" right="0.5" top="0.5" bottom="0.5" header="0.5" footer="0.5"/>
  <pageSetup scale="9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Jaffrey-Rindge Cooperative School District</v>
      </c>
      <c r="B2" s="126">
        <f>'DOE25'!B2</f>
        <v>274</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11172729.550000001</v>
      </c>
      <c r="G4" s="303">
        <f>'DOE25'!L211+'DOE25'!L290</f>
        <v>11172729.550000001</v>
      </c>
      <c r="H4" s="304">
        <f>F4-G4</f>
        <v>0</v>
      </c>
      <c r="I4" s="310" t="str">
        <f>IF(H4=0,"","Does not match DOE25 page 7 and 11 Totals!!")</f>
        <v/>
      </c>
      <c r="N4"/>
    </row>
    <row r="5" spans="1:18" x14ac:dyDescent="0.2">
      <c r="A5" s="21" t="s">
        <v>1163</v>
      </c>
      <c r="B5" s="305">
        <f>IFERROR(VLOOKUP(A5,'School Tables'!$C$3:$D$368,2,FALSE),"")</f>
        <v>22275</v>
      </c>
      <c r="C5" s="297" t="str">
        <f>IFERROR(INDEX('School Tables'!$B$3:$B$368,MATCH('School Level Expenditures'!B5,'School Tables'!$D$3:$D$368,0)),"")</f>
        <v>Jaffrey-Rindge Cooperative</v>
      </c>
      <c r="D5" s="294">
        <f>3037929.13+829087.02+1037096.06</f>
        <v>4904112.21</v>
      </c>
      <c r="E5" s="294">
        <f>320581.33+1875.15+33376.12</f>
        <v>355832.60000000003</v>
      </c>
      <c r="F5" s="313">
        <f>D5+E5</f>
        <v>5259944.8099999996</v>
      </c>
      <c r="G5" s="297"/>
      <c r="H5" s="297"/>
      <c r="I5" s="126"/>
      <c r="N5"/>
    </row>
    <row r="6" spans="1:18" x14ac:dyDescent="0.2">
      <c r="A6" s="21" t="s">
        <v>1161</v>
      </c>
      <c r="B6" s="305">
        <f>IFERROR(VLOOKUP(A6,'School Tables'!$C$3:$D$368,2,FALSE),"")</f>
        <v>22320</v>
      </c>
      <c r="C6" s="297" t="str">
        <f>IFERROR(INDEX('School Tables'!$B$3:$B$368,MATCH('School Level Expenditures'!B6,'School Tables'!$D$3:$D$368,0)),"")</f>
        <v>Jaffrey-Rindge Cooperative</v>
      </c>
      <c r="D6" s="294">
        <f>3362201.69+1044607.07+1306687.78+0.03</f>
        <v>5713496.5700000003</v>
      </c>
      <c r="E6" s="294">
        <f>160201.71-1875.15+40961.61</f>
        <v>199288.16999999998</v>
      </c>
      <c r="F6" s="308">
        <f t="shared" ref="F6:F20" si="0">D6+E6</f>
        <v>5912784.7400000002</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5246672.3100000005</v>
      </c>
      <c r="G24" s="303">
        <f>'DOE25'!L229+'DOE25'!L309</f>
        <v>5246672.3100000015</v>
      </c>
      <c r="H24" s="304">
        <f>F24-G24</f>
        <v>0</v>
      </c>
      <c r="I24" s="310" t="str">
        <f>IF(H24=0,"","Does not match DOE25 page 8 and 12 Totals!!")</f>
        <v/>
      </c>
      <c r="N24"/>
    </row>
    <row r="25" spans="1:14" x14ac:dyDescent="0.2">
      <c r="A25" s="21" t="s">
        <v>1164</v>
      </c>
      <c r="B25" s="305">
        <f>IFERROR(VLOOKUP(A25,'School Tables'!$I$3:$J$80,2,FALSE),"")</f>
        <v>22280</v>
      </c>
      <c r="C25" s="297" t="str">
        <f t="array" ref="C25">IFERROR(INDEX('School Tables'!$H$3:$H$80,MATCH('School Level Expenditures'!B25,'School Tables'!$J$3:$J$80,0)),"")</f>
        <v>Jaffrey-Rindge Cooperative</v>
      </c>
      <c r="D25" s="294">
        <f>2665484.67+1664930.24+879489.03</f>
        <v>5209903.9400000004</v>
      </c>
      <c r="E25" s="294">
        <f>1875.15+34893.22</f>
        <v>36768.370000000003</v>
      </c>
      <c r="F25" s="308">
        <f>D25+E25</f>
        <v>5246672.3100000005</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6903803.0099999988</v>
      </c>
      <c r="G36" s="303">
        <f>'DOE25'!L247+'DOE25'!L328</f>
        <v>6903803.0099999998</v>
      </c>
      <c r="H36" s="304">
        <f>F36-G36</f>
        <v>0</v>
      </c>
      <c r="I36" s="310" t="str">
        <f>IF(H36=0,"","Does not match DOE25 page 9 and 13 Totals!!")</f>
        <v/>
      </c>
      <c r="N36"/>
    </row>
    <row r="37" spans="1:14" x14ac:dyDescent="0.2">
      <c r="A37" s="21" t="s">
        <v>1162</v>
      </c>
      <c r="B37" s="305">
        <f>IFERROR(VLOOKUP(A37,'School Tables'!$O$3:$P$122,2,FALSE),"")</f>
        <v>22265</v>
      </c>
      <c r="C37" s="297" t="str">
        <f t="array" ref="C37">IFERROR(INDEX('School Tables'!$N$3:$N$122,MATCH('School Level Expenditures'!B37,'School Tables'!$P$3:$P$122,0)),"")</f>
        <v>Jaffrey-Rindge Cooperative</v>
      </c>
      <c r="D37" s="294">
        <f>3406297.3+2187532.81+1070682.35+120360</f>
        <v>6784872.459999999</v>
      </c>
      <c r="E37" s="294">
        <f>76451.85+42478.7</f>
        <v>118930.55</v>
      </c>
      <c r="F37" s="308">
        <f>D37+E37</f>
        <v>6903803.0099999988</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2"/>
      <c r="B58" s="332"/>
      <c r="C58" s="332"/>
      <c r="D58" s="332"/>
      <c r="E58" s="332"/>
      <c r="F58" s="332"/>
      <c r="G58" s="33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A6" sqref="A6"/>
      <selection pane="bottomLeft" activeCell="A6" sqref="A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Jaffrey-Rindge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1417016.25</v>
      </c>
      <c r="D8" s="95">
        <f>'DOE25'!G9</f>
        <v>237.03</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2654912.35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130462.8</v>
      </c>
      <c r="D11" s="95">
        <f>'DOE25'!G12</f>
        <v>16701.93</v>
      </c>
      <c r="E11" s="95">
        <f>'DOE25'!H12</f>
        <v>0</v>
      </c>
      <c r="F11" s="95">
        <f>'DOE25'!I12</f>
        <v>0</v>
      </c>
      <c r="G11" s="95">
        <f>'DOE25'!J12</f>
        <v>0</v>
      </c>
      <c r="H11" s="124"/>
      <c r="I11" s="124"/>
    </row>
    <row r="12" spans="1:9" x14ac:dyDescent="0.2">
      <c r="A12" s="1" t="s">
        <v>143</v>
      </c>
      <c r="B12" s="6">
        <v>140</v>
      </c>
      <c r="C12" s="95">
        <f>'DOE25'!F13</f>
        <v>143080.97</v>
      </c>
      <c r="D12" s="95">
        <f>'DOE25'!G13</f>
        <v>12520.73</v>
      </c>
      <c r="E12" s="95">
        <f>'DOE25'!H13</f>
        <v>147427.34</v>
      </c>
      <c r="F12" s="95">
        <f>'DOE25'!I13</f>
        <v>0</v>
      </c>
      <c r="G12" s="95">
        <f>'DOE25'!J13</f>
        <v>0</v>
      </c>
      <c r="H12" s="124"/>
      <c r="I12" s="124"/>
    </row>
    <row r="13" spans="1:9" x14ac:dyDescent="0.2">
      <c r="A13" s="1" t="s">
        <v>144</v>
      </c>
      <c r="B13" s="6">
        <v>150</v>
      </c>
      <c r="C13" s="95">
        <f>'DOE25'!F14</f>
        <v>7626.62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23869.1</v>
      </c>
      <c r="E15" s="95">
        <f>'DOE25'!H16</f>
        <v>0</v>
      </c>
      <c r="F15" s="95">
        <f>'DOE25'!I16</f>
        <v>0</v>
      </c>
      <c r="G15" s="24" t="s">
        <v>288</v>
      </c>
      <c r="H15" s="124"/>
      <c r="I15" s="124"/>
    </row>
    <row r="16" spans="1:9" x14ac:dyDescent="0.2">
      <c r="A16" s="1" t="s">
        <v>147</v>
      </c>
      <c r="B16" s="6">
        <v>180</v>
      </c>
      <c r="C16" s="95">
        <f>'DOE25'!F17</f>
        <v>8896.5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1707083.1400000001</v>
      </c>
      <c r="D18" s="41">
        <f>SUM(D8:D17)</f>
        <v>53328.789999999994</v>
      </c>
      <c r="E18" s="41">
        <f>SUM(E8:E17)</f>
        <v>147427.34</v>
      </c>
      <c r="F18" s="41">
        <f>SUM(F8:F17)</f>
        <v>0</v>
      </c>
      <c r="G18" s="41">
        <f>SUM(G8:G17)</f>
        <v>2654912.35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147164.73000000001</v>
      </c>
      <c r="F21" s="95">
        <f>'DOE25'!I22</f>
        <v>0</v>
      </c>
      <c r="G21" s="95">
        <f>'DOE25'!J22</f>
        <v>0</v>
      </c>
      <c r="H21" s="124"/>
      <c r="I21" s="124"/>
    </row>
    <row r="22" spans="1:9" x14ac:dyDescent="0.2">
      <c r="A22" s="1" t="s">
        <v>151</v>
      </c>
      <c r="B22" s="6">
        <v>410</v>
      </c>
      <c r="C22" s="95">
        <f>'DOE25'!F23</f>
        <v>0</v>
      </c>
      <c r="D22" s="95">
        <f>'DOE25'!G23</f>
        <v>0</v>
      </c>
      <c r="E22" s="95">
        <f>'DOE25'!H23</f>
        <v>262.61</v>
      </c>
      <c r="F22" s="95">
        <f>'DOE25'!I23</f>
        <v>0</v>
      </c>
      <c r="G22" s="95">
        <f>'DOE25'!J23</f>
        <v>0</v>
      </c>
      <c r="H22" s="124"/>
      <c r="I22" s="124"/>
    </row>
    <row r="23" spans="1:9" x14ac:dyDescent="0.2">
      <c r="A23" s="1" t="s">
        <v>152</v>
      </c>
      <c r="B23" s="6">
        <v>420</v>
      </c>
      <c r="C23" s="95">
        <f>'DOE25'!F24</f>
        <v>353534.65</v>
      </c>
      <c r="D23" s="95">
        <f>'DOE25'!G24</f>
        <v>1261.19</v>
      </c>
      <c r="E23" s="95">
        <f>'DOE25'!H24</f>
        <v>0</v>
      </c>
      <c r="F23" s="95">
        <f>'DOE25'!I24</f>
        <v>0</v>
      </c>
      <c r="G23" s="95">
        <f>'DOE25'!J24</f>
        <v>0</v>
      </c>
      <c r="H23" s="124"/>
      <c r="I23" s="124"/>
    </row>
    <row r="24" spans="1:9" x14ac:dyDescent="0.2">
      <c r="A24" s="1" t="s">
        <v>153</v>
      </c>
      <c r="B24" s="6">
        <v>430</v>
      </c>
      <c r="C24" s="95">
        <f>'DOE25'!F25</f>
        <v>0</v>
      </c>
      <c r="D24" s="95">
        <f>'DOE25'!G25</f>
        <v>8210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48361.619999999995</v>
      </c>
      <c r="D27" s="95">
        <f>'DOE25'!G28</f>
        <v>32.299999999999997</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18224.669999999998</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401896.27</v>
      </c>
      <c r="D31" s="41">
        <f>SUM(D21:D30)</f>
        <v>27728.159999999996</v>
      </c>
      <c r="E31" s="41">
        <f>SUM(E21:E30)</f>
        <v>147427.34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23869.1</v>
      </c>
      <c r="E34" s="95">
        <f>'DOE25'!H35</f>
        <v>0</v>
      </c>
      <c r="F34" s="95">
        <f>'DOE25'!I35</f>
        <v>0</v>
      </c>
      <c r="G34" s="24" t="s">
        <v>288</v>
      </c>
      <c r="H34" s="124"/>
      <c r="I34" s="124"/>
    </row>
    <row r="35" spans="1:9" x14ac:dyDescent="0.2">
      <c r="A35" s="1" t="s">
        <v>850</v>
      </c>
      <c r="B35" s="6">
        <v>752</v>
      </c>
      <c r="C35" s="95">
        <f>'DOE25'!F36</f>
        <v>8896.5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1731.53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2654912.35</v>
      </c>
      <c r="H42" s="124"/>
      <c r="I42" s="124"/>
    </row>
    <row r="43" spans="1:9" x14ac:dyDescent="0.2">
      <c r="A43" s="1" t="s">
        <v>863</v>
      </c>
      <c r="B43" s="6">
        <v>755</v>
      </c>
      <c r="C43" s="95">
        <f>'DOE25'!F44</f>
        <v>200000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5000</v>
      </c>
      <c r="D48" s="95">
        <f>'DOE25'!G49</f>
        <v>0</v>
      </c>
      <c r="E48" s="95">
        <f>'DOE25'!H49</f>
        <v>0</v>
      </c>
      <c r="F48" s="95">
        <f>'DOE25'!I49</f>
        <v>0</v>
      </c>
      <c r="G48" s="95">
        <f>'DOE25'!J49</f>
        <v>0</v>
      </c>
      <c r="H48" s="124"/>
      <c r="I48" s="124"/>
    </row>
    <row r="49" spans="1:9" ht="12" thickBot="1" x14ac:dyDescent="0.25">
      <c r="A49" s="29" t="s">
        <v>883</v>
      </c>
      <c r="B49" s="71">
        <v>770</v>
      </c>
      <c r="C49" s="95">
        <f>'DOE25'!F50</f>
        <v>841290.37000000011</v>
      </c>
      <c r="D49" s="24" t="s">
        <v>288</v>
      </c>
      <c r="E49" s="24" t="s">
        <v>288</v>
      </c>
      <c r="F49" s="24" t="s">
        <v>288</v>
      </c>
      <c r="G49" s="24" t="s">
        <v>288</v>
      </c>
      <c r="H49" s="124"/>
      <c r="I49" s="124"/>
    </row>
    <row r="50" spans="1:9" ht="12.75" thickTop="1" thickBot="1" x14ac:dyDescent="0.25">
      <c r="A50" s="38" t="s">
        <v>884</v>
      </c>
      <c r="B50" s="48"/>
      <c r="C50" s="41">
        <f>SUM(C34:C49)</f>
        <v>1305186.8700000001</v>
      </c>
      <c r="D50" s="41">
        <f>SUM(D34:D49)</f>
        <v>25600.629999999997</v>
      </c>
      <c r="E50" s="41">
        <f>SUM(E34:E49)</f>
        <v>0</v>
      </c>
      <c r="F50" s="41">
        <f>SUM(F34:F49)</f>
        <v>0</v>
      </c>
      <c r="G50" s="41">
        <f>SUM(G34:G49)</f>
        <v>2654912.35</v>
      </c>
      <c r="H50" s="124"/>
      <c r="I50" s="124"/>
    </row>
    <row r="51" spans="1:9" ht="12" thickTop="1" x14ac:dyDescent="0.2">
      <c r="A51" s="38" t="s">
        <v>885</v>
      </c>
      <c r="B51" s="2"/>
      <c r="C51" s="41">
        <f>C50+C31</f>
        <v>1707083.1400000001</v>
      </c>
      <c r="D51" s="41">
        <f>D50+D31</f>
        <v>53328.789999999994</v>
      </c>
      <c r="E51" s="41">
        <f>E50+E31</f>
        <v>147427.34</v>
      </c>
      <c r="F51" s="41">
        <f>F50+F31</f>
        <v>0</v>
      </c>
      <c r="G51" s="41">
        <f>G50+G31</f>
        <v>2654912.35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15143589</v>
      </c>
      <c r="D56" s="95">
        <f>'DOE25'!G60</f>
        <v>0</v>
      </c>
      <c r="E56" s="95">
        <f>'DOE25'!H60</f>
        <v>0</v>
      </c>
      <c r="F56" s="95">
        <f>'DOE25'!I60</f>
        <v>0</v>
      </c>
      <c r="G56" s="95">
        <f>'DOE25'!J60</f>
        <v>0</v>
      </c>
      <c r="H56"/>
      <c r="I56"/>
    </row>
    <row r="57" spans="1:9" x14ac:dyDescent="0.2">
      <c r="A57" s="1" t="s">
        <v>164</v>
      </c>
      <c r="B57" s="6" t="s">
        <v>165</v>
      </c>
      <c r="C57" s="95">
        <f>'DOE25'!F79</f>
        <v>80467.73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22866.080000000002</v>
      </c>
      <c r="D59" s="95">
        <f>'DOE25'!G96</f>
        <v>0</v>
      </c>
      <c r="E59" s="95">
        <f>'DOE25'!H96</f>
        <v>0</v>
      </c>
      <c r="F59" s="95">
        <f>'DOE25'!I96</f>
        <v>0</v>
      </c>
      <c r="G59" s="95">
        <f>'DOE25'!J96</f>
        <v>129182.3</v>
      </c>
      <c r="H59"/>
      <c r="I59"/>
    </row>
    <row r="60" spans="1:9" x14ac:dyDescent="0.2">
      <c r="A60" s="1" t="s">
        <v>170</v>
      </c>
      <c r="B60" s="118" t="s">
        <v>171</v>
      </c>
      <c r="C60" s="24" t="s">
        <v>288</v>
      </c>
      <c r="D60" s="95">
        <f>'DOE25'!G97</f>
        <v>289938.56</v>
      </c>
      <c r="E60" s="24" t="s">
        <v>288</v>
      </c>
      <c r="F60" s="24" t="s">
        <v>288</v>
      </c>
      <c r="G60" s="24" t="s">
        <v>288</v>
      </c>
      <c r="H60"/>
      <c r="I60"/>
    </row>
    <row r="61" spans="1:9" ht="12" thickBot="1" x14ac:dyDescent="0.25">
      <c r="A61" s="1" t="s">
        <v>172</v>
      </c>
      <c r="B61" s="118" t="s">
        <v>173</v>
      </c>
      <c r="C61" s="95">
        <f>SUM('DOE25'!F98:F110)</f>
        <v>240063.38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343397.19</v>
      </c>
      <c r="D62" s="130">
        <f>SUM(D57:D61)</f>
        <v>289938.56</v>
      </c>
      <c r="E62" s="130">
        <f>SUM(E57:E61)</f>
        <v>0</v>
      </c>
      <c r="F62" s="130">
        <f>SUM(F57:F61)</f>
        <v>0</v>
      </c>
      <c r="G62" s="130">
        <f>SUM(G57:G61)</f>
        <v>129182.3</v>
      </c>
      <c r="H62"/>
      <c r="I62"/>
    </row>
    <row r="63" spans="1:9" ht="12" thickTop="1" x14ac:dyDescent="0.2">
      <c r="A63" s="29" t="s">
        <v>175</v>
      </c>
      <c r="B63" s="6"/>
      <c r="C63" s="22">
        <f>C56+C62</f>
        <v>15486986.189999999</v>
      </c>
      <c r="D63" s="22">
        <f>D56+D62</f>
        <v>289938.56</v>
      </c>
      <c r="E63" s="22">
        <f>E56+E62</f>
        <v>0</v>
      </c>
      <c r="F63" s="22">
        <f>F56+F62</f>
        <v>0</v>
      </c>
      <c r="G63" s="22">
        <f>G56+G62</f>
        <v>129182.3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4696913.08</v>
      </c>
      <c r="D66" s="24" t="s">
        <v>288</v>
      </c>
      <c r="E66" s="24" t="s">
        <v>288</v>
      </c>
      <c r="F66" s="24" t="s">
        <v>288</v>
      </c>
      <c r="G66" s="24" t="s">
        <v>288</v>
      </c>
      <c r="H66"/>
      <c r="I66"/>
    </row>
    <row r="67" spans="1:9" x14ac:dyDescent="0.2">
      <c r="A67" s="1" t="s">
        <v>770</v>
      </c>
      <c r="B67" s="6">
        <v>3112</v>
      </c>
      <c r="C67" s="95">
        <f>'DOE25'!F118</f>
        <v>2109498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469.46</v>
      </c>
      <c r="D69" s="95">
        <f>'DOE25'!G120</f>
        <v>0</v>
      </c>
      <c r="E69" s="95">
        <f>'DOE25'!H120</f>
        <v>0</v>
      </c>
      <c r="F69" s="95">
        <f>'DOE25'!I120</f>
        <v>0</v>
      </c>
      <c r="G69" s="95">
        <f>'DOE25'!J120</f>
        <v>0</v>
      </c>
      <c r="H69"/>
      <c r="I69"/>
    </row>
    <row r="70" spans="1:9" ht="12" thickTop="1" x14ac:dyDescent="0.2">
      <c r="A70" s="29" t="s">
        <v>252</v>
      </c>
      <c r="B70" s="2"/>
      <c r="C70" s="139">
        <f>SUM(C66:C69)</f>
        <v>6806880.54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325898.36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124976.83</v>
      </c>
      <c r="D74" s="24"/>
      <c r="E74" s="24"/>
      <c r="F74" s="24"/>
      <c r="G74" s="24"/>
      <c r="H74"/>
      <c r="I74"/>
    </row>
    <row r="75" spans="1:9" x14ac:dyDescent="0.2">
      <c r="A75" s="1" t="s">
        <v>256</v>
      </c>
      <c r="B75" s="6">
        <v>3230</v>
      </c>
      <c r="C75" s="95">
        <f>'DOE25'!F126</f>
        <v>396406.05</v>
      </c>
      <c r="D75" s="24" t="s">
        <v>288</v>
      </c>
      <c r="E75" s="24" t="s">
        <v>288</v>
      </c>
      <c r="F75" s="24" t="s">
        <v>288</v>
      </c>
      <c r="G75" s="24" t="s">
        <v>288</v>
      </c>
      <c r="H75"/>
      <c r="I75"/>
    </row>
    <row r="76" spans="1:9" x14ac:dyDescent="0.2">
      <c r="A76" s="1" t="s">
        <v>257</v>
      </c>
      <c r="B76" s="6" t="s">
        <v>179</v>
      </c>
      <c r="C76" s="95">
        <f>SUM('DOE25'!F127:F130)</f>
        <v>17071.75</v>
      </c>
      <c r="D76" s="24" t="s">
        <v>288</v>
      </c>
      <c r="E76" s="95">
        <f>SUM('DOE25'!H127:H130)</f>
        <v>0</v>
      </c>
      <c r="F76" s="95">
        <f>SUM('DOE25'!I127:I130)</f>
        <v>0</v>
      </c>
      <c r="G76" s="24" t="s">
        <v>288</v>
      </c>
      <c r="H76"/>
      <c r="I76"/>
    </row>
    <row r="77" spans="1:9" ht="12" thickBot="1" x14ac:dyDescent="0.25">
      <c r="A77" s="1" t="s">
        <v>258</v>
      </c>
      <c r="B77" s="6" t="s">
        <v>180</v>
      </c>
      <c r="C77" s="95">
        <f>SUM('DOE25'!F131:F135)</f>
        <v>179309.5</v>
      </c>
      <c r="D77" s="95">
        <f>SUM('DOE25'!G131:G135)</f>
        <v>7166.71</v>
      </c>
      <c r="E77" s="95">
        <f>SUM('DOE25'!H131:H135)</f>
        <v>0</v>
      </c>
      <c r="F77" s="95">
        <f>SUM('DOE25'!I131:I135)</f>
        <v>0</v>
      </c>
      <c r="G77" s="95">
        <f>SUM('DOE25'!J131:J135)</f>
        <v>0</v>
      </c>
      <c r="H77"/>
      <c r="I77"/>
    </row>
    <row r="78" spans="1:9" ht="12.75" thickTop="1" thickBot="1" x14ac:dyDescent="0.25">
      <c r="A78" s="29" t="s">
        <v>259</v>
      </c>
      <c r="B78" s="6"/>
      <c r="C78" s="130">
        <f>SUM(C72:C77)</f>
        <v>1043662.49</v>
      </c>
      <c r="D78" s="130">
        <f>SUM(D72:D77)</f>
        <v>7166.71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7850543.0300000003</v>
      </c>
      <c r="D81" s="130">
        <f>SUM(D79:D80)+D78+D70</f>
        <v>7166.71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145935.72</v>
      </c>
      <c r="D88" s="95">
        <f>SUM('DOE25'!G153:G161)</f>
        <v>201579.02</v>
      </c>
      <c r="E88" s="95">
        <f>SUM('DOE25'!H153:H161)</f>
        <v>718819.69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145935.72</v>
      </c>
      <c r="D91" s="131">
        <f>SUM(D85:D90)</f>
        <v>201579.02</v>
      </c>
      <c r="E91" s="131">
        <f>SUM(E85:E90)</f>
        <v>718819.69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250000</v>
      </c>
    </row>
    <row r="97" spans="1:7" x14ac:dyDescent="0.2">
      <c r="A97" t="s">
        <v>754</v>
      </c>
      <c r="B97" s="32" t="s">
        <v>188</v>
      </c>
      <c r="C97" s="95">
        <f>SUM('DOE25'!F180:F181)</f>
        <v>8000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8000</v>
      </c>
      <c r="D103" s="86">
        <f>SUM(D93:D102)</f>
        <v>0</v>
      </c>
      <c r="E103" s="86">
        <f>SUM(E93:E102)</f>
        <v>0</v>
      </c>
      <c r="F103" s="86">
        <f>SUM(F93:F102)</f>
        <v>0</v>
      </c>
      <c r="G103" s="86">
        <f>SUM(G93:G102)</f>
        <v>250000</v>
      </c>
    </row>
    <row r="104" spans="1:7" ht="12.75" thickTop="1" thickBot="1" x14ac:dyDescent="0.25">
      <c r="A104" s="33" t="s">
        <v>761</v>
      </c>
      <c r="C104" s="86">
        <f>C63+C81+C91+C103</f>
        <v>23491464.939999998</v>
      </c>
      <c r="D104" s="86">
        <f>D63+D81+D91+D103</f>
        <v>498684.29000000004</v>
      </c>
      <c r="E104" s="86">
        <f>E63+E81+E91+E103</f>
        <v>718819.69</v>
      </c>
      <c r="F104" s="86">
        <f>F63+F81+F91+F103</f>
        <v>0</v>
      </c>
      <c r="G104" s="86">
        <f>G63+G81+G103</f>
        <v>379182.3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7768082.9799999995</v>
      </c>
      <c r="D109" s="24" t="s">
        <v>288</v>
      </c>
      <c r="E109" s="95">
        <f>('DOE25'!L276)+('DOE25'!L295)+('DOE25'!L314)</f>
        <v>281037.31999999995</v>
      </c>
      <c r="F109" s="24" t="s">
        <v>288</v>
      </c>
      <c r="G109" s="24" t="s">
        <v>288</v>
      </c>
    </row>
    <row r="110" spans="1:7" x14ac:dyDescent="0.2">
      <c r="A110" t="s">
        <v>198</v>
      </c>
      <c r="B110" s="32" t="s">
        <v>199</v>
      </c>
      <c r="C110" s="95">
        <f>('DOE25'!L198)+('DOE25'!L216)+('DOE25'!L234)</f>
        <v>5678732.5</v>
      </c>
      <c r="D110" s="24" t="s">
        <v>288</v>
      </c>
      <c r="E110" s="95">
        <f>('DOE25'!L277)+('DOE25'!L296)+('DOE25'!L315)</f>
        <v>221538.72999999998</v>
      </c>
      <c r="F110" s="24" t="s">
        <v>288</v>
      </c>
      <c r="G110" s="24" t="s">
        <v>288</v>
      </c>
    </row>
    <row r="111" spans="1:7" x14ac:dyDescent="0.2">
      <c r="A111" t="s">
        <v>200</v>
      </c>
      <c r="B111" s="32" t="s">
        <v>165</v>
      </c>
      <c r="C111" s="95">
        <f>('DOE25'!L199)+('DOE25'!L217)+('DOE25'!L235)</f>
        <v>418380.45999999996</v>
      </c>
      <c r="D111" s="24" t="s">
        <v>288</v>
      </c>
      <c r="E111" s="95">
        <f>('DOE25'!L278)+('DOE25'!L297)+('DOE25'!L316)</f>
        <v>0</v>
      </c>
      <c r="F111" s="24" t="s">
        <v>288</v>
      </c>
      <c r="G111" s="24" t="s">
        <v>288</v>
      </c>
    </row>
    <row r="112" spans="1:7" x14ac:dyDescent="0.2">
      <c r="A112" t="s">
        <v>201</v>
      </c>
      <c r="B112" s="32" t="s">
        <v>167</v>
      </c>
      <c r="C112" s="95">
        <f>('DOE25'!L200)+('DOE25'!L218)+('DOE25'!L236)</f>
        <v>370906.53</v>
      </c>
      <c r="D112" s="24" t="s">
        <v>288</v>
      </c>
      <c r="E112" s="95">
        <f>+('DOE25'!L279)+('DOE25'!L298)+('DOE25'!L317)</f>
        <v>6715.31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14236102.470000001</v>
      </c>
      <c r="D115" s="86">
        <f>SUM(D109:D114)</f>
        <v>0</v>
      </c>
      <c r="E115" s="86">
        <f>SUM(E109:E114)</f>
        <v>509291.35999999993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1289598.57</v>
      </c>
      <c r="D118" s="24" t="s">
        <v>288</v>
      </c>
      <c r="E118" s="95">
        <f>+('DOE25'!L281)+('DOE25'!L300)+('DOE25'!L319)</f>
        <v>32828.700000000004</v>
      </c>
      <c r="F118" s="24" t="s">
        <v>288</v>
      </c>
      <c r="G118" s="24" t="s">
        <v>288</v>
      </c>
    </row>
    <row r="119" spans="1:7" x14ac:dyDescent="0.2">
      <c r="A119" t="s">
        <v>208</v>
      </c>
      <c r="B119" s="32" t="s">
        <v>209</v>
      </c>
      <c r="C119" s="95">
        <f>('DOE25'!L203)+('DOE25'!L221)+('DOE25'!L239)</f>
        <v>562832.62</v>
      </c>
      <c r="D119" s="24" t="s">
        <v>288</v>
      </c>
      <c r="E119" s="95">
        <f>+('DOE25'!L282)+('DOE25'!L301)+('DOE25'!L320)</f>
        <v>168699.63</v>
      </c>
      <c r="F119" s="24" t="s">
        <v>288</v>
      </c>
      <c r="G119" s="24" t="s">
        <v>288</v>
      </c>
    </row>
    <row r="120" spans="1:7" x14ac:dyDescent="0.2">
      <c r="A120" t="s">
        <v>210</v>
      </c>
      <c r="B120" s="32" t="s">
        <v>211</v>
      </c>
      <c r="C120" s="95">
        <f>('DOE25'!L204)+('DOE25'!L222)+('DOE25'!L240)</f>
        <v>412869.06999999995</v>
      </c>
      <c r="D120" s="24" t="s">
        <v>288</v>
      </c>
      <c r="E120" s="95">
        <f>+('DOE25'!L283)+('DOE25'!L302)+('DOE25'!L321)</f>
        <v>0</v>
      </c>
      <c r="F120" s="24" t="s">
        <v>288</v>
      </c>
      <c r="G120" s="24" t="s">
        <v>288</v>
      </c>
    </row>
    <row r="121" spans="1:7" x14ac:dyDescent="0.2">
      <c r="A121" t="s">
        <v>212</v>
      </c>
      <c r="B121" s="32" t="s">
        <v>213</v>
      </c>
      <c r="C121" s="95">
        <f>('DOE25'!L205)+('DOE25'!L223)+('DOE25'!L241)</f>
        <v>1160723.28</v>
      </c>
      <c r="D121" s="24" t="s">
        <v>288</v>
      </c>
      <c r="E121" s="95">
        <f>+('DOE25'!L284)+('DOE25'!L303)+('DOE25'!L322)</f>
        <v>0</v>
      </c>
      <c r="F121" s="24" t="s">
        <v>288</v>
      </c>
      <c r="G121" s="24" t="s">
        <v>288</v>
      </c>
    </row>
    <row r="122" spans="1:7" x14ac:dyDescent="0.2">
      <c r="A122" t="s">
        <v>214</v>
      </c>
      <c r="B122" s="32" t="s">
        <v>215</v>
      </c>
      <c r="C122" s="95">
        <f>('DOE25'!L206)+('DOE25'!L224)+('DOE25'!L242)</f>
        <v>602996.37</v>
      </c>
      <c r="D122" s="24" t="s">
        <v>288</v>
      </c>
      <c r="E122" s="95">
        <f>+('DOE25'!L285)+('DOE25'!L304)+('DOE25'!L323)</f>
        <v>0</v>
      </c>
      <c r="F122" s="24" t="s">
        <v>288</v>
      </c>
      <c r="G122" s="24" t="s">
        <v>288</v>
      </c>
    </row>
    <row r="123" spans="1:7" x14ac:dyDescent="0.2">
      <c r="A123" t="s">
        <v>216</v>
      </c>
      <c r="B123" s="32" t="s">
        <v>217</v>
      </c>
      <c r="C123" s="95">
        <f>('DOE25'!L207)+('DOE25'!L225)+('DOE25'!L243)</f>
        <v>2136207.25</v>
      </c>
      <c r="D123" s="24" t="s">
        <v>288</v>
      </c>
      <c r="E123" s="95">
        <f>+('DOE25'!L286)+('DOE25'!L305)+('DOE25'!L324)</f>
        <v>0</v>
      </c>
      <c r="F123" s="24" t="s">
        <v>288</v>
      </c>
      <c r="G123" s="24" t="s">
        <v>288</v>
      </c>
    </row>
    <row r="124" spans="1:7" x14ac:dyDescent="0.2">
      <c r="A124" t="s">
        <v>218</v>
      </c>
      <c r="B124" s="32" t="s">
        <v>219</v>
      </c>
      <c r="C124" s="95">
        <f>('DOE25'!L208)+('DOE25'!L226)+('DOE25'!L244+'DOE25'!L254)</f>
        <v>1518298.28</v>
      </c>
      <c r="D124" s="24" t="s">
        <v>288</v>
      </c>
      <c r="E124" s="95">
        <f>+('DOE25'!L287)+('DOE25'!L306)+('DOE25'!L325)</f>
        <v>0</v>
      </c>
      <c r="F124" s="24" t="s">
        <v>288</v>
      </c>
      <c r="G124" s="24" t="s">
        <v>288</v>
      </c>
    </row>
    <row r="125" spans="1:7" x14ac:dyDescent="0.2">
      <c r="A125" t="s">
        <v>220</v>
      </c>
      <c r="B125" s="32" t="s">
        <v>221</v>
      </c>
      <c r="C125" s="95">
        <f>('DOE25'!L209)+('DOE25'!L227)+('DOE25'!L245)</f>
        <v>692757.27</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503797.35000000003</v>
      </c>
      <c r="E127" s="24" t="s">
        <v>288</v>
      </c>
      <c r="F127" s="24" t="s">
        <v>288</v>
      </c>
      <c r="G127" s="24" t="s">
        <v>288</v>
      </c>
    </row>
    <row r="128" spans="1:7" ht="12.75" thickTop="1" thickBot="1" x14ac:dyDescent="0.25">
      <c r="A128" s="33" t="s">
        <v>226</v>
      </c>
      <c r="C128" s="86">
        <f>SUM(C118:C127)</f>
        <v>8376282.7100000009</v>
      </c>
      <c r="D128" s="86">
        <f>SUM(D118:D127)</f>
        <v>503797.35000000003</v>
      </c>
      <c r="E128" s="86">
        <f>SUM(E118:E127)</f>
        <v>201528.33000000002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756400</v>
      </c>
      <c r="D131" s="24" t="s">
        <v>288</v>
      </c>
      <c r="E131" s="129">
        <f>'DOE25'!L341</f>
        <v>0</v>
      </c>
      <c r="F131" s="24" t="s">
        <v>288</v>
      </c>
      <c r="G131" s="24" t="s">
        <v>288</v>
      </c>
    </row>
    <row r="132" spans="1:7" x14ac:dyDescent="0.2">
      <c r="A132" t="s">
        <v>230</v>
      </c>
      <c r="B132" s="32">
        <v>5120</v>
      </c>
      <c r="C132" s="95">
        <f>'DOE25'!L261</f>
        <v>145216.20000000001</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8000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154214.24</v>
      </c>
      <c r="D138" s="24" t="s">
        <v>288</v>
      </c>
      <c r="E138" s="24" t="s">
        <v>288</v>
      </c>
      <c r="F138" s="24" t="s">
        <v>288</v>
      </c>
      <c r="G138" s="24" t="s">
        <v>288</v>
      </c>
    </row>
    <row r="139" spans="1:7" x14ac:dyDescent="0.2">
      <c r="A139" t="s">
        <v>239</v>
      </c>
      <c r="B139" s="32">
        <v>5252</v>
      </c>
      <c r="C139" s="95">
        <f>'DOE25'!L401</f>
        <v>166163.63</v>
      </c>
      <c r="D139" s="24" t="s">
        <v>288</v>
      </c>
      <c r="E139" s="24" t="s">
        <v>288</v>
      </c>
      <c r="F139" s="24" t="s">
        <v>288</v>
      </c>
      <c r="G139" s="24" t="s">
        <v>288</v>
      </c>
    </row>
    <row r="140" spans="1:7" x14ac:dyDescent="0.2">
      <c r="A140" t="s">
        <v>240</v>
      </c>
      <c r="B140" s="32">
        <v>5253</v>
      </c>
      <c r="C140" s="95">
        <f>'DOE25'!L407</f>
        <v>58804.43</v>
      </c>
      <c r="D140" s="24" t="s">
        <v>288</v>
      </c>
      <c r="E140" s="24" t="s">
        <v>288</v>
      </c>
      <c r="F140" s="24" t="s">
        <v>288</v>
      </c>
      <c r="G140" s="24" t="s">
        <v>288</v>
      </c>
    </row>
    <row r="141" spans="1:7" x14ac:dyDescent="0.2">
      <c r="A141" t="s">
        <v>762</v>
      </c>
      <c r="B141" s="32">
        <v>5254</v>
      </c>
      <c r="C141" s="95">
        <f>('DOE25'!L266+'DOE25'!K347) - (C138+C139+C140)</f>
        <v>-129182.29999999999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1151616.1999999997</v>
      </c>
      <c r="D144" s="141">
        <f>SUM(D130:D143)</f>
        <v>0</v>
      </c>
      <c r="E144" s="141">
        <f>SUM(E130:E143)</f>
        <v>8000</v>
      </c>
      <c r="F144" s="141">
        <f>SUM(F130:F143)</f>
        <v>0</v>
      </c>
      <c r="G144" s="141">
        <f>SUM(G130:G143)</f>
        <v>0</v>
      </c>
    </row>
    <row r="145" spans="1:9" ht="12.75" thickTop="1" thickBot="1" x14ac:dyDescent="0.25">
      <c r="A145" s="33" t="s">
        <v>244</v>
      </c>
      <c r="C145" s="86">
        <f>(C115+C128+C144)</f>
        <v>23764001.379999999</v>
      </c>
      <c r="D145" s="86">
        <f>(D115+D128+D144)</f>
        <v>503797.35000000003</v>
      </c>
      <c r="E145" s="86">
        <f>(E115+E128+E144)</f>
        <v>718819.69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15</v>
      </c>
      <c r="C151" s="153">
        <f>'DOE25'!G490</f>
        <v>10</v>
      </c>
      <c r="D151" s="153">
        <f>'DOE25'!H490</f>
        <v>0</v>
      </c>
      <c r="E151" s="153">
        <f>'DOE25'!I490</f>
        <v>0</v>
      </c>
      <c r="F151" s="153">
        <f>'DOE25'!J490</f>
        <v>0</v>
      </c>
      <c r="G151" s="24" t="s">
        <v>288</v>
      </c>
    </row>
    <row r="152" spans="1:9" x14ac:dyDescent="0.2">
      <c r="A152" s="136" t="s">
        <v>28</v>
      </c>
      <c r="B152" s="152" t="str">
        <f>'DOE25'!F491</f>
        <v>07/06</v>
      </c>
      <c r="C152" s="152" t="str">
        <f>'DOE25'!G491</f>
        <v>07/17</v>
      </c>
      <c r="D152" s="152">
        <f>'DOE25'!H491</f>
        <v>0</v>
      </c>
      <c r="E152" s="152">
        <f>'DOE25'!I491</f>
        <v>0</v>
      </c>
      <c r="F152" s="152">
        <f>'DOE25'!J491</f>
        <v>0</v>
      </c>
      <c r="G152" s="24" t="s">
        <v>288</v>
      </c>
    </row>
    <row r="153" spans="1:9" x14ac:dyDescent="0.2">
      <c r="A153" s="136" t="s">
        <v>29</v>
      </c>
      <c r="B153" s="152" t="str">
        <f>'DOE25'!F492</f>
        <v>08/21</v>
      </c>
      <c r="C153" s="152" t="str">
        <f>'DOE25'!G492</f>
        <v>08/27</v>
      </c>
      <c r="D153" s="152">
        <f>'DOE25'!H492</f>
        <v>0</v>
      </c>
      <c r="E153" s="152">
        <f>'DOE25'!I492</f>
        <v>0</v>
      </c>
      <c r="F153" s="152">
        <f>'DOE25'!J492</f>
        <v>0</v>
      </c>
      <c r="G153" s="24" t="s">
        <v>288</v>
      </c>
    </row>
    <row r="154" spans="1:9" x14ac:dyDescent="0.2">
      <c r="A154" s="136" t="s">
        <v>30</v>
      </c>
      <c r="B154" s="137">
        <f>'DOE25'!F493</f>
        <v>9247684</v>
      </c>
      <c r="C154" s="137">
        <f>'DOE25'!G493</f>
        <v>1446400</v>
      </c>
      <c r="D154" s="137">
        <f>'DOE25'!H493</f>
        <v>0</v>
      </c>
      <c r="E154" s="137">
        <f>'DOE25'!I493</f>
        <v>0</v>
      </c>
      <c r="F154" s="137">
        <f>'DOE25'!J493</f>
        <v>0</v>
      </c>
      <c r="G154" s="24" t="s">
        <v>288</v>
      </c>
    </row>
    <row r="155" spans="1:9" x14ac:dyDescent="0.2">
      <c r="A155" s="136" t="s">
        <v>31</v>
      </c>
      <c r="B155" s="137">
        <f>'DOE25'!F494</f>
        <v>5</v>
      </c>
      <c r="C155" s="137">
        <f>'DOE25'!G494</f>
        <v>5.0999999999999996</v>
      </c>
      <c r="D155" s="137">
        <f>'DOE25'!H494</f>
        <v>0</v>
      </c>
      <c r="E155" s="137">
        <f>'DOE25'!I494</f>
        <v>0</v>
      </c>
      <c r="F155" s="137">
        <f>'DOE25'!J494</f>
        <v>0</v>
      </c>
      <c r="G155" s="24" t="s">
        <v>288</v>
      </c>
    </row>
    <row r="156" spans="1:9" x14ac:dyDescent="0.2">
      <c r="A156" s="22" t="s">
        <v>32</v>
      </c>
      <c r="B156" s="137">
        <f>'DOE25'!F495</f>
        <v>2460000</v>
      </c>
      <c r="C156" s="137">
        <f>'DOE25'!G495</f>
        <v>1446400</v>
      </c>
      <c r="D156" s="137">
        <f>'DOE25'!H495</f>
        <v>0</v>
      </c>
      <c r="E156" s="137">
        <f>'DOE25'!I495</f>
        <v>0</v>
      </c>
      <c r="F156" s="137">
        <f>'DOE25'!J495</f>
        <v>0</v>
      </c>
      <c r="G156" s="138">
        <f>SUM(B156:F156)</f>
        <v>3906400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615000</v>
      </c>
      <c r="C158" s="137">
        <f>'DOE25'!G497</f>
        <v>141400</v>
      </c>
      <c r="D158" s="137">
        <f>'DOE25'!H497</f>
        <v>0</v>
      </c>
      <c r="E158" s="137">
        <f>'DOE25'!I497</f>
        <v>0</v>
      </c>
      <c r="F158" s="137">
        <f>'DOE25'!J497</f>
        <v>0</v>
      </c>
      <c r="G158" s="138">
        <f t="shared" si="0"/>
        <v>756400</v>
      </c>
    </row>
    <row r="159" spans="1:9" x14ac:dyDescent="0.2">
      <c r="A159" s="22" t="s">
        <v>35</v>
      </c>
      <c r="B159" s="137">
        <f>'DOE25'!F498</f>
        <v>1845000</v>
      </c>
      <c r="C159" s="137">
        <f>'DOE25'!G498</f>
        <v>1305000</v>
      </c>
      <c r="D159" s="137">
        <f>'DOE25'!H498</f>
        <v>0</v>
      </c>
      <c r="E159" s="137">
        <f>'DOE25'!I498</f>
        <v>0</v>
      </c>
      <c r="F159" s="137">
        <f>'DOE25'!J498</f>
        <v>0</v>
      </c>
      <c r="G159" s="138">
        <f t="shared" si="0"/>
        <v>3150000</v>
      </c>
    </row>
    <row r="160" spans="1:9" x14ac:dyDescent="0.2">
      <c r="A160" s="22" t="s">
        <v>36</v>
      </c>
      <c r="B160" s="137">
        <f>'DOE25'!F499</f>
        <v>45418.76</v>
      </c>
      <c r="C160" s="137">
        <f>'DOE25'!G499</f>
        <v>299497.5</v>
      </c>
      <c r="D160" s="137">
        <f>'DOE25'!H499</f>
        <v>0</v>
      </c>
      <c r="E160" s="137">
        <f>'DOE25'!I499</f>
        <v>0</v>
      </c>
      <c r="F160" s="137">
        <f>'DOE25'!J499</f>
        <v>0</v>
      </c>
      <c r="G160" s="138">
        <f t="shared" si="0"/>
        <v>344916.26</v>
      </c>
    </row>
    <row r="161" spans="1:7" x14ac:dyDescent="0.2">
      <c r="A161" s="22" t="s">
        <v>37</v>
      </c>
      <c r="B161" s="137">
        <f>'DOE25'!F500</f>
        <v>1890418.76</v>
      </c>
      <c r="C161" s="137">
        <f>'DOE25'!G500</f>
        <v>1604497.5</v>
      </c>
      <c r="D161" s="137">
        <f>'DOE25'!H500</f>
        <v>0</v>
      </c>
      <c r="E161" s="137">
        <f>'DOE25'!I500</f>
        <v>0</v>
      </c>
      <c r="F161" s="137">
        <f>'DOE25'!J500</f>
        <v>0</v>
      </c>
      <c r="G161" s="138">
        <f t="shared" si="0"/>
        <v>3494916.26</v>
      </c>
    </row>
    <row r="162" spans="1:7" x14ac:dyDescent="0.2">
      <c r="A162" s="22" t="s">
        <v>38</v>
      </c>
      <c r="B162" s="137">
        <f>'DOE25'!F501</f>
        <v>615000</v>
      </c>
      <c r="C162" s="137">
        <f>'DOE25'!G501</f>
        <v>145000</v>
      </c>
      <c r="D162" s="137">
        <f>'DOE25'!H501</f>
        <v>0</v>
      </c>
      <c r="E162" s="137">
        <f>'DOE25'!I501</f>
        <v>0</v>
      </c>
      <c r="F162" s="137">
        <f>'DOE25'!J501</f>
        <v>0</v>
      </c>
      <c r="G162" s="138">
        <f t="shared" si="0"/>
        <v>760000</v>
      </c>
    </row>
    <row r="163" spans="1:7" x14ac:dyDescent="0.2">
      <c r="A163" s="22" t="s">
        <v>39</v>
      </c>
      <c r="B163" s="137">
        <f>'DOE25'!F502</f>
        <v>30378.13</v>
      </c>
      <c r="C163" s="137">
        <f>'DOE25'!G502</f>
        <v>62857.5</v>
      </c>
      <c r="D163" s="137">
        <f>'DOE25'!H502</f>
        <v>0</v>
      </c>
      <c r="E163" s="137">
        <f>'DOE25'!I502</f>
        <v>0</v>
      </c>
      <c r="F163" s="137">
        <f>'DOE25'!J502</f>
        <v>0</v>
      </c>
      <c r="G163" s="138">
        <f t="shared" si="0"/>
        <v>93235.63</v>
      </c>
    </row>
    <row r="164" spans="1:7" x14ac:dyDescent="0.2">
      <c r="A164" s="22" t="s">
        <v>246</v>
      </c>
      <c r="B164" s="137">
        <f>'DOE25'!F503</f>
        <v>645378.13</v>
      </c>
      <c r="C164" s="137">
        <f>'DOE25'!G503</f>
        <v>207857.5</v>
      </c>
      <c r="D164" s="137">
        <f>'DOE25'!H503</f>
        <v>0</v>
      </c>
      <c r="E164" s="137">
        <f>'DOE25'!I503</f>
        <v>0</v>
      </c>
      <c r="F164" s="137">
        <f>'DOE25'!J503</f>
        <v>0</v>
      </c>
      <c r="G164" s="138">
        <f t="shared" si="0"/>
        <v>853235.63</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3" t="s">
        <v>736</v>
      </c>
      <c r="B1" s="333"/>
      <c r="C1" s="333"/>
      <c r="D1" s="333"/>
    </row>
    <row r="2" spans="1:4" x14ac:dyDescent="0.2">
      <c r="A2" s="187" t="s">
        <v>713</v>
      </c>
      <c r="B2" s="186" t="str">
        <f>'DOE25'!A2</f>
        <v>Jaffrey-Rindge Cooperative School District</v>
      </c>
    </row>
    <row r="3" spans="1:4" x14ac:dyDescent="0.2">
      <c r="B3" s="188" t="s">
        <v>1602</v>
      </c>
    </row>
    <row r="4" spans="1:4" x14ac:dyDescent="0.2">
      <c r="B4" t="s">
        <v>61</v>
      </c>
      <c r="C4" s="179">
        <f>IF('DOE25'!F665+'DOE25'!F670=0,0,ROUND('DOE25'!F672,0))</f>
        <v>15347</v>
      </c>
    </row>
    <row r="5" spans="1:4" x14ac:dyDescent="0.2">
      <c r="B5" t="s">
        <v>700</v>
      </c>
      <c r="C5" s="179">
        <f>IF('DOE25'!G665+'DOE25'!G670=0,0,ROUND('DOE25'!G672,0))</f>
        <v>14055</v>
      </c>
    </row>
    <row r="6" spans="1:4" x14ac:dyDescent="0.2">
      <c r="B6" t="s">
        <v>62</v>
      </c>
      <c r="C6" s="179">
        <f>IF('DOE25'!H665+'DOE25'!H670=0,0,ROUND('DOE25'!H672,0))</f>
        <v>14552</v>
      </c>
    </row>
    <row r="7" spans="1:4" x14ac:dyDescent="0.2">
      <c r="B7" t="s">
        <v>701</v>
      </c>
      <c r="C7" s="179">
        <f>IF('DOE25'!I665+'DOE25'!I670=0,0,ROUND('DOE25'!I672,0))</f>
        <v>14829</v>
      </c>
    </row>
    <row r="9" spans="1:4" x14ac:dyDescent="0.2">
      <c r="A9" s="187" t="s">
        <v>94</v>
      </c>
      <c r="B9" s="188" t="s">
        <v>1603</v>
      </c>
      <c r="C9" s="181" t="s">
        <v>720</v>
      </c>
      <c r="D9" s="181" t="s">
        <v>721</v>
      </c>
    </row>
    <row r="10" spans="1:4" x14ac:dyDescent="0.2">
      <c r="A10">
        <v>1100</v>
      </c>
      <c r="B10" t="s">
        <v>702</v>
      </c>
      <c r="C10" s="179">
        <f>ROUND('DOE25'!L197+'DOE25'!L215+'DOE25'!L233+'DOE25'!L276+'DOE25'!L295+'DOE25'!L314,0)</f>
        <v>8049120</v>
      </c>
      <c r="D10" s="182">
        <f>ROUND((C10/$C$28)*100,1)</f>
        <v>34</v>
      </c>
    </row>
    <row r="11" spans="1:4" x14ac:dyDescent="0.2">
      <c r="A11">
        <v>1200</v>
      </c>
      <c r="B11" t="s">
        <v>703</v>
      </c>
      <c r="C11" s="179">
        <f>ROUND('DOE25'!L198+'DOE25'!L216+'DOE25'!L234+'DOE25'!L277+'DOE25'!L296+'DOE25'!L315,0)</f>
        <v>5900271</v>
      </c>
      <c r="D11" s="182">
        <f>ROUND((C11/$C$28)*100,1)</f>
        <v>24.9</v>
      </c>
    </row>
    <row r="12" spans="1:4" x14ac:dyDescent="0.2">
      <c r="A12">
        <v>1300</v>
      </c>
      <c r="B12" t="s">
        <v>704</v>
      </c>
      <c r="C12" s="179">
        <f>ROUND('DOE25'!L199+'DOE25'!L217+'DOE25'!L235+'DOE25'!L278+'DOE25'!L297+'DOE25'!L316,0)</f>
        <v>418380</v>
      </c>
      <c r="D12" s="182">
        <f>ROUND((C12/$C$28)*100,1)</f>
        <v>1.8</v>
      </c>
    </row>
    <row r="13" spans="1:4" x14ac:dyDescent="0.2">
      <c r="A13">
        <v>1400</v>
      </c>
      <c r="B13" t="s">
        <v>705</v>
      </c>
      <c r="C13" s="179">
        <f>ROUND('DOE25'!L200+'DOE25'!L218+'DOE25'!L236+'DOE25'!L279+'DOE25'!L298+'DOE25'!L317,0)</f>
        <v>377622</v>
      </c>
      <c r="D13" s="182">
        <f>ROUND((C13/$C$28)*100,1)</f>
        <v>1.6</v>
      </c>
    </row>
    <row r="14" spans="1:4" x14ac:dyDescent="0.2">
      <c r="D14" s="182"/>
    </row>
    <row r="15" spans="1:4" x14ac:dyDescent="0.2">
      <c r="A15">
        <v>2100</v>
      </c>
      <c r="B15" t="s">
        <v>706</v>
      </c>
      <c r="C15" s="179">
        <f>ROUND('DOE25'!L202+'DOE25'!L220+'DOE25'!L238+'DOE25'!L281+'DOE25'!L300+'DOE25'!L319,0)</f>
        <v>1322427</v>
      </c>
      <c r="D15" s="182">
        <f t="shared" ref="D15:D27" si="0">ROUND((C15/$C$28)*100,1)</f>
        <v>5.6</v>
      </c>
    </row>
    <row r="16" spans="1:4" x14ac:dyDescent="0.2">
      <c r="A16">
        <v>2200</v>
      </c>
      <c r="B16" t="s">
        <v>707</v>
      </c>
      <c r="C16" s="179">
        <f>ROUND('DOE25'!L203+'DOE25'!L221+'DOE25'!L239+'DOE25'!L282+'DOE25'!L301+'DOE25'!L320,0)</f>
        <v>731532</v>
      </c>
      <c r="D16" s="182">
        <f t="shared" si="0"/>
        <v>3.1</v>
      </c>
    </row>
    <row r="17" spans="1:4" x14ac:dyDescent="0.2">
      <c r="A17" s="183" t="s">
        <v>723</v>
      </c>
      <c r="B17" t="s">
        <v>738</v>
      </c>
      <c r="C17" s="179">
        <f>ROUND('DOE25'!L204+'DOE25'!L209+'DOE25'!L222+'DOE25'!L227+'DOE25'!L240+'DOE25'!L245+'DOE25'!L283+'DOE25'!L288+'DOE25'!L302+'DOE25'!L307+'DOE25'!L321+'DOE25'!L326,0)</f>
        <v>1105626</v>
      </c>
      <c r="D17" s="182">
        <f t="shared" si="0"/>
        <v>4.7</v>
      </c>
    </row>
    <row r="18" spans="1:4" x14ac:dyDescent="0.2">
      <c r="A18">
        <v>2400</v>
      </c>
      <c r="B18" t="s">
        <v>711</v>
      </c>
      <c r="C18" s="179">
        <f>ROUND('DOE25'!L205+'DOE25'!L223+'DOE25'!L241+'DOE25'!L284+'DOE25'!L303+'DOE25'!L322,0)</f>
        <v>1160723</v>
      </c>
      <c r="D18" s="182">
        <f t="shared" si="0"/>
        <v>4.9000000000000004</v>
      </c>
    </row>
    <row r="19" spans="1:4" x14ac:dyDescent="0.2">
      <c r="A19">
        <v>2500</v>
      </c>
      <c r="B19" t="s">
        <v>708</v>
      </c>
      <c r="C19" s="179">
        <f>ROUND('DOE25'!L206+'DOE25'!L224+'DOE25'!L242+'DOE25'!L285+'DOE25'!L304+'DOE25'!L323,0)</f>
        <v>602996</v>
      </c>
      <c r="D19" s="182">
        <f t="shared" si="0"/>
        <v>2.5</v>
      </c>
    </row>
    <row r="20" spans="1:4" x14ac:dyDescent="0.2">
      <c r="A20">
        <v>2600</v>
      </c>
      <c r="B20" t="s">
        <v>709</v>
      </c>
      <c r="C20" s="179">
        <f>ROUND('DOE25'!L207+'DOE25'!L225+'DOE25'!L243+'DOE25'!L286+'DOE25'!L305+'DOE25'!L324,0)</f>
        <v>2136207</v>
      </c>
      <c r="D20" s="182">
        <f t="shared" si="0"/>
        <v>9</v>
      </c>
    </row>
    <row r="21" spans="1:4" x14ac:dyDescent="0.2">
      <c r="A21">
        <v>2700</v>
      </c>
      <c r="B21" t="s">
        <v>710</v>
      </c>
      <c r="C21" s="179">
        <f>ROUND('DOE25'!L208+'DOE25'!L226+'DOE25'!L244+'DOE25'!L287+'DOE25'!L306+'DOE25'!L325,0)</f>
        <v>1518298</v>
      </c>
      <c r="D21" s="182">
        <f t="shared" si="0"/>
        <v>6.4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145216</v>
      </c>
      <c r="D25" s="182">
        <f t="shared" si="0"/>
        <v>0.6</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213858.44</v>
      </c>
      <c r="D27" s="182">
        <f t="shared" si="0"/>
        <v>0.9</v>
      </c>
    </row>
    <row r="28" spans="1:4" x14ac:dyDescent="0.2">
      <c r="B28" s="187" t="s">
        <v>719</v>
      </c>
      <c r="C28" s="180">
        <f>SUM(C10:C27)</f>
        <v>23682276.440000001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23682276.440000001</v>
      </c>
    </row>
    <row r="31" spans="1:4" x14ac:dyDescent="0.2">
      <c r="B31" s="33"/>
      <c r="C31" s="180"/>
    </row>
    <row r="32" spans="1:4" x14ac:dyDescent="0.2">
      <c r="A32">
        <v>5100</v>
      </c>
      <c r="B32" s="33" t="s">
        <v>726</v>
      </c>
      <c r="C32" s="180">
        <f>ROUND('DOE25'!L260+'DOE25'!L341,0)</f>
        <v>756400</v>
      </c>
    </row>
    <row r="34" spans="1:4" x14ac:dyDescent="0.2">
      <c r="A34" s="187" t="s">
        <v>94</v>
      </c>
      <c r="B34" s="188" t="s">
        <v>1604</v>
      </c>
      <c r="C34" s="181" t="s">
        <v>720</v>
      </c>
      <c r="D34" s="181" t="s">
        <v>721</v>
      </c>
    </row>
    <row r="35" spans="1:4" x14ac:dyDescent="0.2">
      <c r="A35">
        <v>1100</v>
      </c>
      <c r="B35" s="185" t="s">
        <v>727</v>
      </c>
      <c r="C35" s="179">
        <f>ROUND('DOE25'!F60+'DOE25'!G60+'DOE25'!H60+'DOE25'!I60+'DOE25'!J60,0)</f>
        <v>15143589</v>
      </c>
      <c r="D35" s="182">
        <f t="shared" ref="D35:D40" si="1">ROUND((C35/$C$41)*100,1)</f>
        <v>61.7</v>
      </c>
    </row>
    <row r="36" spans="1:4" x14ac:dyDescent="0.2">
      <c r="B36" s="185" t="s">
        <v>739</v>
      </c>
      <c r="C36" s="179">
        <f>SUM('DOE25'!F112:J112)-SUM('DOE25'!G97:G110)+('DOE25'!F174+'DOE25'!F175+'DOE25'!I174+'DOE25'!I175)-C35</f>
        <v>472579.49000000209</v>
      </c>
      <c r="D36" s="182">
        <f t="shared" si="1"/>
        <v>1.9</v>
      </c>
    </row>
    <row r="37" spans="1:4" x14ac:dyDescent="0.2">
      <c r="A37" s="183" t="s">
        <v>835</v>
      </c>
      <c r="B37" s="185" t="s">
        <v>728</v>
      </c>
      <c r="C37" s="179">
        <f>ROUND('DOE25'!F117+'DOE25'!F118,0)</f>
        <v>6806411</v>
      </c>
      <c r="D37" s="182">
        <f t="shared" si="1"/>
        <v>27.7</v>
      </c>
    </row>
    <row r="38" spans="1:4" x14ac:dyDescent="0.2">
      <c r="A38" s="183" t="s">
        <v>734</v>
      </c>
      <c r="B38" s="185" t="s">
        <v>729</v>
      </c>
      <c r="C38" s="179">
        <f>ROUND(SUM('DOE25'!F140:J140)-SUM('DOE25'!F117:F119),0)</f>
        <v>1051299</v>
      </c>
      <c r="D38" s="182">
        <f t="shared" si="1"/>
        <v>4.3</v>
      </c>
    </row>
    <row r="39" spans="1:4" x14ac:dyDescent="0.2">
      <c r="A39">
        <v>4000</v>
      </c>
      <c r="B39" s="185" t="s">
        <v>730</v>
      </c>
      <c r="C39" s="179">
        <f>ROUND('DOE25'!F169+'DOE25'!G169+'DOE25'!H169+'DOE25'!I169,0)</f>
        <v>1066334</v>
      </c>
      <c r="D39" s="182">
        <f t="shared" si="1"/>
        <v>4.3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24540212.490000002</v>
      </c>
      <c r="D41" s="184">
        <f>SUM(D35:D40)</f>
        <v>99.899999999999991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A6" sqref="A6"/>
      <selection pane="bottomLeft" activeCell="A6" sqref="A6"/>
    </sheetView>
  </sheetViews>
  <sheetFormatPr defaultRowHeight="11.25" x14ac:dyDescent="0.2"/>
  <cols>
    <col min="1" max="1" width="10.33203125" customWidth="1"/>
    <col min="14" max="14" width="6.1640625" customWidth="1"/>
  </cols>
  <sheetData>
    <row r="1" spans="1:26" ht="16.5" thickTop="1" x14ac:dyDescent="0.25">
      <c r="A1" s="344" t="s">
        <v>766</v>
      </c>
      <c r="B1" s="345"/>
      <c r="C1" s="345"/>
      <c r="D1" s="345"/>
      <c r="E1" s="345"/>
      <c r="F1" s="345"/>
      <c r="G1" s="345"/>
      <c r="H1" s="345"/>
      <c r="I1" s="345"/>
      <c r="J1" s="213"/>
      <c r="K1" s="213"/>
      <c r="L1" s="213"/>
      <c r="M1" s="214"/>
    </row>
    <row r="2" spans="1:26" ht="12.75" x14ac:dyDescent="0.2">
      <c r="A2" s="350" t="s">
        <v>763</v>
      </c>
      <c r="B2" s="351"/>
      <c r="C2" s="351"/>
      <c r="D2" s="351"/>
      <c r="E2" s="351"/>
      <c r="F2" s="348" t="str">
        <f>'DOE25'!A2</f>
        <v>Jaffrey-Rindge Cooperative School District</v>
      </c>
      <c r="G2" s="349"/>
      <c r="H2" s="349"/>
      <c r="I2" s="349"/>
      <c r="J2" s="52"/>
      <c r="K2" s="52"/>
      <c r="L2" s="52"/>
      <c r="M2" s="215"/>
    </row>
    <row r="3" spans="1:26" x14ac:dyDescent="0.2">
      <c r="A3" s="216" t="s">
        <v>764</v>
      </c>
      <c r="B3" s="217" t="s">
        <v>765</v>
      </c>
      <c r="C3" s="346" t="s">
        <v>767</v>
      </c>
      <c r="D3" s="346"/>
      <c r="E3" s="346"/>
      <c r="F3" s="346"/>
      <c r="G3" s="346"/>
      <c r="H3" s="346"/>
      <c r="I3" s="346"/>
      <c r="J3" s="346"/>
      <c r="K3" s="346"/>
      <c r="L3" s="346"/>
      <c r="M3" s="347"/>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41"/>
      <c r="Q29" s="341"/>
      <c r="R29" s="341"/>
      <c r="S29" s="341"/>
      <c r="T29" s="341"/>
      <c r="U29" s="341"/>
      <c r="V29" s="341"/>
      <c r="W29" s="341"/>
      <c r="X29" s="341"/>
      <c r="Y29" s="341"/>
      <c r="Z29" s="341"/>
      <c r="AA29" s="207"/>
      <c r="AB29" s="207"/>
      <c r="AC29" s="340"/>
      <c r="AD29" s="340"/>
      <c r="AE29" s="340"/>
      <c r="AF29" s="340"/>
      <c r="AG29" s="340"/>
      <c r="AH29" s="340"/>
      <c r="AI29" s="340"/>
      <c r="AJ29" s="340"/>
      <c r="AK29" s="340"/>
      <c r="AL29" s="340"/>
      <c r="AM29" s="340"/>
      <c r="AN29" s="207"/>
      <c r="AO29" s="207"/>
      <c r="AP29" s="340"/>
      <c r="AQ29" s="340"/>
      <c r="AR29" s="340"/>
      <c r="AS29" s="340"/>
      <c r="AT29" s="340"/>
      <c r="AU29" s="340"/>
      <c r="AV29" s="340"/>
      <c r="AW29" s="340"/>
      <c r="AX29" s="340"/>
      <c r="AY29" s="340"/>
      <c r="AZ29" s="340"/>
      <c r="BA29" s="207"/>
      <c r="BB29" s="207"/>
      <c r="BC29" s="340"/>
      <c r="BD29" s="340"/>
      <c r="BE29" s="340"/>
      <c r="BF29" s="340"/>
      <c r="BG29" s="340"/>
      <c r="BH29" s="340"/>
      <c r="BI29" s="340"/>
      <c r="BJ29" s="340"/>
      <c r="BK29" s="340"/>
      <c r="BL29" s="340"/>
      <c r="BM29" s="340"/>
      <c r="BN29" s="207"/>
      <c r="BO29" s="207"/>
      <c r="BP29" s="340"/>
      <c r="BQ29" s="340"/>
      <c r="BR29" s="340"/>
      <c r="BS29" s="340"/>
      <c r="BT29" s="340"/>
      <c r="BU29" s="340"/>
      <c r="BV29" s="340"/>
      <c r="BW29" s="340"/>
      <c r="BX29" s="340"/>
      <c r="BY29" s="340"/>
      <c r="BZ29" s="340"/>
      <c r="CA29" s="207"/>
      <c r="CB29" s="207"/>
      <c r="CC29" s="340"/>
      <c r="CD29" s="340"/>
      <c r="CE29" s="340"/>
      <c r="CF29" s="340"/>
      <c r="CG29" s="340"/>
      <c r="CH29" s="340"/>
      <c r="CI29" s="340"/>
      <c r="CJ29" s="340"/>
      <c r="CK29" s="340"/>
      <c r="CL29" s="340"/>
      <c r="CM29" s="340"/>
      <c r="CN29" s="207"/>
      <c r="CO29" s="207"/>
      <c r="CP29" s="340"/>
      <c r="CQ29" s="340"/>
      <c r="CR29" s="340"/>
      <c r="CS29" s="340"/>
      <c r="CT29" s="340"/>
      <c r="CU29" s="340"/>
      <c r="CV29" s="340"/>
      <c r="CW29" s="340"/>
      <c r="CX29" s="340"/>
      <c r="CY29" s="340"/>
      <c r="CZ29" s="340"/>
      <c r="DA29" s="207"/>
      <c r="DB29" s="207"/>
      <c r="DC29" s="340"/>
      <c r="DD29" s="340"/>
      <c r="DE29" s="340"/>
      <c r="DF29" s="340"/>
      <c r="DG29" s="340"/>
      <c r="DH29" s="340"/>
      <c r="DI29" s="340"/>
      <c r="DJ29" s="340"/>
      <c r="DK29" s="340"/>
      <c r="DL29" s="340"/>
      <c r="DM29" s="340"/>
      <c r="DN29" s="207"/>
      <c r="DO29" s="207"/>
      <c r="DP29" s="340"/>
      <c r="DQ29" s="340"/>
      <c r="DR29" s="340"/>
      <c r="DS29" s="340"/>
      <c r="DT29" s="340"/>
      <c r="DU29" s="340"/>
      <c r="DV29" s="340"/>
      <c r="DW29" s="340"/>
      <c r="DX29" s="340"/>
      <c r="DY29" s="340"/>
      <c r="DZ29" s="340"/>
      <c r="EA29" s="207"/>
      <c r="EB29" s="207"/>
      <c r="EC29" s="340"/>
      <c r="ED29" s="340"/>
      <c r="EE29" s="340"/>
      <c r="EF29" s="340"/>
      <c r="EG29" s="340"/>
      <c r="EH29" s="340"/>
      <c r="EI29" s="340"/>
      <c r="EJ29" s="340"/>
      <c r="EK29" s="340"/>
      <c r="EL29" s="340"/>
      <c r="EM29" s="340"/>
      <c r="EN29" s="207"/>
      <c r="EO29" s="207"/>
      <c r="EP29" s="340"/>
      <c r="EQ29" s="340"/>
      <c r="ER29" s="340"/>
      <c r="ES29" s="340"/>
      <c r="ET29" s="340"/>
      <c r="EU29" s="340"/>
      <c r="EV29" s="340"/>
      <c r="EW29" s="340"/>
      <c r="EX29" s="340"/>
      <c r="EY29" s="340"/>
      <c r="EZ29" s="340"/>
      <c r="FA29" s="207"/>
      <c r="FB29" s="207"/>
      <c r="FC29" s="340"/>
      <c r="FD29" s="340"/>
      <c r="FE29" s="340"/>
      <c r="FF29" s="340"/>
      <c r="FG29" s="340"/>
      <c r="FH29" s="340"/>
      <c r="FI29" s="340"/>
      <c r="FJ29" s="340"/>
      <c r="FK29" s="340"/>
      <c r="FL29" s="340"/>
      <c r="FM29" s="340"/>
      <c r="FN29" s="207"/>
      <c r="FO29" s="207"/>
      <c r="FP29" s="340"/>
      <c r="FQ29" s="340"/>
      <c r="FR29" s="340"/>
      <c r="FS29" s="340"/>
      <c r="FT29" s="340"/>
      <c r="FU29" s="340"/>
      <c r="FV29" s="340"/>
      <c r="FW29" s="340"/>
      <c r="FX29" s="340"/>
      <c r="FY29" s="340"/>
      <c r="FZ29" s="340"/>
      <c r="GA29" s="207"/>
      <c r="GB29" s="207"/>
      <c r="GC29" s="340"/>
      <c r="GD29" s="340"/>
      <c r="GE29" s="340"/>
      <c r="GF29" s="340"/>
      <c r="GG29" s="340"/>
      <c r="GH29" s="340"/>
      <c r="GI29" s="340"/>
      <c r="GJ29" s="340"/>
      <c r="GK29" s="340"/>
      <c r="GL29" s="340"/>
      <c r="GM29" s="340"/>
      <c r="GN29" s="207"/>
      <c r="GO29" s="207"/>
      <c r="GP29" s="340"/>
      <c r="GQ29" s="340"/>
      <c r="GR29" s="340"/>
      <c r="GS29" s="340"/>
      <c r="GT29" s="340"/>
      <c r="GU29" s="340"/>
      <c r="GV29" s="340"/>
      <c r="GW29" s="340"/>
      <c r="GX29" s="340"/>
      <c r="GY29" s="340"/>
      <c r="GZ29" s="340"/>
      <c r="HA29" s="207"/>
      <c r="HB29" s="207"/>
      <c r="HC29" s="340"/>
      <c r="HD29" s="340"/>
      <c r="HE29" s="340"/>
      <c r="HF29" s="340"/>
      <c r="HG29" s="340"/>
      <c r="HH29" s="340"/>
      <c r="HI29" s="340"/>
      <c r="HJ29" s="340"/>
      <c r="HK29" s="340"/>
      <c r="HL29" s="340"/>
      <c r="HM29" s="340"/>
      <c r="HN29" s="207"/>
      <c r="HO29" s="207"/>
      <c r="HP29" s="340"/>
      <c r="HQ29" s="340"/>
      <c r="HR29" s="340"/>
      <c r="HS29" s="340"/>
      <c r="HT29" s="340"/>
      <c r="HU29" s="340"/>
      <c r="HV29" s="340"/>
      <c r="HW29" s="340"/>
      <c r="HX29" s="340"/>
      <c r="HY29" s="340"/>
      <c r="HZ29" s="340"/>
      <c r="IA29" s="207"/>
      <c r="IB29" s="207"/>
      <c r="IC29" s="340"/>
      <c r="ID29" s="340"/>
      <c r="IE29" s="340"/>
      <c r="IF29" s="340"/>
      <c r="IG29" s="340"/>
      <c r="IH29" s="340"/>
      <c r="II29" s="340"/>
      <c r="IJ29" s="340"/>
      <c r="IK29" s="340"/>
      <c r="IL29" s="340"/>
      <c r="IM29" s="340"/>
      <c r="IN29" s="207"/>
      <c r="IO29" s="207"/>
      <c r="IP29" s="340"/>
      <c r="IQ29" s="340"/>
      <c r="IR29" s="340"/>
      <c r="IS29" s="340"/>
      <c r="IT29" s="340"/>
      <c r="IU29" s="340"/>
      <c r="IV29" s="340"/>
    </row>
    <row r="30" spans="1:256" x14ac:dyDescent="0.2">
      <c r="A30" s="218"/>
      <c r="B30" s="219"/>
      <c r="C30" s="335"/>
      <c r="D30" s="335"/>
      <c r="E30" s="335"/>
      <c r="F30" s="335"/>
      <c r="G30" s="335"/>
      <c r="H30" s="335"/>
      <c r="I30" s="335"/>
      <c r="J30" s="335"/>
      <c r="K30" s="335"/>
      <c r="L30" s="335"/>
      <c r="M30" s="336"/>
      <c r="N30" s="211"/>
      <c r="O30" s="211"/>
      <c r="P30" s="341"/>
      <c r="Q30" s="341"/>
      <c r="R30" s="341"/>
      <c r="S30" s="341"/>
      <c r="T30" s="341"/>
      <c r="U30" s="341"/>
      <c r="V30" s="341"/>
      <c r="W30" s="341"/>
      <c r="X30" s="341"/>
      <c r="Y30" s="341"/>
      <c r="Z30" s="341"/>
      <c r="AA30" s="207"/>
      <c r="AB30" s="207"/>
      <c r="AC30" s="340"/>
      <c r="AD30" s="340"/>
      <c r="AE30" s="340"/>
      <c r="AF30" s="340"/>
      <c r="AG30" s="340"/>
      <c r="AH30" s="340"/>
      <c r="AI30" s="340"/>
      <c r="AJ30" s="340"/>
      <c r="AK30" s="340"/>
      <c r="AL30" s="340"/>
      <c r="AM30" s="340"/>
      <c r="AN30" s="207"/>
      <c r="AO30" s="207"/>
      <c r="AP30" s="340"/>
      <c r="AQ30" s="340"/>
      <c r="AR30" s="340"/>
      <c r="AS30" s="340"/>
      <c r="AT30" s="340"/>
      <c r="AU30" s="340"/>
      <c r="AV30" s="340"/>
      <c r="AW30" s="340"/>
      <c r="AX30" s="340"/>
      <c r="AY30" s="340"/>
      <c r="AZ30" s="340"/>
      <c r="BA30" s="207"/>
      <c r="BB30" s="207"/>
      <c r="BC30" s="340"/>
      <c r="BD30" s="340"/>
      <c r="BE30" s="340"/>
      <c r="BF30" s="340"/>
      <c r="BG30" s="340"/>
      <c r="BH30" s="340"/>
      <c r="BI30" s="340"/>
      <c r="BJ30" s="340"/>
      <c r="BK30" s="340"/>
      <c r="BL30" s="340"/>
      <c r="BM30" s="340"/>
      <c r="BN30" s="207"/>
      <c r="BO30" s="207"/>
      <c r="BP30" s="340"/>
      <c r="BQ30" s="340"/>
      <c r="BR30" s="340"/>
      <c r="BS30" s="340"/>
      <c r="BT30" s="340"/>
      <c r="BU30" s="340"/>
      <c r="BV30" s="340"/>
      <c r="BW30" s="340"/>
      <c r="BX30" s="340"/>
      <c r="BY30" s="340"/>
      <c r="BZ30" s="340"/>
      <c r="CA30" s="207"/>
      <c r="CB30" s="207"/>
      <c r="CC30" s="340"/>
      <c r="CD30" s="340"/>
      <c r="CE30" s="340"/>
      <c r="CF30" s="340"/>
      <c r="CG30" s="340"/>
      <c r="CH30" s="340"/>
      <c r="CI30" s="340"/>
      <c r="CJ30" s="340"/>
      <c r="CK30" s="340"/>
      <c r="CL30" s="340"/>
      <c r="CM30" s="340"/>
      <c r="CN30" s="207"/>
      <c r="CO30" s="207"/>
      <c r="CP30" s="340"/>
      <c r="CQ30" s="340"/>
      <c r="CR30" s="340"/>
      <c r="CS30" s="340"/>
      <c r="CT30" s="340"/>
      <c r="CU30" s="340"/>
      <c r="CV30" s="340"/>
      <c r="CW30" s="340"/>
      <c r="CX30" s="340"/>
      <c r="CY30" s="340"/>
      <c r="CZ30" s="340"/>
      <c r="DA30" s="207"/>
      <c r="DB30" s="207"/>
      <c r="DC30" s="340"/>
      <c r="DD30" s="340"/>
      <c r="DE30" s="340"/>
      <c r="DF30" s="340"/>
      <c r="DG30" s="340"/>
      <c r="DH30" s="340"/>
      <c r="DI30" s="340"/>
      <c r="DJ30" s="340"/>
      <c r="DK30" s="340"/>
      <c r="DL30" s="340"/>
      <c r="DM30" s="340"/>
      <c r="DN30" s="207"/>
      <c r="DO30" s="207"/>
      <c r="DP30" s="340"/>
      <c r="DQ30" s="340"/>
      <c r="DR30" s="340"/>
      <c r="DS30" s="340"/>
      <c r="DT30" s="340"/>
      <c r="DU30" s="340"/>
      <c r="DV30" s="340"/>
      <c r="DW30" s="340"/>
      <c r="DX30" s="340"/>
      <c r="DY30" s="340"/>
      <c r="DZ30" s="340"/>
      <c r="EA30" s="207"/>
      <c r="EB30" s="207"/>
      <c r="EC30" s="340"/>
      <c r="ED30" s="340"/>
      <c r="EE30" s="340"/>
      <c r="EF30" s="340"/>
      <c r="EG30" s="340"/>
      <c r="EH30" s="340"/>
      <c r="EI30" s="340"/>
      <c r="EJ30" s="340"/>
      <c r="EK30" s="340"/>
      <c r="EL30" s="340"/>
      <c r="EM30" s="340"/>
      <c r="EN30" s="207"/>
      <c r="EO30" s="207"/>
      <c r="EP30" s="340"/>
      <c r="EQ30" s="340"/>
      <c r="ER30" s="340"/>
      <c r="ES30" s="340"/>
      <c r="ET30" s="340"/>
      <c r="EU30" s="340"/>
      <c r="EV30" s="340"/>
      <c r="EW30" s="340"/>
      <c r="EX30" s="340"/>
      <c r="EY30" s="340"/>
      <c r="EZ30" s="340"/>
      <c r="FA30" s="207"/>
      <c r="FB30" s="207"/>
      <c r="FC30" s="340"/>
      <c r="FD30" s="340"/>
      <c r="FE30" s="340"/>
      <c r="FF30" s="340"/>
      <c r="FG30" s="340"/>
      <c r="FH30" s="340"/>
      <c r="FI30" s="340"/>
      <c r="FJ30" s="340"/>
      <c r="FK30" s="340"/>
      <c r="FL30" s="340"/>
      <c r="FM30" s="340"/>
      <c r="FN30" s="207"/>
      <c r="FO30" s="207"/>
      <c r="FP30" s="340"/>
      <c r="FQ30" s="340"/>
      <c r="FR30" s="340"/>
      <c r="FS30" s="340"/>
      <c r="FT30" s="340"/>
      <c r="FU30" s="340"/>
      <c r="FV30" s="340"/>
      <c r="FW30" s="340"/>
      <c r="FX30" s="340"/>
      <c r="FY30" s="340"/>
      <c r="FZ30" s="340"/>
      <c r="GA30" s="207"/>
      <c r="GB30" s="207"/>
      <c r="GC30" s="340"/>
      <c r="GD30" s="340"/>
      <c r="GE30" s="340"/>
      <c r="GF30" s="340"/>
      <c r="GG30" s="340"/>
      <c r="GH30" s="340"/>
      <c r="GI30" s="340"/>
      <c r="GJ30" s="340"/>
      <c r="GK30" s="340"/>
      <c r="GL30" s="340"/>
      <c r="GM30" s="340"/>
      <c r="GN30" s="207"/>
      <c r="GO30" s="207"/>
      <c r="GP30" s="340"/>
      <c r="GQ30" s="340"/>
      <c r="GR30" s="340"/>
      <c r="GS30" s="340"/>
      <c r="GT30" s="340"/>
      <c r="GU30" s="340"/>
      <c r="GV30" s="340"/>
      <c r="GW30" s="340"/>
      <c r="GX30" s="340"/>
      <c r="GY30" s="340"/>
      <c r="GZ30" s="340"/>
      <c r="HA30" s="207"/>
      <c r="HB30" s="207"/>
      <c r="HC30" s="340"/>
      <c r="HD30" s="340"/>
      <c r="HE30" s="340"/>
      <c r="HF30" s="340"/>
      <c r="HG30" s="340"/>
      <c r="HH30" s="340"/>
      <c r="HI30" s="340"/>
      <c r="HJ30" s="340"/>
      <c r="HK30" s="340"/>
      <c r="HL30" s="340"/>
      <c r="HM30" s="340"/>
      <c r="HN30" s="207"/>
      <c r="HO30" s="207"/>
      <c r="HP30" s="340"/>
      <c r="HQ30" s="340"/>
      <c r="HR30" s="340"/>
      <c r="HS30" s="340"/>
      <c r="HT30" s="340"/>
      <c r="HU30" s="340"/>
      <c r="HV30" s="340"/>
      <c r="HW30" s="340"/>
      <c r="HX30" s="340"/>
      <c r="HY30" s="340"/>
      <c r="HZ30" s="340"/>
      <c r="IA30" s="207"/>
      <c r="IB30" s="207"/>
      <c r="IC30" s="340"/>
      <c r="ID30" s="340"/>
      <c r="IE30" s="340"/>
      <c r="IF30" s="340"/>
      <c r="IG30" s="340"/>
      <c r="IH30" s="340"/>
      <c r="II30" s="340"/>
      <c r="IJ30" s="340"/>
      <c r="IK30" s="340"/>
      <c r="IL30" s="340"/>
      <c r="IM30" s="340"/>
      <c r="IN30" s="207"/>
      <c r="IO30" s="207"/>
      <c r="IP30" s="340"/>
      <c r="IQ30" s="340"/>
      <c r="IR30" s="340"/>
      <c r="IS30" s="340"/>
      <c r="IT30" s="340"/>
      <c r="IU30" s="340"/>
      <c r="IV30" s="340"/>
    </row>
    <row r="31" spans="1:256" x14ac:dyDescent="0.2">
      <c r="A31" s="218"/>
      <c r="B31" s="219"/>
      <c r="C31" s="335"/>
      <c r="D31" s="335"/>
      <c r="E31" s="335"/>
      <c r="F31" s="335"/>
      <c r="G31" s="335"/>
      <c r="H31" s="335"/>
      <c r="I31" s="335"/>
      <c r="J31" s="335"/>
      <c r="K31" s="335"/>
      <c r="L31" s="335"/>
      <c r="M31" s="336"/>
      <c r="N31" s="211"/>
      <c r="O31" s="211"/>
      <c r="P31" s="341"/>
      <c r="Q31" s="341"/>
      <c r="R31" s="341"/>
      <c r="S31" s="341"/>
      <c r="T31" s="341"/>
      <c r="U31" s="341"/>
      <c r="V31" s="341"/>
      <c r="W31" s="341"/>
      <c r="X31" s="341"/>
      <c r="Y31" s="341"/>
      <c r="Z31" s="341"/>
      <c r="AA31" s="207"/>
      <c r="AB31" s="207"/>
      <c r="AC31" s="340"/>
      <c r="AD31" s="340"/>
      <c r="AE31" s="340"/>
      <c r="AF31" s="340"/>
      <c r="AG31" s="340"/>
      <c r="AH31" s="340"/>
      <c r="AI31" s="340"/>
      <c r="AJ31" s="340"/>
      <c r="AK31" s="340"/>
      <c r="AL31" s="340"/>
      <c r="AM31" s="340"/>
      <c r="AN31" s="207"/>
      <c r="AO31" s="207"/>
      <c r="AP31" s="340"/>
      <c r="AQ31" s="340"/>
      <c r="AR31" s="340"/>
      <c r="AS31" s="340"/>
      <c r="AT31" s="340"/>
      <c r="AU31" s="340"/>
      <c r="AV31" s="340"/>
      <c r="AW31" s="340"/>
      <c r="AX31" s="340"/>
      <c r="AY31" s="340"/>
      <c r="AZ31" s="340"/>
      <c r="BA31" s="207"/>
      <c r="BB31" s="207"/>
      <c r="BC31" s="340"/>
      <c r="BD31" s="340"/>
      <c r="BE31" s="340"/>
      <c r="BF31" s="340"/>
      <c r="BG31" s="340"/>
      <c r="BH31" s="340"/>
      <c r="BI31" s="340"/>
      <c r="BJ31" s="340"/>
      <c r="BK31" s="340"/>
      <c r="BL31" s="340"/>
      <c r="BM31" s="340"/>
      <c r="BN31" s="207"/>
      <c r="BO31" s="207"/>
      <c r="BP31" s="340"/>
      <c r="BQ31" s="340"/>
      <c r="BR31" s="340"/>
      <c r="BS31" s="340"/>
      <c r="BT31" s="340"/>
      <c r="BU31" s="340"/>
      <c r="BV31" s="340"/>
      <c r="BW31" s="340"/>
      <c r="BX31" s="340"/>
      <c r="BY31" s="340"/>
      <c r="BZ31" s="340"/>
      <c r="CA31" s="207"/>
      <c r="CB31" s="207"/>
      <c r="CC31" s="340"/>
      <c r="CD31" s="340"/>
      <c r="CE31" s="340"/>
      <c r="CF31" s="340"/>
      <c r="CG31" s="340"/>
      <c r="CH31" s="340"/>
      <c r="CI31" s="340"/>
      <c r="CJ31" s="340"/>
      <c r="CK31" s="340"/>
      <c r="CL31" s="340"/>
      <c r="CM31" s="340"/>
      <c r="CN31" s="207"/>
      <c r="CO31" s="207"/>
      <c r="CP31" s="340"/>
      <c r="CQ31" s="340"/>
      <c r="CR31" s="340"/>
      <c r="CS31" s="340"/>
      <c r="CT31" s="340"/>
      <c r="CU31" s="340"/>
      <c r="CV31" s="340"/>
      <c r="CW31" s="340"/>
      <c r="CX31" s="340"/>
      <c r="CY31" s="340"/>
      <c r="CZ31" s="340"/>
      <c r="DA31" s="207"/>
      <c r="DB31" s="207"/>
      <c r="DC31" s="340"/>
      <c r="DD31" s="340"/>
      <c r="DE31" s="340"/>
      <c r="DF31" s="340"/>
      <c r="DG31" s="340"/>
      <c r="DH31" s="340"/>
      <c r="DI31" s="340"/>
      <c r="DJ31" s="340"/>
      <c r="DK31" s="340"/>
      <c r="DL31" s="340"/>
      <c r="DM31" s="340"/>
      <c r="DN31" s="207"/>
      <c r="DO31" s="207"/>
      <c r="DP31" s="340"/>
      <c r="DQ31" s="340"/>
      <c r="DR31" s="340"/>
      <c r="DS31" s="340"/>
      <c r="DT31" s="340"/>
      <c r="DU31" s="340"/>
      <c r="DV31" s="340"/>
      <c r="DW31" s="340"/>
      <c r="DX31" s="340"/>
      <c r="DY31" s="340"/>
      <c r="DZ31" s="340"/>
      <c r="EA31" s="207"/>
      <c r="EB31" s="207"/>
      <c r="EC31" s="340"/>
      <c r="ED31" s="340"/>
      <c r="EE31" s="340"/>
      <c r="EF31" s="340"/>
      <c r="EG31" s="340"/>
      <c r="EH31" s="340"/>
      <c r="EI31" s="340"/>
      <c r="EJ31" s="340"/>
      <c r="EK31" s="340"/>
      <c r="EL31" s="340"/>
      <c r="EM31" s="340"/>
      <c r="EN31" s="207"/>
      <c r="EO31" s="207"/>
      <c r="EP31" s="340"/>
      <c r="EQ31" s="340"/>
      <c r="ER31" s="340"/>
      <c r="ES31" s="340"/>
      <c r="ET31" s="340"/>
      <c r="EU31" s="340"/>
      <c r="EV31" s="340"/>
      <c r="EW31" s="340"/>
      <c r="EX31" s="340"/>
      <c r="EY31" s="340"/>
      <c r="EZ31" s="340"/>
      <c r="FA31" s="207"/>
      <c r="FB31" s="207"/>
      <c r="FC31" s="340"/>
      <c r="FD31" s="340"/>
      <c r="FE31" s="340"/>
      <c r="FF31" s="340"/>
      <c r="FG31" s="340"/>
      <c r="FH31" s="340"/>
      <c r="FI31" s="340"/>
      <c r="FJ31" s="340"/>
      <c r="FK31" s="340"/>
      <c r="FL31" s="340"/>
      <c r="FM31" s="340"/>
      <c r="FN31" s="207"/>
      <c r="FO31" s="207"/>
      <c r="FP31" s="340"/>
      <c r="FQ31" s="340"/>
      <c r="FR31" s="340"/>
      <c r="FS31" s="340"/>
      <c r="FT31" s="340"/>
      <c r="FU31" s="340"/>
      <c r="FV31" s="340"/>
      <c r="FW31" s="340"/>
      <c r="FX31" s="340"/>
      <c r="FY31" s="340"/>
      <c r="FZ31" s="340"/>
      <c r="GA31" s="207"/>
      <c r="GB31" s="207"/>
      <c r="GC31" s="340"/>
      <c r="GD31" s="340"/>
      <c r="GE31" s="340"/>
      <c r="GF31" s="340"/>
      <c r="GG31" s="340"/>
      <c r="GH31" s="340"/>
      <c r="GI31" s="340"/>
      <c r="GJ31" s="340"/>
      <c r="GK31" s="340"/>
      <c r="GL31" s="340"/>
      <c r="GM31" s="340"/>
      <c r="GN31" s="207"/>
      <c r="GO31" s="207"/>
      <c r="GP31" s="340"/>
      <c r="GQ31" s="340"/>
      <c r="GR31" s="340"/>
      <c r="GS31" s="340"/>
      <c r="GT31" s="340"/>
      <c r="GU31" s="340"/>
      <c r="GV31" s="340"/>
      <c r="GW31" s="340"/>
      <c r="GX31" s="340"/>
      <c r="GY31" s="340"/>
      <c r="GZ31" s="340"/>
      <c r="HA31" s="207"/>
      <c r="HB31" s="207"/>
      <c r="HC31" s="340"/>
      <c r="HD31" s="340"/>
      <c r="HE31" s="340"/>
      <c r="HF31" s="340"/>
      <c r="HG31" s="340"/>
      <c r="HH31" s="340"/>
      <c r="HI31" s="340"/>
      <c r="HJ31" s="340"/>
      <c r="HK31" s="340"/>
      <c r="HL31" s="340"/>
      <c r="HM31" s="340"/>
      <c r="HN31" s="207"/>
      <c r="HO31" s="207"/>
      <c r="HP31" s="340"/>
      <c r="HQ31" s="340"/>
      <c r="HR31" s="340"/>
      <c r="HS31" s="340"/>
      <c r="HT31" s="340"/>
      <c r="HU31" s="340"/>
      <c r="HV31" s="340"/>
      <c r="HW31" s="340"/>
      <c r="HX31" s="340"/>
      <c r="HY31" s="340"/>
      <c r="HZ31" s="340"/>
      <c r="IA31" s="207"/>
      <c r="IB31" s="207"/>
      <c r="IC31" s="340"/>
      <c r="ID31" s="340"/>
      <c r="IE31" s="340"/>
      <c r="IF31" s="340"/>
      <c r="IG31" s="340"/>
      <c r="IH31" s="340"/>
      <c r="II31" s="340"/>
      <c r="IJ31" s="340"/>
      <c r="IK31" s="340"/>
      <c r="IL31" s="340"/>
      <c r="IM31" s="340"/>
      <c r="IN31" s="207"/>
      <c r="IO31" s="207"/>
      <c r="IP31" s="340"/>
      <c r="IQ31" s="340"/>
      <c r="IR31" s="340"/>
      <c r="IS31" s="340"/>
      <c r="IT31" s="340"/>
      <c r="IU31" s="340"/>
      <c r="IV31" s="340"/>
    </row>
    <row r="32" spans="1:256" x14ac:dyDescent="0.2">
      <c r="A32" s="218"/>
      <c r="B32" s="219"/>
      <c r="C32" s="335"/>
      <c r="D32" s="335"/>
      <c r="E32" s="335"/>
      <c r="F32" s="335"/>
      <c r="G32" s="335"/>
      <c r="H32" s="335"/>
      <c r="I32" s="335"/>
      <c r="J32" s="335"/>
      <c r="K32" s="335"/>
      <c r="L32" s="335"/>
      <c r="M32" s="336"/>
      <c r="N32" s="223"/>
      <c r="O32" s="223"/>
      <c r="P32" s="342"/>
      <c r="Q32" s="342"/>
      <c r="R32" s="342"/>
      <c r="S32" s="342"/>
      <c r="T32" s="342"/>
      <c r="U32" s="342"/>
      <c r="V32" s="342"/>
      <c r="W32" s="342"/>
      <c r="X32" s="342"/>
      <c r="Y32" s="342"/>
      <c r="Z32" s="343"/>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41"/>
      <c r="Q38" s="341"/>
      <c r="R38" s="341"/>
      <c r="S38" s="341"/>
      <c r="T38" s="341"/>
      <c r="U38" s="341"/>
      <c r="V38" s="341"/>
      <c r="W38" s="341"/>
      <c r="X38" s="341"/>
      <c r="Y38" s="341"/>
      <c r="Z38" s="341"/>
      <c r="AA38" s="207"/>
      <c r="AB38" s="207"/>
      <c r="AC38" s="340"/>
      <c r="AD38" s="340"/>
      <c r="AE38" s="340"/>
      <c r="AF38" s="340"/>
      <c r="AG38" s="340"/>
      <c r="AH38" s="340"/>
      <c r="AI38" s="340"/>
      <c r="AJ38" s="340"/>
      <c r="AK38" s="340"/>
      <c r="AL38" s="340"/>
      <c r="AM38" s="340"/>
      <c r="AN38" s="207"/>
      <c r="AO38" s="207"/>
      <c r="AP38" s="340"/>
      <c r="AQ38" s="340"/>
      <c r="AR38" s="340"/>
      <c r="AS38" s="340"/>
      <c r="AT38" s="340"/>
      <c r="AU38" s="340"/>
      <c r="AV38" s="340"/>
      <c r="AW38" s="340"/>
      <c r="AX38" s="340"/>
      <c r="AY38" s="340"/>
      <c r="AZ38" s="340"/>
      <c r="BA38" s="207"/>
      <c r="BB38" s="207"/>
      <c r="BC38" s="340"/>
      <c r="BD38" s="340"/>
      <c r="BE38" s="340"/>
      <c r="BF38" s="340"/>
      <c r="BG38" s="340"/>
      <c r="BH38" s="340"/>
      <c r="BI38" s="340"/>
      <c r="BJ38" s="340"/>
      <c r="BK38" s="340"/>
      <c r="BL38" s="340"/>
      <c r="BM38" s="340"/>
      <c r="BN38" s="207"/>
      <c r="BO38" s="207"/>
      <c r="BP38" s="340"/>
      <c r="BQ38" s="340"/>
      <c r="BR38" s="340"/>
      <c r="BS38" s="340"/>
      <c r="BT38" s="340"/>
      <c r="BU38" s="340"/>
      <c r="BV38" s="340"/>
      <c r="BW38" s="340"/>
      <c r="BX38" s="340"/>
      <c r="BY38" s="340"/>
      <c r="BZ38" s="340"/>
      <c r="CA38" s="207"/>
      <c r="CB38" s="207"/>
      <c r="CC38" s="340"/>
      <c r="CD38" s="340"/>
      <c r="CE38" s="340"/>
      <c r="CF38" s="340"/>
      <c r="CG38" s="340"/>
      <c r="CH38" s="340"/>
      <c r="CI38" s="340"/>
      <c r="CJ38" s="340"/>
      <c r="CK38" s="340"/>
      <c r="CL38" s="340"/>
      <c r="CM38" s="340"/>
      <c r="CN38" s="207"/>
      <c r="CO38" s="207"/>
      <c r="CP38" s="340"/>
      <c r="CQ38" s="340"/>
      <c r="CR38" s="340"/>
      <c r="CS38" s="340"/>
      <c r="CT38" s="340"/>
      <c r="CU38" s="340"/>
      <c r="CV38" s="340"/>
      <c r="CW38" s="340"/>
      <c r="CX38" s="340"/>
      <c r="CY38" s="340"/>
      <c r="CZ38" s="340"/>
      <c r="DA38" s="207"/>
      <c r="DB38" s="207"/>
      <c r="DC38" s="340"/>
      <c r="DD38" s="340"/>
      <c r="DE38" s="340"/>
      <c r="DF38" s="340"/>
      <c r="DG38" s="340"/>
      <c r="DH38" s="340"/>
      <c r="DI38" s="340"/>
      <c r="DJ38" s="340"/>
      <c r="DK38" s="340"/>
      <c r="DL38" s="340"/>
      <c r="DM38" s="340"/>
      <c r="DN38" s="207"/>
      <c r="DO38" s="207"/>
      <c r="DP38" s="340"/>
      <c r="DQ38" s="340"/>
      <c r="DR38" s="340"/>
      <c r="DS38" s="340"/>
      <c r="DT38" s="340"/>
      <c r="DU38" s="340"/>
      <c r="DV38" s="340"/>
      <c r="DW38" s="340"/>
      <c r="DX38" s="340"/>
      <c r="DY38" s="340"/>
      <c r="DZ38" s="340"/>
      <c r="EA38" s="207"/>
      <c r="EB38" s="207"/>
      <c r="EC38" s="340"/>
      <c r="ED38" s="340"/>
      <c r="EE38" s="340"/>
      <c r="EF38" s="340"/>
      <c r="EG38" s="340"/>
      <c r="EH38" s="340"/>
      <c r="EI38" s="340"/>
      <c r="EJ38" s="340"/>
      <c r="EK38" s="340"/>
      <c r="EL38" s="340"/>
      <c r="EM38" s="340"/>
      <c r="EN38" s="207"/>
      <c r="EO38" s="207"/>
      <c r="EP38" s="340"/>
      <c r="EQ38" s="340"/>
      <c r="ER38" s="340"/>
      <c r="ES38" s="340"/>
      <c r="ET38" s="340"/>
      <c r="EU38" s="340"/>
      <c r="EV38" s="340"/>
      <c r="EW38" s="340"/>
      <c r="EX38" s="340"/>
      <c r="EY38" s="340"/>
      <c r="EZ38" s="340"/>
      <c r="FA38" s="207"/>
      <c r="FB38" s="207"/>
      <c r="FC38" s="340"/>
      <c r="FD38" s="340"/>
      <c r="FE38" s="340"/>
      <c r="FF38" s="340"/>
      <c r="FG38" s="340"/>
      <c r="FH38" s="340"/>
      <c r="FI38" s="340"/>
      <c r="FJ38" s="340"/>
      <c r="FK38" s="340"/>
      <c r="FL38" s="340"/>
      <c r="FM38" s="340"/>
      <c r="FN38" s="207"/>
      <c r="FO38" s="207"/>
      <c r="FP38" s="340"/>
      <c r="FQ38" s="340"/>
      <c r="FR38" s="340"/>
      <c r="FS38" s="340"/>
      <c r="FT38" s="340"/>
      <c r="FU38" s="340"/>
      <c r="FV38" s="340"/>
      <c r="FW38" s="340"/>
      <c r="FX38" s="340"/>
      <c r="FY38" s="340"/>
      <c r="FZ38" s="340"/>
      <c r="GA38" s="207"/>
      <c r="GB38" s="207"/>
      <c r="GC38" s="340"/>
      <c r="GD38" s="340"/>
      <c r="GE38" s="340"/>
      <c r="GF38" s="340"/>
      <c r="GG38" s="340"/>
      <c r="GH38" s="340"/>
      <c r="GI38" s="340"/>
      <c r="GJ38" s="340"/>
      <c r="GK38" s="340"/>
      <c r="GL38" s="340"/>
      <c r="GM38" s="340"/>
      <c r="GN38" s="207"/>
      <c r="GO38" s="207"/>
      <c r="GP38" s="340"/>
      <c r="GQ38" s="340"/>
      <c r="GR38" s="340"/>
      <c r="GS38" s="340"/>
      <c r="GT38" s="340"/>
      <c r="GU38" s="340"/>
      <c r="GV38" s="340"/>
      <c r="GW38" s="340"/>
      <c r="GX38" s="340"/>
      <c r="GY38" s="340"/>
      <c r="GZ38" s="340"/>
      <c r="HA38" s="207"/>
      <c r="HB38" s="207"/>
      <c r="HC38" s="340"/>
      <c r="HD38" s="340"/>
      <c r="HE38" s="340"/>
      <c r="HF38" s="340"/>
      <c r="HG38" s="340"/>
      <c r="HH38" s="340"/>
      <c r="HI38" s="340"/>
      <c r="HJ38" s="340"/>
      <c r="HK38" s="340"/>
      <c r="HL38" s="340"/>
      <c r="HM38" s="340"/>
      <c r="HN38" s="207"/>
      <c r="HO38" s="207"/>
      <c r="HP38" s="340"/>
      <c r="HQ38" s="340"/>
      <c r="HR38" s="340"/>
      <c r="HS38" s="340"/>
      <c r="HT38" s="340"/>
      <c r="HU38" s="340"/>
      <c r="HV38" s="340"/>
      <c r="HW38" s="340"/>
      <c r="HX38" s="340"/>
      <c r="HY38" s="340"/>
      <c r="HZ38" s="340"/>
      <c r="IA38" s="207"/>
      <c r="IB38" s="207"/>
      <c r="IC38" s="340"/>
      <c r="ID38" s="340"/>
      <c r="IE38" s="340"/>
      <c r="IF38" s="340"/>
      <c r="IG38" s="340"/>
      <c r="IH38" s="340"/>
      <c r="II38" s="340"/>
      <c r="IJ38" s="340"/>
      <c r="IK38" s="340"/>
      <c r="IL38" s="340"/>
      <c r="IM38" s="340"/>
      <c r="IN38" s="207"/>
      <c r="IO38" s="207"/>
      <c r="IP38" s="340"/>
      <c r="IQ38" s="340"/>
      <c r="IR38" s="340"/>
      <c r="IS38" s="340"/>
      <c r="IT38" s="340"/>
      <c r="IU38" s="340"/>
      <c r="IV38" s="340"/>
    </row>
    <row r="39" spans="1:256" x14ac:dyDescent="0.2">
      <c r="A39" s="218"/>
      <c r="B39" s="219"/>
      <c r="C39" s="335"/>
      <c r="D39" s="335"/>
      <c r="E39" s="335"/>
      <c r="F39" s="335"/>
      <c r="G39" s="335"/>
      <c r="H39" s="335"/>
      <c r="I39" s="335"/>
      <c r="J39" s="335"/>
      <c r="K39" s="335"/>
      <c r="L39" s="335"/>
      <c r="M39" s="336"/>
      <c r="N39" s="211"/>
      <c r="O39" s="211"/>
      <c r="P39" s="341"/>
      <c r="Q39" s="341"/>
      <c r="R39" s="341"/>
      <c r="S39" s="341"/>
      <c r="T39" s="341"/>
      <c r="U39" s="341"/>
      <c r="V39" s="341"/>
      <c r="W39" s="341"/>
      <c r="X39" s="341"/>
      <c r="Y39" s="341"/>
      <c r="Z39" s="341"/>
      <c r="AA39" s="207"/>
      <c r="AB39" s="207"/>
      <c r="AC39" s="340"/>
      <c r="AD39" s="340"/>
      <c r="AE39" s="340"/>
      <c r="AF39" s="340"/>
      <c r="AG39" s="340"/>
      <c r="AH39" s="340"/>
      <c r="AI39" s="340"/>
      <c r="AJ39" s="340"/>
      <c r="AK39" s="340"/>
      <c r="AL39" s="340"/>
      <c r="AM39" s="340"/>
      <c r="AN39" s="207"/>
      <c r="AO39" s="207"/>
      <c r="AP39" s="340"/>
      <c r="AQ39" s="340"/>
      <c r="AR39" s="340"/>
      <c r="AS39" s="340"/>
      <c r="AT39" s="340"/>
      <c r="AU39" s="340"/>
      <c r="AV39" s="340"/>
      <c r="AW39" s="340"/>
      <c r="AX39" s="340"/>
      <c r="AY39" s="340"/>
      <c r="AZ39" s="340"/>
      <c r="BA39" s="207"/>
      <c r="BB39" s="207"/>
      <c r="BC39" s="340"/>
      <c r="BD39" s="340"/>
      <c r="BE39" s="340"/>
      <c r="BF39" s="340"/>
      <c r="BG39" s="340"/>
      <c r="BH39" s="340"/>
      <c r="BI39" s="340"/>
      <c r="BJ39" s="340"/>
      <c r="BK39" s="340"/>
      <c r="BL39" s="340"/>
      <c r="BM39" s="340"/>
      <c r="BN39" s="207"/>
      <c r="BO39" s="207"/>
      <c r="BP39" s="340"/>
      <c r="BQ39" s="340"/>
      <c r="BR39" s="340"/>
      <c r="BS39" s="340"/>
      <c r="BT39" s="340"/>
      <c r="BU39" s="340"/>
      <c r="BV39" s="340"/>
      <c r="BW39" s="340"/>
      <c r="BX39" s="340"/>
      <c r="BY39" s="340"/>
      <c r="BZ39" s="340"/>
      <c r="CA39" s="207"/>
      <c r="CB39" s="207"/>
      <c r="CC39" s="340"/>
      <c r="CD39" s="340"/>
      <c r="CE39" s="340"/>
      <c r="CF39" s="340"/>
      <c r="CG39" s="340"/>
      <c r="CH39" s="340"/>
      <c r="CI39" s="340"/>
      <c r="CJ39" s="340"/>
      <c r="CK39" s="340"/>
      <c r="CL39" s="340"/>
      <c r="CM39" s="340"/>
      <c r="CN39" s="207"/>
      <c r="CO39" s="207"/>
      <c r="CP39" s="340"/>
      <c r="CQ39" s="340"/>
      <c r="CR39" s="340"/>
      <c r="CS39" s="340"/>
      <c r="CT39" s="340"/>
      <c r="CU39" s="340"/>
      <c r="CV39" s="340"/>
      <c r="CW39" s="340"/>
      <c r="CX39" s="340"/>
      <c r="CY39" s="340"/>
      <c r="CZ39" s="340"/>
      <c r="DA39" s="207"/>
      <c r="DB39" s="207"/>
      <c r="DC39" s="340"/>
      <c r="DD39" s="340"/>
      <c r="DE39" s="340"/>
      <c r="DF39" s="340"/>
      <c r="DG39" s="340"/>
      <c r="DH39" s="340"/>
      <c r="DI39" s="340"/>
      <c r="DJ39" s="340"/>
      <c r="DK39" s="340"/>
      <c r="DL39" s="340"/>
      <c r="DM39" s="340"/>
      <c r="DN39" s="207"/>
      <c r="DO39" s="207"/>
      <c r="DP39" s="340"/>
      <c r="DQ39" s="340"/>
      <c r="DR39" s="340"/>
      <c r="DS39" s="340"/>
      <c r="DT39" s="340"/>
      <c r="DU39" s="340"/>
      <c r="DV39" s="340"/>
      <c r="DW39" s="340"/>
      <c r="DX39" s="340"/>
      <c r="DY39" s="340"/>
      <c r="DZ39" s="340"/>
      <c r="EA39" s="207"/>
      <c r="EB39" s="207"/>
      <c r="EC39" s="340"/>
      <c r="ED39" s="340"/>
      <c r="EE39" s="340"/>
      <c r="EF39" s="340"/>
      <c r="EG39" s="340"/>
      <c r="EH39" s="340"/>
      <c r="EI39" s="340"/>
      <c r="EJ39" s="340"/>
      <c r="EK39" s="340"/>
      <c r="EL39" s="340"/>
      <c r="EM39" s="340"/>
      <c r="EN39" s="207"/>
      <c r="EO39" s="207"/>
      <c r="EP39" s="340"/>
      <c r="EQ39" s="340"/>
      <c r="ER39" s="340"/>
      <c r="ES39" s="340"/>
      <c r="ET39" s="340"/>
      <c r="EU39" s="340"/>
      <c r="EV39" s="340"/>
      <c r="EW39" s="340"/>
      <c r="EX39" s="340"/>
      <c r="EY39" s="340"/>
      <c r="EZ39" s="340"/>
      <c r="FA39" s="207"/>
      <c r="FB39" s="207"/>
      <c r="FC39" s="340"/>
      <c r="FD39" s="340"/>
      <c r="FE39" s="340"/>
      <c r="FF39" s="340"/>
      <c r="FG39" s="340"/>
      <c r="FH39" s="340"/>
      <c r="FI39" s="340"/>
      <c r="FJ39" s="340"/>
      <c r="FK39" s="340"/>
      <c r="FL39" s="340"/>
      <c r="FM39" s="340"/>
      <c r="FN39" s="207"/>
      <c r="FO39" s="207"/>
      <c r="FP39" s="340"/>
      <c r="FQ39" s="340"/>
      <c r="FR39" s="340"/>
      <c r="FS39" s="340"/>
      <c r="FT39" s="340"/>
      <c r="FU39" s="340"/>
      <c r="FV39" s="340"/>
      <c r="FW39" s="340"/>
      <c r="FX39" s="340"/>
      <c r="FY39" s="340"/>
      <c r="FZ39" s="340"/>
      <c r="GA39" s="207"/>
      <c r="GB39" s="207"/>
      <c r="GC39" s="340"/>
      <c r="GD39" s="340"/>
      <c r="GE39" s="340"/>
      <c r="GF39" s="340"/>
      <c r="GG39" s="340"/>
      <c r="GH39" s="340"/>
      <c r="GI39" s="340"/>
      <c r="GJ39" s="340"/>
      <c r="GK39" s="340"/>
      <c r="GL39" s="340"/>
      <c r="GM39" s="340"/>
      <c r="GN39" s="207"/>
      <c r="GO39" s="207"/>
      <c r="GP39" s="340"/>
      <c r="GQ39" s="340"/>
      <c r="GR39" s="340"/>
      <c r="GS39" s="340"/>
      <c r="GT39" s="340"/>
      <c r="GU39" s="340"/>
      <c r="GV39" s="340"/>
      <c r="GW39" s="340"/>
      <c r="GX39" s="340"/>
      <c r="GY39" s="340"/>
      <c r="GZ39" s="340"/>
      <c r="HA39" s="207"/>
      <c r="HB39" s="207"/>
      <c r="HC39" s="340"/>
      <c r="HD39" s="340"/>
      <c r="HE39" s="340"/>
      <c r="HF39" s="340"/>
      <c r="HG39" s="340"/>
      <c r="HH39" s="340"/>
      <c r="HI39" s="340"/>
      <c r="HJ39" s="340"/>
      <c r="HK39" s="340"/>
      <c r="HL39" s="340"/>
      <c r="HM39" s="340"/>
      <c r="HN39" s="207"/>
      <c r="HO39" s="207"/>
      <c r="HP39" s="340"/>
      <c r="HQ39" s="340"/>
      <c r="HR39" s="340"/>
      <c r="HS39" s="340"/>
      <c r="HT39" s="340"/>
      <c r="HU39" s="340"/>
      <c r="HV39" s="340"/>
      <c r="HW39" s="340"/>
      <c r="HX39" s="340"/>
      <c r="HY39" s="340"/>
      <c r="HZ39" s="340"/>
      <c r="IA39" s="207"/>
      <c r="IB39" s="207"/>
      <c r="IC39" s="340"/>
      <c r="ID39" s="340"/>
      <c r="IE39" s="340"/>
      <c r="IF39" s="340"/>
      <c r="IG39" s="340"/>
      <c r="IH39" s="340"/>
      <c r="II39" s="340"/>
      <c r="IJ39" s="340"/>
      <c r="IK39" s="340"/>
      <c r="IL39" s="340"/>
      <c r="IM39" s="340"/>
      <c r="IN39" s="207"/>
      <c r="IO39" s="207"/>
      <c r="IP39" s="340"/>
      <c r="IQ39" s="340"/>
      <c r="IR39" s="340"/>
      <c r="IS39" s="340"/>
      <c r="IT39" s="340"/>
      <c r="IU39" s="340"/>
      <c r="IV39" s="340"/>
    </row>
    <row r="40" spans="1:256" x14ac:dyDescent="0.2">
      <c r="A40" s="218"/>
      <c r="B40" s="219"/>
      <c r="C40" s="335"/>
      <c r="D40" s="335"/>
      <c r="E40" s="335"/>
      <c r="F40" s="335"/>
      <c r="G40" s="335"/>
      <c r="H40" s="335"/>
      <c r="I40" s="335"/>
      <c r="J40" s="335"/>
      <c r="K40" s="335"/>
      <c r="L40" s="335"/>
      <c r="M40" s="336"/>
      <c r="N40" s="211"/>
      <c r="O40" s="211"/>
      <c r="P40" s="341"/>
      <c r="Q40" s="341"/>
      <c r="R40" s="341"/>
      <c r="S40" s="341"/>
      <c r="T40" s="341"/>
      <c r="U40" s="341"/>
      <c r="V40" s="341"/>
      <c r="W40" s="341"/>
      <c r="X40" s="341"/>
      <c r="Y40" s="341"/>
      <c r="Z40" s="341"/>
      <c r="AA40" s="207"/>
      <c r="AB40" s="207"/>
      <c r="AC40" s="340"/>
      <c r="AD40" s="340"/>
      <c r="AE40" s="340"/>
      <c r="AF40" s="340"/>
      <c r="AG40" s="340"/>
      <c r="AH40" s="340"/>
      <c r="AI40" s="340"/>
      <c r="AJ40" s="340"/>
      <c r="AK40" s="340"/>
      <c r="AL40" s="340"/>
      <c r="AM40" s="340"/>
      <c r="AN40" s="207"/>
      <c r="AO40" s="207"/>
      <c r="AP40" s="340"/>
      <c r="AQ40" s="340"/>
      <c r="AR40" s="340"/>
      <c r="AS40" s="340"/>
      <c r="AT40" s="340"/>
      <c r="AU40" s="340"/>
      <c r="AV40" s="340"/>
      <c r="AW40" s="340"/>
      <c r="AX40" s="340"/>
      <c r="AY40" s="340"/>
      <c r="AZ40" s="340"/>
      <c r="BA40" s="207"/>
      <c r="BB40" s="207"/>
      <c r="BC40" s="340"/>
      <c r="BD40" s="340"/>
      <c r="BE40" s="340"/>
      <c r="BF40" s="340"/>
      <c r="BG40" s="340"/>
      <c r="BH40" s="340"/>
      <c r="BI40" s="340"/>
      <c r="BJ40" s="340"/>
      <c r="BK40" s="340"/>
      <c r="BL40" s="340"/>
      <c r="BM40" s="340"/>
      <c r="BN40" s="207"/>
      <c r="BO40" s="207"/>
      <c r="BP40" s="340"/>
      <c r="BQ40" s="340"/>
      <c r="BR40" s="340"/>
      <c r="BS40" s="340"/>
      <c r="BT40" s="340"/>
      <c r="BU40" s="340"/>
      <c r="BV40" s="340"/>
      <c r="BW40" s="340"/>
      <c r="BX40" s="340"/>
      <c r="BY40" s="340"/>
      <c r="BZ40" s="340"/>
      <c r="CA40" s="207"/>
      <c r="CB40" s="207"/>
      <c r="CC40" s="340"/>
      <c r="CD40" s="340"/>
      <c r="CE40" s="340"/>
      <c r="CF40" s="340"/>
      <c r="CG40" s="340"/>
      <c r="CH40" s="340"/>
      <c r="CI40" s="340"/>
      <c r="CJ40" s="340"/>
      <c r="CK40" s="340"/>
      <c r="CL40" s="340"/>
      <c r="CM40" s="340"/>
      <c r="CN40" s="207"/>
      <c r="CO40" s="207"/>
      <c r="CP40" s="340"/>
      <c r="CQ40" s="340"/>
      <c r="CR40" s="340"/>
      <c r="CS40" s="340"/>
      <c r="CT40" s="340"/>
      <c r="CU40" s="340"/>
      <c r="CV40" s="340"/>
      <c r="CW40" s="340"/>
      <c r="CX40" s="340"/>
      <c r="CY40" s="340"/>
      <c r="CZ40" s="340"/>
      <c r="DA40" s="207"/>
      <c r="DB40" s="207"/>
      <c r="DC40" s="340"/>
      <c r="DD40" s="340"/>
      <c r="DE40" s="340"/>
      <c r="DF40" s="340"/>
      <c r="DG40" s="340"/>
      <c r="DH40" s="340"/>
      <c r="DI40" s="340"/>
      <c r="DJ40" s="340"/>
      <c r="DK40" s="340"/>
      <c r="DL40" s="340"/>
      <c r="DM40" s="340"/>
      <c r="DN40" s="207"/>
      <c r="DO40" s="207"/>
      <c r="DP40" s="340"/>
      <c r="DQ40" s="340"/>
      <c r="DR40" s="340"/>
      <c r="DS40" s="340"/>
      <c r="DT40" s="340"/>
      <c r="DU40" s="340"/>
      <c r="DV40" s="340"/>
      <c r="DW40" s="340"/>
      <c r="DX40" s="340"/>
      <c r="DY40" s="340"/>
      <c r="DZ40" s="340"/>
      <c r="EA40" s="207"/>
      <c r="EB40" s="207"/>
      <c r="EC40" s="340"/>
      <c r="ED40" s="340"/>
      <c r="EE40" s="340"/>
      <c r="EF40" s="340"/>
      <c r="EG40" s="340"/>
      <c r="EH40" s="340"/>
      <c r="EI40" s="340"/>
      <c r="EJ40" s="340"/>
      <c r="EK40" s="340"/>
      <c r="EL40" s="340"/>
      <c r="EM40" s="340"/>
      <c r="EN40" s="207"/>
      <c r="EO40" s="207"/>
      <c r="EP40" s="340"/>
      <c r="EQ40" s="340"/>
      <c r="ER40" s="340"/>
      <c r="ES40" s="340"/>
      <c r="ET40" s="340"/>
      <c r="EU40" s="340"/>
      <c r="EV40" s="340"/>
      <c r="EW40" s="340"/>
      <c r="EX40" s="340"/>
      <c r="EY40" s="340"/>
      <c r="EZ40" s="340"/>
      <c r="FA40" s="207"/>
      <c r="FB40" s="207"/>
      <c r="FC40" s="340"/>
      <c r="FD40" s="340"/>
      <c r="FE40" s="340"/>
      <c r="FF40" s="340"/>
      <c r="FG40" s="340"/>
      <c r="FH40" s="340"/>
      <c r="FI40" s="340"/>
      <c r="FJ40" s="340"/>
      <c r="FK40" s="340"/>
      <c r="FL40" s="340"/>
      <c r="FM40" s="340"/>
      <c r="FN40" s="207"/>
      <c r="FO40" s="207"/>
      <c r="FP40" s="340"/>
      <c r="FQ40" s="340"/>
      <c r="FR40" s="340"/>
      <c r="FS40" s="340"/>
      <c r="FT40" s="340"/>
      <c r="FU40" s="340"/>
      <c r="FV40" s="340"/>
      <c r="FW40" s="340"/>
      <c r="FX40" s="340"/>
      <c r="FY40" s="340"/>
      <c r="FZ40" s="340"/>
      <c r="GA40" s="207"/>
      <c r="GB40" s="207"/>
      <c r="GC40" s="340"/>
      <c r="GD40" s="340"/>
      <c r="GE40" s="340"/>
      <c r="GF40" s="340"/>
      <c r="GG40" s="340"/>
      <c r="GH40" s="340"/>
      <c r="GI40" s="340"/>
      <c r="GJ40" s="340"/>
      <c r="GK40" s="340"/>
      <c r="GL40" s="340"/>
      <c r="GM40" s="340"/>
      <c r="GN40" s="207"/>
      <c r="GO40" s="207"/>
      <c r="GP40" s="340"/>
      <c r="GQ40" s="340"/>
      <c r="GR40" s="340"/>
      <c r="GS40" s="340"/>
      <c r="GT40" s="340"/>
      <c r="GU40" s="340"/>
      <c r="GV40" s="340"/>
      <c r="GW40" s="340"/>
      <c r="GX40" s="340"/>
      <c r="GY40" s="340"/>
      <c r="GZ40" s="340"/>
      <c r="HA40" s="207"/>
      <c r="HB40" s="207"/>
      <c r="HC40" s="340"/>
      <c r="HD40" s="340"/>
      <c r="HE40" s="340"/>
      <c r="HF40" s="340"/>
      <c r="HG40" s="340"/>
      <c r="HH40" s="340"/>
      <c r="HI40" s="340"/>
      <c r="HJ40" s="340"/>
      <c r="HK40" s="340"/>
      <c r="HL40" s="340"/>
      <c r="HM40" s="340"/>
      <c r="HN40" s="207"/>
      <c r="HO40" s="207"/>
      <c r="HP40" s="340"/>
      <c r="HQ40" s="340"/>
      <c r="HR40" s="340"/>
      <c r="HS40" s="340"/>
      <c r="HT40" s="340"/>
      <c r="HU40" s="340"/>
      <c r="HV40" s="340"/>
      <c r="HW40" s="340"/>
      <c r="HX40" s="340"/>
      <c r="HY40" s="340"/>
      <c r="HZ40" s="340"/>
      <c r="IA40" s="207"/>
      <c r="IB40" s="207"/>
      <c r="IC40" s="340"/>
      <c r="ID40" s="340"/>
      <c r="IE40" s="340"/>
      <c r="IF40" s="340"/>
      <c r="IG40" s="340"/>
      <c r="IH40" s="340"/>
      <c r="II40" s="340"/>
      <c r="IJ40" s="340"/>
      <c r="IK40" s="340"/>
      <c r="IL40" s="340"/>
      <c r="IM40" s="340"/>
      <c r="IN40" s="207"/>
      <c r="IO40" s="207"/>
      <c r="IP40" s="340"/>
      <c r="IQ40" s="340"/>
      <c r="IR40" s="340"/>
      <c r="IS40" s="340"/>
      <c r="IT40" s="340"/>
      <c r="IU40" s="340"/>
      <c r="IV40" s="340"/>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37"/>
      <c r="D70" s="337"/>
      <c r="E70" s="337"/>
      <c r="F70" s="337"/>
      <c r="G70" s="337"/>
      <c r="H70" s="337"/>
      <c r="I70" s="337"/>
      <c r="J70" s="337"/>
      <c r="K70" s="337"/>
      <c r="L70" s="337"/>
      <c r="M70" s="338"/>
    </row>
    <row r="71" spans="1:13" ht="12" thickTop="1" x14ac:dyDescent="0.2">
      <c r="A71" s="208"/>
      <c r="B71" s="208"/>
      <c r="C71" s="209"/>
      <c r="D71" s="209"/>
      <c r="E71" s="209"/>
      <c r="F71" s="209"/>
      <c r="G71" s="209"/>
      <c r="H71" s="209"/>
      <c r="I71" s="209"/>
      <c r="J71" s="209"/>
      <c r="K71" s="209"/>
      <c r="L71" s="209"/>
    </row>
    <row r="72" spans="1:13" ht="12.75" x14ac:dyDescent="0.2">
      <c r="A72" s="339" t="s">
        <v>832</v>
      </c>
      <c r="B72" s="339"/>
      <c r="C72" s="339"/>
      <c r="D72" s="339"/>
      <c r="E72" s="339"/>
      <c r="F72" s="126"/>
      <c r="G72" s="126"/>
      <c r="H72" s="126"/>
      <c r="I72" s="126"/>
      <c r="J72" s="126"/>
      <c r="K72" s="126"/>
      <c r="L72" s="126"/>
      <c r="M72" s="126"/>
    </row>
    <row r="73" spans="1:13" x14ac:dyDescent="0.2">
      <c r="A73" s="210" t="s">
        <v>764</v>
      </c>
      <c r="B73" s="210" t="s">
        <v>765</v>
      </c>
      <c r="C73" s="334"/>
      <c r="D73" s="334"/>
      <c r="E73" s="334"/>
      <c r="F73" s="334"/>
      <c r="G73" s="334"/>
      <c r="H73" s="334"/>
      <c r="I73" s="334"/>
      <c r="J73" s="334"/>
      <c r="K73" s="334"/>
      <c r="L73" s="334"/>
      <c r="M73" s="334"/>
    </row>
    <row r="74" spans="1:13" x14ac:dyDescent="0.2">
      <c r="A74" s="211"/>
      <c r="B74" s="211"/>
      <c r="C74" s="334"/>
      <c r="D74" s="334"/>
      <c r="E74" s="334"/>
      <c r="F74" s="334"/>
      <c r="G74" s="334"/>
      <c r="H74" s="334"/>
      <c r="I74" s="334"/>
      <c r="J74" s="334"/>
      <c r="K74" s="334"/>
      <c r="L74" s="334"/>
      <c r="M74" s="334"/>
    </row>
    <row r="75" spans="1:13" x14ac:dyDescent="0.2">
      <c r="A75" s="211"/>
      <c r="B75" s="211"/>
      <c r="C75" s="334"/>
      <c r="D75" s="334"/>
      <c r="E75" s="334"/>
      <c r="F75" s="334"/>
      <c r="G75" s="334"/>
      <c r="H75" s="334"/>
      <c r="I75" s="334"/>
      <c r="J75" s="334"/>
      <c r="K75" s="334"/>
      <c r="L75" s="334"/>
      <c r="M75" s="334"/>
    </row>
    <row r="76" spans="1:13" x14ac:dyDescent="0.2">
      <c r="A76" s="211"/>
      <c r="B76" s="211"/>
      <c r="C76" s="334"/>
      <c r="D76" s="334"/>
      <c r="E76" s="334"/>
      <c r="F76" s="334"/>
      <c r="G76" s="334"/>
      <c r="H76" s="334"/>
      <c r="I76" s="334"/>
      <c r="J76" s="334"/>
      <c r="K76" s="334"/>
      <c r="L76" s="334"/>
      <c r="M76" s="334"/>
    </row>
    <row r="77" spans="1:13" x14ac:dyDescent="0.2">
      <c r="A77" s="211"/>
      <c r="B77" s="211"/>
      <c r="C77" s="334"/>
      <c r="D77" s="334"/>
      <c r="E77" s="334"/>
      <c r="F77" s="334"/>
      <c r="G77" s="334"/>
      <c r="H77" s="334"/>
      <c r="I77" s="334"/>
      <c r="J77" s="334"/>
      <c r="K77" s="334"/>
      <c r="L77" s="334"/>
      <c r="M77" s="334"/>
    </row>
    <row r="78" spans="1:13" x14ac:dyDescent="0.2">
      <c r="A78" s="211"/>
      <c r="B78" s="211"/>
      <c r="C78" s="334"/>
      <c r="D78" s="334"/>
      <c r="E78" s="334"/>
      <c r="F78" s="334"/>
      <c r="G78" s="334"/>
      <c r="H78" s="334"/>
      <c r="I78" s="334"/>
      <c r="J78" s="334"/>
      <c r="K78" s="334"/>
      <c r="L78" s="334"/>
      <c r="M78" s="334"/>
    </row>
    <row r="79" spans="1:13" x14ac:dyDescent="0.2">
      <c r="A79" s="211"/>
      <c r="B79" s="211"/>
      <c r="C79" s="334"/>
      <c r="D79" s="334"/>
      <c r="E79" s="334"/>
      <c r="F79" s="334"/>
      <c r="G79" s="334"/>
      <c r="H79" s="334"/>
      <c r="I79" s="334"/>
      <c r="J79" s="334"/>
      <c r="K79" s="334"/>
      <c r="L79" s="334"/>
      <c r="M79" s="334"/>
    </row>
    <row r="80" spans="1:13" x14ac:dyDescent="0.2">
      <c r="A80" s="211"/>
      <c r="B80" s="211"/>
      <c r="C80" s="334"/>
      <c r="D80" s="334"/>
      <c r="E80" s="334"/>
      <c r="F80" s="334"/>
      <c r="G80" s="334"/>
      <c r="H80" s="334"/>
      <c r="I80" s="334"/>
      <c r="J80" s="334"/>
      <c r="K80" s="334"/>
      <c r="L80" s="334"/>
      <c r="M80" s="334"/>
    </row>
    <row r="81" spans="1:13" x14ac:dyDescent="0.2">
      <c r="A81" s="211"/>
      <c r="B81" s="211"/>
      <c r="C81" s="334"/>
      <c r="D81" s="334"/>
      <c r="E81" s="334"/>
      <c r="F81" s="334"/>
      <c r="G81" s="334"/>
      <c r="H81" s="334"/>
      <c r="I81" s="334"/>
      <c r="J81" s="334"/>
      <c r="K81" s="334"/>
      <c r="L81" s="334"/>
      <c r="M81" s="334"/>
    </row>
    <row r="82" spans="1:13" x14ac:dyDescent="0.2">
      <c r="A82" s="211"/>
      <c r="B82" s="211"/>
      <c r="C82" s="334"/>
      <c r="D82" s="334"/>
      <c r="E82" s="334"/>
      <c r="F82" s="334"/>
      <c r="G82" s="334"/>
      <c r="H82" s="334"/>
      <c r="I82" s="334"/>
      <c r="J82" s="334"/>
      <c r="K82" s="334"/>
      <c r="L82" s="334"/>
      <c r="M82" s="334"/>
    </row>
    <row r="83" spans="1:13" x14ac:dyDescent="0.2">
      <c r="A83" s="211"/>
      <c r="B83" s="211"/>
      <c r="C83" s="334"/>
      <c r="D83" s="334"/>
      <c r="E83" s="334"/>
      <c r="F83" s="334"/>
      <c r="G83" s="334"/>
      <c r="H83" s="334"/>
      <c r="I83" s="334"/>
      <c r="J83" s="334"/>
      <c r="K83" s="334"/>
      <c r="L83" s="334"/>
      <c r="M83" s="334"/>
    </row>
    <row r="84" spans="1:13" x14ac:dyDescent="0.2">
      <c r="A84" s="211"/>
      <c r="B84" s="211"/>
      <c r="C84" s="334"/>
      <c r="D84" s="334"/>
      <c r="E84" s="334"/>
      <c r="F84" s="334"/>
      <c r="G84" s="334"/>
      <c r="H84" s="334"/>
      <c r="I84" s="334"/>
      <c r="J84" s="334"/>
      <c r="K84" s="334"/>
      <c r="L84" s="334"/>
      <c r="M84" s="334"/>
    </row>
    <row r="85" spans="1:13" x14ac:dyDescent="0.2">
      <c r="A85" s="211"/>
      <c r="B85" s="211"/>
      <c r="C85" s="334"/>
      <c r="D85" s="334"/>
      <c r="E85" s="334"/>
      <c r="F85" s="334"/>
      <c r="G85" s="334"/>
      <c r="H85" s="334"/>
      <c r="I85" s="334"/>
      <c r="J85" s="334"/>
      <c r="K85" s="334"/>
      <c r="L85" s="334"/>
      <c r="M85" s="334"/>
    </row>
    <row r="86" spans="1:13" x14ac:dyDescent="0.2">
      <c r="A86" s="211"/>
      <c r="B86" s="211"/>
      <c r="C86" s="334"/>
      <c r="D86" s="334"/>
      <c r="E86" s="334"/>
      <c r="F86" s="334"/>
      <c r="G86" s="334"/>
      <c r="H86" s="334"/>
      <c r="I86" s="334"/>
      <c r="J86" s="334"/>
      <c r="K86" s="334"/>
      <c r="L86" s="334"/>
      <c r="M86" s="334"/>
    </row>
    <row r="87" spans="1:13" x14ac:dyDescent="0.2">
      <c r="A87" s="211"/>
      <c r="B87" s="211"/>
      <c r="C87" s="334"/>
      <c r="D87" s="334"/>
      <c r="E87" s="334"/>
      <c r="F87" s="334"/>
      <c r="G87" s="334"/>
      <c r="H87" s="334"/>
      <c r="I87" s="334"/>
      <c r="J87" s="334"/>
      <c r="K87" s="334"/>
      <c r="L87" s="334"/>
      <c r="M87" s="334"/>
    </row>
    <row r="88" spans="1:13" x14ac:dyDescent="0.2">
      <c r="A88" s="211"/>
      <c r="B88" s="211"/>
      <c r="C88" s="334"/>
      <c r="D88" s="334"/>
      <c r="E88" s="334"/>
      <c r="F88" s="334"/>
      <c r="G88" s="334"/>
      <c r="H88" s="334"/>
      <c r="I88" s="334"/>
      <c r="J88" s="334"/>
      <c r="K88" s="334"/>
      <c r="L88" s="334"/>
      <c r="M88" s="334"/>
    </row>
    <row r="89" spans="1:13" x14ac:dyDescent="0.2">
      <c r="A89" s="211"/>
      <c r="B89" s="211"/>
      <c r="C89" s="334"/>
      <c r="D89" s="334"/>
      <c r="E89" s="334"/>
      <c r="F89" s="334"/>
      <c r="G89" s="334"/>
      <c r="H89" s="334"/>
      <c r="I89" s="334"/>
      <c r="J89" s="334"/>
      <c r="K89" s="334"/>
      <c r="L89" s="334"/>
      <c r="M89" s="334"/>
    </row>
    <row r="90" spans="1:13" x14ac:dyDescent="0.2">
      <c r="A90" s="211"/>
      <c r="B90" s="211"/>
      <c r="C90" s="334"/>
      <c r="D90" s="334"/>
      <c r="E90" s="334"/>
      <c r="F90" s="334"/>
      <c r="G90" s="334"/>
      <c r="H90" s="334"/>
      <c r="I90" s="334"/>
      <c r="J90" s="334"/>
      <c r="K90" s="334"/>
      <c r="L90" s="334"/>
      <c r="M90" s="334"/>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2019-08-27T15:56:27Z</cp:lastPrinted>
  <dcterms:created xsi:type="dcterms:W3CDTF">1997-12-04T19:04:30Z</dcterms:created>
  <dcterms:modified xsi:type="dcterms:W3CDTF">2019-11-22T15:55:08Z</dcterms:modified>
</cp:coreProperties>
</file>