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912"/>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Rate'!$A$1:$I$53</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8" i="2" l="1"/>
  <c r="E22" i="2"/>
  <c r="E21" i="2"/>
  <c r="H22" i="1" l="1"/>
  <c r="F15" i="13" l="1"/>
  <c r="F14" i="13"/>
  <c r="F6" i="13"/>
  <c r="F31" i="13"/>
  <c r="H400" i="1" l="1"/>
  <c r="F472" i="1" l="1"/>
  <c r="G204" i="1" l="1"/>
  <c r="E37" i="14" l="1"/>
  <c r="B39" i="12" l="1"/>
  <c r="B37" i="12"/>
  <c r="B38" i="12"/>
  <c r="B30" i="12"/>
  <c r="B21" i="12"/>
  <c r="B20" i="12"/>
  <c r="B19" i="12"/>
  <c r="B12" i="12"/>
  <c r="B11" i="12"/>
  <c r="B10" i="12"/>
  <c r="G498" i="1"/>
  <c r="D9" i="13" l="1"/>
  <c r="J604" i="1"/>
  <c r="I528" i="1"/>
  <c r="I527" i="1"/>
  <c r="I526" i="1"/>
  <c r="H543" i="1"/>
  <c r="H528" i="1"/>
  <c r="H527" i="1"/>
  <c r="H526" i="1"/>
  <c r="G527" i="1"/>
  <c r="G522" i="1"/>
  <c r="G526" i="1"/>
  <c r="G521" i="1"/>
  <c r="F527" i="1"/>
  <c r="F522" i="1"/>
  <c r="F521" i="1"/>
  <c r="F526" i="1"/>
  <c r="G528" i="1"/>
  <c r="F528" i="1"/>
  <c r="H498" i="1" l="1"/>
  <c r="F498" i="1"/>
  <c r="H472" i="1"/>
  <c r="H468" i="1"/>
  <c r="H379" i="1"/>
  <c r="H368" i="1"/>
  <c r="H367" i="1"/>
  <c r="G367" i="1"/>
  <c r="F368" i="1"/>
  <c r="K323" i="1" l="1"/>
  <c r="H320" i="1"/>
  <c r="G320" i="1"/>
  <c r="F320" i="1"/>
  <c r="K285" i="1"/>
  <c r="H283" i="1"/>
  <c r="H282" i="1"/>
  <c r="G282" i="1"/>
  <c r="F282" i="1"/>
  <c r="H324" i="1" l="1"/>
  <c r="H319" i="1"/>
  <c r="G319" i="1"/>
  <c r="G317" i="1"/>
  <c r="F319" i="1"/>
  <c r="F317" i="1"/>
  <c r="K281" i="1"/>
  <c r="K279" i="1"/>
  <c r="I279" i="1"/>
  <c r="I277" i="1"/>
  <c r="H281" i="1"/>
  <c r="G281" i="1"/>
  <c r="F281" i="1"/>
  <c r="H255" i="1"/>
  <c r="K240" i="1"/>
  <c r="K239" i="1"/>
  <c r="K238" i="1"/>
  <c r="J243" i="1"/>
  <c r="J238" i="1"/>
  <c r="I236" i="1"/>
  <c r="I243" i="1"/>
  <c r="I241" i="1"/>
  <c r="I240" i="1"/>
  <c r="I239" i="1"/>
  <c r="I238" i="1"/>
  <c r="H240" i="1"/>
  <c r="H245" i="1"/>
  <c r="H244" i="1"/>
  <c r="H243" i="1"/>
  <c r="H239" i="1"/>
  <c r="H238" i="1"/>
  <c r="H236" i="1"/>
  <c r="G243" i="1"/>
  <c r="G240" i="1"/>
  <c r="G239" i="1"/>
  <c r="G238" i="1"/>
  <c r="G236" i="1"/>
  <c r="F236" i="1"/>
  <c r="F243" i="1"/>
  <c r="F240" i="1"/>
  <c r="F239" i="1"/>
  <c r="F238" i="1"/>
  <c r="K222" i="1" l="1"/>
  <c r="K221" i="1"/>
  <c r="K220" i="1"/>
  <c r="K216" i="1"/>
  <c r="I221" i="1"/>
  <c r="I220" i="1"/>
  <c r="I218" i="1"/>
  <c r="H227" i="1"/>
  <c r="H226" i="1"/>
  <c r="H225" i="1"/>
  <c r="H223" i="1"/>
  <c r="H222" i="1"/>
  <c r="H221" i="1"/>
  <c r="H220" i="1"/>
  <c r="G225" i="1"/>
  <c r="G222" i="1"/>
  <c r="G221" i="1"/>
  <c r="G220" i="1"/>
  <c r="G218" i="1"/>
  <c r="G216" i="1"/>
  <c r="F225" i="1"/>
  <c r="F222" i="1"/>
  <c r="F221" i="1"/>
  <c r="F220" i="1"/>
  <c r="F218" i="1"/>
  <c r="F216" i="1"/>
  <c r="K204" i="1"/>
  <c r="J198" i="1"/>
  <c r="I204" i="1"/>
  <c r="I203" i="1"/>
  <c r="I202" i="1"/>
  <c r="I198" i="1"/>
  <c r="H209" i="1"/>
  <c r="H208" i="1"/>
  <c r="H207" i="1"/>
  <c r="H205" i="1"/>
  <c r="H204" i="1"/>
  <c r="H203" i="1"/>
  <c r="H202" i="1"/>
  <c r="H198" i="1"/>
  <c r="G203" i="1"/>
  <c r="G202" i="1"/>
  <c r="G200" i="1"/>
  <c r="G198" i="1"/>
  <c r="F204" i="1"/>
  <c r="F203" i="1"/>
  <c r="F202" i="1"/>
  <c r="F200" i="1"/>
  <c r="F198" i="1"/>
  <c r="H102" i="1"/>
  <c r="H98" i="1"/>
  <c r="H64" i="1"/>
  <c r="H63" i="1"/>
  <c r="G97" i="1"/>
  <c r="H48" i="1" l="1"/>
  <c r="H43" i="1"/>
  <c r="H49" i="1"/>
  <c r="H36" i="1"/>
  <c r="H37" i="1"/>
  <c r="H28" i="1"/>
  <c r="H24" i="1"/>
  <c r="H30" i="1"/>
  <c r="H23" i="1"/>
  <c r="H13" i="1"/>
  <c r="H17" i="1"/>
  <c r="H12" i="1"/>
  <c r="H9" i="1"/>
  <c r="G9" i="1" l="1"/>
  <c r="F9" i="1" l="1"/>
  <c r="F110"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C111" i="2" s="1"/>
  <c r="L236" i="1"/>
  <c r="G6" i="13"/>
  <c r="H6" i="13"/>
  <c r="L202" i="1"/>
  <c r="L220" i="1"/>
  <c r="L238" i="1"/>
  <c r="G7" i="13"/>
  <c r="H7" i="13"/>
  <c r="L203" i="1"/>
  <c r="L221" i="1"/>
  <c r="L239" i="1"/>
  <c r="G12" i="13"/>
  <c r="H12" i="13"/>
  <c r="L205" i="1"/>
  <c r="L223" i="1"/>
  <c r="L241" i="1"/>
  <c r="G14" i="13"/>
  <c r="H14" i="13"/>
  <c r="L207" i="1"/>
  <c r="L225" i="1"/>
  <c r="L243" i="1"/>
  <c r="G15" i="13"/>
  <c r="H15" i="13"/>
  <c r="L208" i="1"/>
  <c r="F662" i="1" s="1"/>
  <c r="L226" i="1"/>
  <c r="L244" i="1"/>
  <c r="G17" i="13"/>
  <c r="H17" i="13"/>
  <c r="L251" i="1"/>
  <c r="G18" i="13"/>
  <c r="H18" i="13"/>
  <c r="L252" i="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E124" i="2" s="1"/>
  <c r="L326" i="1"/>
  <c r="L333" i="1"/>
  <c r="E114" i="2" s="1"/>
  <c r="L334" i="1"/>
  <c r="L335" i="1"/>
  <c r="L260" i="1"/>
  <c r="L261" i="1"/>
  <c r="C132" i="2" s="1"/>
  <c r="L341" i="1"/>
  <c r="L342" i="1"/>
  <c r="L255" i="1"/>
  <c r="C130" i="2" s="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D56" i="2" s="1"/>
  <c r="H60" i="1"/>
  <c r="I60" i="1"/>
  <c r="F56" i="2" s="1"/>
  <c r="F79" i="1"/>
  <c r="C57" i="2" s="1"/>
  <c r="F94" i="1"/>
  <c r="F111" i="1"/>
  <c r="G111" i="1"/>
  <c r="H79" i="1"/>
  <c r="E57" i="2" s="1"/>
  <c r="H94" i="1"/>
  <c r="H111" i="1"/>
  <c r="I111" i="1"/>
  <c r="I112" i="1" s="1"/>
  <c r="J111" i="1"/>
  <c r="J112" i="1" s="1"/>
  <c r="F121" i="1"/>
  <c r="F136" i="1"/>
  <c r="G121" i="1"/>
  <c r="G136" i="1"/>
  <c r="H121" i="1"/>
  <c r="H136" i="1"/>
  <c r="I121" i="1"/>
  <c r="I136" i="1"/>
  <c r="J121" i="1"/>
  <c r="J136" i="1"/>
  <c r="F147" i="1"/>
  <c r="F162" i="1"/>
  <c r="G147" i="1"/>
  <c r="G162" i="1"/>
  <c r="H147" i="1"/>
  <c r="H162" i="1"/>
  <c r="I147" i="1"/>
  <c r="I162" i="1"/>
  <c r="L250" i="1"/>
  <c r="L332" i="1"/>
  <c r="L254" i="1"/>
  <c r="L268" i="1"/>
  <c r="L269" i="1"/>
  <c r="C143" i="2" s="1"/>
  <c r="L349" i="1"/>
  <c r="L350" i="1"/>
  <c r="I665" i="1"/>
  <c r="I670" i="1"/>
  <c r="I669" i="1"/>
  <c r="C42" i="10"/>
  <c r="L374" i="1"/>
  <c r="L375" i="1"/>
  <c r="L376" i="1"/>
  <c r="L377" i="1"/>
  <c r="L378" i="1"/>
  <c r="L379" i="1"/>
  <c r="L380" i="1"/>
  <c r="B2" i="10"/>
  <c r="L344" i="1"/>
  <c r="E134" i="2" s="1"/>
  <c r="L345" i="1"/>
  <c r="E135" i="2" s="1"/>
  <c r="L346" i="1"/>
  <c r="E137" i="2" s="1"/>
  <c r="L347" i="1"/>
  <c r="K351" i="1"/>
  <c r="L521" i="1"/>
  <c r="F549" i="1" s="1"/>
  <c r="L522" i="1"/>
  <c r="L523" i="1"/>
  <c r="F551" i="1" s="1"/>
  <c r="L526" i="1"/>
  <c r="G549" i="1" s="1"/>
  <c r="L527" i="1"/>
  <c r="G550" i="1" s="1"/>
  <c r="L528" i="1"/>
  <c r="L531" i="1"/>
  <c r="H549" i="1" s="1"/>
  <c r="L532" i="1"/>
  <c r="H550" i="1" s="1"/>
  <c r="L533" i="1"/>
  <c r="H551" i="1" s="1"/>
  <c r="L536" i="1"/>
  <c r="I549" i="1" s="1"/>
  <c r="L537" i="1"/>
  <c r="I550" i="1" s="1"/>
  <c r="L538" i="1"/>
  <c r="I551" i="1" s="1"/>
  <c r="L541" i="1"/>
  <c r="J549" i="1" s="1"/>
  <c r="L542" i="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F21" i="2"/>
  <c r="I448" i="1"/>
  <c r="J22" i="1" s="1"/>
  <c r="C22" i="2"/>
  <c r="D22" i="2"/>
  <c r="F22" i="2"/>
  <c r="I449" i="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I457" i="1"/>
  <c r="J37" i="1" s="1"/>
  <c r="G36" i="2" s="1"/>
  <c r="I459" i="1"/>
  <c r="J48" i="1" s="1"/>
  <c r="G47" i="2" s="1"/>
  <c r="C49"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09" i="2"/>
  <c r="E110" i="2"/>
  <c r="E111" i="2"/>
  <c r="C113" i="2"/>
  <c r="E113" i="2"/>
  <c r="D115" i="2"/>
  <c r="F115" i="2"/>
  <c r="G115" i="2"/>
  <c r="E118" i="2"/>
  <c r="E120" i="2"/>
  <c r="F128" i="2"/>
  <c r="G128" i="2"/>
  <c r="E130" i="2"/>
  <c r="D134" i="2"/>
  <c r="D144" i="2" s="1"/>
  <c r="F134" i="2"/>
  <c r="K419" i="1"/>
  <c r="K427" i="1"/>
  <c r="K433" i="1"/>
  <c r="L263" i="1"/>
  <c r="C135" i="2" s="1"/>
  <c r="L264" i="1"/>
  <c r="C136" i="2" s="1"/>
  <c r="L265" i="1"/>
  <c r="C137" i="2" s="1"/>
  <c r="C142" i="2"/>
  <c r="E142"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F177" i="1"/>
  <c r="I177" i="1"/>
  <c r="F183" i="1"/>
  <c r="G183" i="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G408" i="1"/>
  <c r="H645"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F452" i="1"/>
  <c r="G452" i="1"/>
  <c r="H452" i="1"/>
  <c r="F460" i="1"/>
  <c r="G460" i="1"/>
  <c r="H460" i="1"/>
  <c r="H461" i="1" s="1"/>
  <c r="H641" i="1" s="1"/>
  <c r="F470" i="1"/>
  <c r="G470" i="1"/>
  <c r="H470" i="1"/>
  <c r="I470" i="1"/>
  <c r="I476" i="1" s="1"/>
  <c r="H625" i="1" s="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L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H627" i="1"/>
  <c r="H628" i="1"/>
  <c r="H629" i="1"/>
  <c r="H630" i="1"/>
  <c r="H631" i="1"/>
  <c r="H632" i="1"/>
  <c r="H633" i="1"/>
  <c r="H635" i="1"/>
  <c r="H636" i="1"/>
  <c r="H637" i="1"/>
  <c r="H638" i="1"/>
  <c r="G640" i="1"/>
  <c r="G643" i="1"/>
  <c r="J643" i="1" s="1"/>
  <c r="H643" i="1"/>
  <c r="G644" i="1"/>
  <c r="G645" i="1"/>
  <c r="G650" i="1"/>
  <c r="G651" i="1"/>
  <c r="G652" i="1"/>
  <c r="H652" i="1"/>
  <c r="G653" i="1"/>
  <c r="H653" i="1"/>
  <c r="G654" i="1"/>
  <c r="H654" i="1"/>
  <c r="H655" i="1"/>
  <c r="G62" i="2"/>
  <c r="E78" i="2"/>
  <c r="F476" i="1"/>
  <c r="H622" i="1" s="1"/>
  <c r="J140" i="1"/>
  <c r="H571" i="1"/>
  <c r="L351" i="1" l="1"/>
  <c r="G461" i="1"/>
  <c r="H640" i="1" s="1"/>
  <c r="F461" i="1"/>
  <c r="H639" i="1" s="1"/>
  <c r="I52" i="1"/>
  <c r="H620" i="1" s="1"/>
  <c r="J620" i="1" s="1"/>
  <c r="I446" i="1"/>
  <c r="G642" i="1" s="1"/>
  <c r="C25" i="10"/>
  <c r="I552" i="1"/>
  <c r="K503" i="1"/>
  <c r="G22" i="13"/>
  <c r="C22" i="13" s="1"/>
  <c r="C29" i="10"/>
  <c r="L614" i="1"/>
  <c r="L565" i="1"/>
  <c r="K545" i="1"/>
  <c r="H545" i="1"/>
  <c r="G545" i="1"/>
  <c r="H552" i="1"/>
  <c r="H408" i="1"/>
  <c r="H644" i="1" s="1"/>
  <c r="J644" i="1" s="1"/>
  <c r="K549" i="1"/>
  <c r="L427" i="1"/>
  <c r="G192" i="1"/>
  <c r="L393" i="1"/>
  <c r="C138" i="2" s="1"/>
  <c r="I571" i="1"/>
  <c r="L570" i="1"/>
  <c r="J571" i="1"/>
  <c r="F571" i="1"/>
  <c r="K571" i="1"/>
  <c r="L560" i="1"/>
  <c r="I545" i="1"/>
  <c r="C15" i="10"/>
  <c r="K605" i="1"/>
  <c r="G648" i="1" s="1"/>
  <c r="K598" i="1"/>
  <c r="G647" i="1" s="1"/>
  <c r="J651" i="1"/>
  <c r="J545" i="1"/>
  <c r="I408" i="1"/>
  <c r="L270" i="1"/>
  <c r="I169" i="1"/>
  <c r="H140" i="1"/>
  <c r="G662" i="1"/>
  <c r="E103" i="2"/>
  <c r="C70" i="2"/>
  <c r="J476" i="1"/>
  <c r="H626" i="1" s="1"/>
  <c r="J640" i="1"/>
  <c r="J645" i="1"/>
  <c r="L401" i="1"/>
  <c r="C139" i="2" s="1"/>
  <c r="I369" i="1"/>
  <c r="H634" i="1" s="1"/>
  <c r="F338" i="1"/>
  <c r="F352" i="1" s="1"/>
  <c r="E122" i="2"/>
  <c r="H662" i="1"/>
  <c r="I662" i="1" s="1"/>
  <c r="E123" i="2"/>
  <c r="E119" i="2"/>
  <c r="C19" i="10"/>
  <c r="A31" i="12"/>
  <c r="C118" i="2"/>
  <c r="C12" i="10"/>
  <c r="C120" i="2"/>
  <c r="C11" i="10"/>
  <c r="L247" i="1"/>
  <c r="J257" i="1"/>
  <c r="J271" i="1" s="1"/>
  <c r="I257" i="1"/>
  <c r="I271" i="1" s="1"/>
  <c r="C125" i="2"/>
  <c r="C20" i="10"/>
  <c r="C119" i="2"/>
  <c r="C112" i="2"/>
  <c r="C122" i="2"/>
  <c r="G649" i="1"/>
  <c r="C21" i="10"/>
  <c r="C124" i="2"/>
  <c r="H257" i="1"/>
  <c r="H271" i="1" s="1"/>
  <c r="C121" i="2"/>
  <c r="H112" i="1"/>
  <c r="H52" i="1"/>
  <c r="H619" i="1" s="1"/>
  <c r="J619" i="1" s="1"/>
  <c r="E62" i="2"/>
  <c r="E63" i="2" s="1"/>
  <c r="J622" i="1"/>
  <c r="J617" i="1"/>
  <c r="G156" i="2"/>
  <c r="D81" i="2"/>
  <c r="D62" i="2"/>
  <c r="D63" i="2" s="1"/>
  <c r="D50" i="2"/>
  <c r="D31" i="2"/>
  <c r="D91" i="2"/>
  <c r="F112" i="1"/>
  <c r="C56" i="2"/>
  <c r="E31" i="2"/>
  <c r="G625" i="1"/>
  <c r="J625" i="1" s="1"/>
  <c r="C85" i="2"/>
  <c r="C91" i="2" s="1"/>
  <c r="F169" i="1"/>
  <c r="E125" i="2"/>
  <c r="H661" i="1"/>
  <c r="G661" i="1"/>
  <c r="D127" i="2"/>
  <c r="D128" i="2" s="1"/>
  <c r="D145" i="2" s="1"/>
  <c r="J43" i="1"/>
  <c r="J51" i="1" s="1"/>
  <c r="I460" i="1"/>
  <c r="J23" i="1"/>
  <c r="G22" i="2" s="1"/>
  <c r="I452" i="1"/>
  <c r="D18" i="2"/>
  <c r="J639" i="1"/>
  <c r="E143" i="2"/>
  <c r="E144" i="2" s="1"/>
  <c r="C26" i="10"/>
  <c r="E85" i="2"/>
  <c r="E91" i="2" s="1"/>
  <c r="H169" i="1"/>
  <c r="C131" i="2"/>
  <c r="C32" i="10"/>
  <c r="I25" i="13"/>
  <c r="C25" i="13" s="1"/>
  <c r="L328" i="1"/>
  <c r="L309" i="1"/>
  <c r="E121" i="2"/>
  <c r="C13" i="10"/>
  <c r="E112" i="2"/>
  <c r="E115" i="2" s="1"/>
  <c r="L290" i="1"/>
  <c r="L211" i="1"/>
  <c r="C110" i="2"/>
  <c r="C78" i="2"/>
  <c r="C81" i="2" s="1"/>
  <c r="F18" i="2"/>
  <c r="C18" i="2"/>
  <c r="A40" i="12"/>
  <c r="F661" i="1"/>
  <c r="C18" i="10"/>
  <c r="C123" i="2"/>
  <c r="F78" i="2"/>
  <c r="F81" i="2" s="1"/>
  <c r="J550" i="1"/>
  <c r="J552" i="1" s="1"/>
  <c r="L544" i="1"/>
  <c r="G551" i="1"/>
  <c r="L529" i="1"/>
  <c r="F550" i="1"/>
  <c r="L524" i="1"/>
  <c r="F130" i="2"/>
  <c r="F144" i="2" s="1"/>
  <c r="F145" i="2" s="1"/>
  <c r="C17" i="10"/>
  <c r="E81" i="2"/>
  <c r="J649" i="1"/>
  <c r="J641" i="1"/>
  <c r="L433" i="1"/>
  <c r="L419" i="1"/>
  <c r="L382" i="1"/>
  <c r="G636" i="1" s="1"/>
  <c r="J636" i="1" s="1"/>
  <c r="J634" i="1"/>
  <c r="K338" i="1"/>
  <c r="K352" i="1" s="1"/>
  <c r="G338" i="1"/>
  <c r="G352" i="1" s="1"/>
  <c r="F257" i="1"/>
  <c r="F271" i="1" s="1"/>
  <c r="D17" i="13"/>
  <c r="C17" i="13" s="1"/>
  <c r="D7" i="13"/>
  <c r="C7" i="13" s="1"/>
  <c r="E16" i="13"/>
  <c r="C16" i="13" s="1"/>
  <c r="C35" i="10"/>
  <c r="H647" i="1"/>
  <c r="L534" i="1"/>
  <c r="G476" i="1"/>
  <c r="H623" i="1" s="1"/>
  <c r="J623" i="1" s="1"/>
  <c r="H476" i="1"/>
  <c r="H624" i="1" s="1"/>
  <c r="J338" i="1"/>
  <c r="J352" i="1" s="1"/>
  <c r="C114" i="2"/>
  <c r="J655" i="1"/>
  <c r="L256" i="1"/>
  <c r="K257" i="1"/>
  <c r="K271" i="1" s="1"/>
  <c r="F192" i="1"/>
  <c r="G164" i="2"/>
  <c r="G161" i="2"/>
  <c r="G157" i="2"/>
  <c r="A13" i="12"/>
  <c r="E8" i="13"/>
  <c r="C8" i="13" s="1"/>
  <c r="G81" i="2"/>
  <c r="C62" i="2"/>
  <c r="L362" i="1"/>
  <c r="C27" i="10" s="1"/>
  <c r="D18" i="13"/>
  <c r="C18" i="13" s="1"/>
  <c r="D15" i="13"/>
  <c r="C15" i="13" s="1"/>
  <c r="D6" i="13"/>
  <c r="C6" i="13" s="1"/>
  <c r="E13" i="13"/>
  <c r="C13" i="13" s="1"/>
  <c r="G624" i="1"/>
  <c r="K500" i="1"/>
  <c r="H338" i="1"/>
  <c r="H352" i="1" s="1"/>
  <c r="G112" i="1"/>
  <c r="D19" i="13"/>
  <c r="C19" i="13" s="1"/>
  <c r="D14" i="13"/>
  <c r="C14" i="13" s="1"/>
  <c r="D29" i="13"/>
  <c r="C29" i="13" s="1"/>
  <c r="D12" i="13"/>
  <c r="C12" i="13" s="1"/>
  <c r="D5" i="13"/>
  <c r="C5" i="13" s="1"/>
  <c r="G257" i="1"/>
  <c r="G271" i="1" s="1"/>
  <c r="C16" i="10"/>
  <c r="C10" i="10"/>
  <c r="C109" i="2"/>
  <c r="L229" i="1"/>
  <c r="G24" i="14" s="1"/>
  <c r="L337" i="1"/>
  <c r="F62" i="2"/>
  <c r="F63" i="2" s="1"/>
  <c r="C23" i="10"/>
  <c r="G163" i="2"/>
  <c r="G162" i="2"/>
  <c r="G160" i="2"/>
  <c r="G159" i="2"/>
  <c r="G158" i="2"/>
  <c r="G103" i="2"/>
  <c r="F103" i="2"/>
  <c r="C103" i="2"/>
  <c r="F91" i="2"/>
  <c r="E50" i="2"/>
  <c r="C50" i="2"/>
  <c r="F31" i="2"/>
  <c r="C31" i="2"/>
  <c r="E18" i="2"/>
  <c r="F50" i="2"/>
  <c r="C24" i="10"/>
  <c r="H31" i="13"/>
  <c r="H33" i="13" s="1"/>
  <c r="I338" i="1"/>
  <c r="I352" i="1" s="1"/>
  <c r="J650" i="1"/>
  <c r="L407" i="1"/>
  <c r="C140" i="2" s="1"/>
  <c r="I192" i="1"/>
  <c r="J654" i="1"/>
  <c r="J653" i="1"/>
  <c r="G21" i="2"/>
  <c r="G31" i="2" s="1"/>
  <c r="J32" i="1"/>
  <c r="J434" i="1"/>
  <c r="F434" i="1"/>
  <c r="K434" i="1"/>
  <c r="G134" i="2" s="1"/>
  <c r="G144" i="2" s="1"/>
  <c r="G145" i="2" s="1"/>
  <c r="G31" i="13"/>
  <c r="G33" i="13" s="1"/>
  <c r="J193" i="1"/>
  <c r="G646" i="1" s="1"/>
  <c r="G169" i="1"/>
  <c r="G140" i="1"/>
  <c r="F140" i="1"/>
  <c r="G63" i="2"/>
  <c r="J618" i="1"/>
  <c r="G42" i="2"/>
  <c r="G50" i="2" s="1"/>
  <c r="G16" i="2"/>
  <c r="G18" i="2" s="1"/>
  <c r="J19" i="1"/>
  <c r="G621" i="1" s="1"/>
  <c r="F545" i="1"/>
  <c r="H434" i="1"/>
  <c r="D103" i="2"/>
  <c r="I140" i="1"/>
  <c r="A22" i="12"/>
  <c r="J652" i="1"/>
  <c r="G571" i="1"/>
  <c r="I434" i="1"/>
  <c r="G434" i="1"/>
  <c r="I663" i="1"/>
  <c r="F51" i="2" l="1"/>
  <c r="D104" i="2"/>
  <c r="J647" i="1"/>
  <c r="L571" i="1"/>
  <c r="C141" i="2"/>
  <c r="C144" i="2" s="1"/>
  <c r="D51" i="2"/>
  <c r="L545" i="1"/>
  <c r="H193" i="1"/>
  <c r="G629" i="1" s="1"/>
  <c r="J629" i="1" s="1"/>
  <c r="L434" i="1"/>
  <c r="G638" i="1" s="1"/>
  <c r="J638" i="1" s="1"/>
  <c r="L408" i="1"/>
  <c r="L338" i="1"/>
  <c r="L352" i="1" s="1"/>
  <c r="G633" i="1" s="1"/>
  <c r="J633" i="1" s="1"/>
  <c r="E128" i="2"/>
  <c r="E145" i="2" s="1"/>
  <c r="H660" i="1"/>
  <c r="H664" i="1" s="1"/>
  <c r="G104" i="2"/>
  <c r="F660" i="1"/>
  <c r="F664" i="1" s="1"/>
  <c r="F667" i="1" s="1"/>
  <c r="G36" i="14"/>
  <c r="H36" i="14" s="1"/>
  <c r="I36" i="14" s="1"/>
  <c r="H648" i="1"/>
  <c r="J648" i="1" s="1"/>
  <c r="G660" i="1"/>
  <c r="G664" i="1" s="1"/>
  <c r="G672" i="1" s="1"/>
  <c r="C5" i="10" s="1"/>
  <c r="C128" i="2"/>
  <c r="G4" i="14"/>
  <c r="H4" i="14" s="1"/>
  <c r="I4" i="14" s="1"/>
  <c r="F104" i="2"/>
  <c r="C39" i="10"/>
  <c r="F193" i="1"/>
  <c r="G627" i="1" s="1"/>
  <c r="J627" i="1" s="1"/>
  <c r="C63" i="2"/>
  <c r="C104" i="2" s="1"/>
  <c r="E104" i="2"/>
  <c r="C36" i="10"/>
  <c r="E33" i="13"/>
  <c r="D35" i="13" s="1"/>
  <c r="I33" i="13"/>
  <c r="K550" i="1"/>
  <c r="F552" i="1"/>
  <c r="G635" i="1"/>
  <c r="J635" i="1" s="1"/>
  <c r="L257" i="1"/>
  <c r="L271" i="1" s="1"/>
  <c r="G632" i="1" s="1"/>
  <c r="J632" i="1" s="1"/>
  <c r="I461" i="1"/>
  <c r="H642" i="1" s="1"/>
  <c r="J642" i="1" s="1"/>
  <c r="G51" i="2"/>
  <c r="J624" i="1"/>
  <c r="I193" i="1"/>
  <c r="G630" i="1" s="1"/>
  <c r="J630" i="1" s="1"/>
  <c r="E51" i="2"/>
  <c r="C115" i="2"/>
  <c r="G552" i="1"/>
  <c r="K551" i="1"/>
  <c r="I661" i="1"/>
  <c r="D31" i="13"/>
  <c r="C31" i="13" s="1"/>
  <c r="C28" i="10"/>
  <c r="D23" i="10" s="1"/>
  <c r="H24" i="14"/>
  <c r="I24" i="14" s="1"/>
  <c r="C51" i="2"/>
  <c r="G631" i="1"/>
  <c r="J631" i="1" s="1"/>
  <c r="G193" i="1"/>
  <c r="G628" i="1" s="1"/>
  <c r="J628" i="1" s="1"/>
  <c r="G626" i="1"/>
  <c r="J626" i="1" s="1"/>
  <c r="J52" i="1"/>
  <c r="H621" i="1" s="1"/>
  <c r="J621" i="1" s="1"/>
  <c r="C38" i="10"/>
  <c r="K552" i="1" l="1"/>
  <c r="G637" i="1"/>
  <c r="J637" i="1" s="1"/>
  <c r="H646" i="1"/>
  <c r="J646" i="1" s="1"/>
  <c r="I660" i="1"/>
  <c r="I664" i="1" s="1"/>
  <c r="I672" i="1" s="1"/>
  <c r="C7" i="10" s="1"/>
  <c r="C145" i="2"/>
  <c r="G667" i="1"/>
  <c r="F672" i="1"/>
  <c r="C4" i="10" s="1"/>
  <c r="H667" i="1"/>
  <c r="H672" i="1"/>
  <c r="C6" i="10" s="1"/>
  <c r="D25" i="10"/>
  <c r="D22" i="10"/>
  <c r="D18" i="10"/>
  <c r="D27" i="10"/>
  <c r="D15" i="10"/>
  <c r="D21" i="10"/>
  <c r="D24" i="10"/>
  <c r="D20" i="10"/>
  <c r="D11" i="10"/>
  <c r="D12" i="10"/>
  <c r="D13" i="10"/>
  <c r="D17" i="10"/>
  <c r="D19" i="10"/>
  <c r="D10" i="10"/>
  <c r="D26" i="10"/>
  <c r="C30" i="10"/>
  <c r="D16" i="10"/>
  <c r="D33" i="13"/>
  <c r="D36" i="13" s="1"/>
  <c r="C41" i="10"/>
  <c r="D38" i="10" s="1"/>
  <c r="H656" i="1" l="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<sst xmlns="http://schemas.openxmlformats.org/spreadsheetml/2006/main" count="5516" uniqueCount="1614">
  <si>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</si>
  <si>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</si>
  <si>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</si>
  <si>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</si>
  <si>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</si>
  <si>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</si>
  <si>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</si>
  <si>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</si>
  <si>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</si>
  <si>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</si>
  <si>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</si>
  <si>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</si>
  <si>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</si>
  <si>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</si>
  <si>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</si>
  <si>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</si>
  <si>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</si>
  <si>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</si>
  <si>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</si>
  <si>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</si>
  <si>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</si>
  <si>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</si>
  <si>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</si>
  <si>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</si>
  <si>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</si>
  <si>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</si>
  <si>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</si>
  <si>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</si>
  <si>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</si>
  <si>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</si>
  <si>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</si>
  <si>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</si>
  <si>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</si>
  <si>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</si>
  <si>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</si>
  <si>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</si>
  <si>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</si>
  <si>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</si>
  <si>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</si>
  <si>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</si>
  <si>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</si>
  <si>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</si>
  <si>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</si>
  <si>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</si>
  <si>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</si>
  <si>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</si>
  <si>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</si>
  <si>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</si>
  <si>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</si>
  <si>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</si>
  <si>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</si>
  <si>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</si>
  <si>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</si>
  <si>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</si>
  <si>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</si>
  <si>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</si>
  <si>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</si>
  <si>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</si>
  <si>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</si>
  <si>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</si>
  <si>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</si>
  <si>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</si>
  <si>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</si>
  <si>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</si>
  <si>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</si>
  <si>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</si>
  <si>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</si>
  <si>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</si>
  <si>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</si>
  <si>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</si>
  <si>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</si>
  <si>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</si>
  <si>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</si>
  <si>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</si>
  <si>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</si>
  <si>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</si>
  <si>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</si>
  <si>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</si>
  <si>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</si>
  <si>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</si>
  <si>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</si>
  <si>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</si>
  <si>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</si>
  <si>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</si>
  <si>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</si>
  <si>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</si>
  <si>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</si>
  <si>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</si>
  <si>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</si>
  <si>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</si>
  <si>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</si>
  <si>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</si>
  <si>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</si>
  <si>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</si>
  <si>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</si>
  <si>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</si>
  <si>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</si>
  <si>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</si>
  <si>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</si>
  <si>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</si>
  <si>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</si>
  <si>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</si>
  <si>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</si>
  <si>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</si>
  <si>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</si>
  <si>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</si>
  <si>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</si>
  <si>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</si>
  <si>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</si>
  <si>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</si>
  <si>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</si>
  <si>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</si>
  <si>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</si>
  <si>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</si>
  <si>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</si>
  <si>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</si>
  <si>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</si>
  <si>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</si>
  <si>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</si>
  <si>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</si>
  <si>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</si>
  <si>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</si>
  <si>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</si>
  <si>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</si>
  <si>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</si>
  <si>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</si>
  <si>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</si>
  <si>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</si>
  <si>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</si>
  <si>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</si>
  <si>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</si>
  <si>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</si>
  <si>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</si>
  <si>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</si>
  <si>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</si>
  <si>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</si>
  <si>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</si>
  <si>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</si>
  <si>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</si>
  <si>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</si>
  <si>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</si>
  <si>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</si>
  <si>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</si>
  <si>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</si>
  <si>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</si>
  <si>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</si>
  <si>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</si>
  <si>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</si>
  <si>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</si>
  <si>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</si>
  <si>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</si>
  <si>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</si>
  <si>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</si>
  <si>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</si>
  <si>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</si>
  <si>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</si>
  <si>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</si>
  <si>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</si>
  <si>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</si>
  <si>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</si>
  <si>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</si>
  <si>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</si>
  <si>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</si>
  <si>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</si>
  <si>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</si>
  <si>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</si>
  <si>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</si>
  <si>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</si>
  <si>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</si>
  <si>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</si>
  <si>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</si>
  <si>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</si>
  <si>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</si>
  <si>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</si>
  <si>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</si>
  <si>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</si>
  <si>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</si>
  <si>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</si>
  <si>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</si>
  <si>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</si>
  <si>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</si>
  <si>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</si>
  <si>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</si>
  <si>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</si>
  <si>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</si>
  <si>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</si>
  <si>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</si>
  <si>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</si>
  <si>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</si>
  <si>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</si>
  <si>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</si>
  <si>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</si>
  <si>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</si>
  <si>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</si>
  <si>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</si>
  <si>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</si>
  <si>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</si>
  <si>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</si>
  <si>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</si>
  <si>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</si>
  <si>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</si>
  <si>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</si>
  <si>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</si>
  <si>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</si>
  <si>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</si>
  <si>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</si>
  <si>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</si>
  <si>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</si>
  <si>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</si>
  <si>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</si>
  <si>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</si>
  <si>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</si>
  <si>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</si>
  <si>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</si>
  <si>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</si>
  <si>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</si>
  <si>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</si>
  <si>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</si>
  <si>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</si>
  <si>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</si>
  <si>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</si>
  <si>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</si>
  <si>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</si>
  <si>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</si>
  <si>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</si>
  <si>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</si>
  <si>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</si>
  <si>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</si>
  <si>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</si>
  <si>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</si>
  <si>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</si>
  <si>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</si>
  <si>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</si>
  <si>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</si>
  <si>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</si>
  <si>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</si>
  <si>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</si>
  <si>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</si>
  <si>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</si>
  <si>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</si>
  <si>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</si>
  <si>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</si>
  <si>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</si>
  <si>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</si>
  <si>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</si>
  <si>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</si>
  <si>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</si>
  <si>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</si>
  <si>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</si>
  <si>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</si>
  <si>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</si>
  <si>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</si>
  <si>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</si>
  <si>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</si>
  <si>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</si>
  <si>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</si>
  <si>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</si>
  <si>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</si>
  <si>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</si>
  <si>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</si>
  <si>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</si>
  <si>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</si>
  <si>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</si>
  <si>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</si>
  <si>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</si>
  <si>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</si>
  <si>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</si>
  <si>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</si>
  <si>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</si>
  <si>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</si>
  <si>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</si>
  <si>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</si>
  <si>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</si>
  <si>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</si>
  <si>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</si>
  <si>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</si>
  <si>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</si>
  <si>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</si>
  <si>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</si>
  <si>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</si>
  <si>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</si>
  <si>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</si>
  <si>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</si>
  <si>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</si>
  <si>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</si>
  <si>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</si>
  <si>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</si>
  <si>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</si>
  <si>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</si>
  <si>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</si>
  <si>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</si>
  <si>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</si>
  <si>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</si>
  <si>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</si>
  <si>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</si>
  <si>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</si>
  <si>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</si>
  <si>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</si>
  <si>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</si>
  <si>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</si>
  <si>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</si>
  <si>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</si>
  <si>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</si>
  <si>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</si>
  <si>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</si>
  <si>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</si>
  <si>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</si>
  <si>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</si>
  <si>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</si>
  <si>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</si>
  <si>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</si>
  <si>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</si>
  <si>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</si>
  <si>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</si>
  <si>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</si>
  <si>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</si>
  <si>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</si>
  <si>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</si>
  <si>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</si>
  <si>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</si>
  <si>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</si>
  <si>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</si>
  <si>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</si>
  <si>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</si>
  <si>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</si>
  <si>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</si>
  <si>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</si>
  <si>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</si>
  <si>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</si>
  <si>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</si>
  <si>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</si>
  <si>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</si>
  <si>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</si>
  <si>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</si>
  <si>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</si>
  <si>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</si>
  <si>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</si>
  <si>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</si>
  <si>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</si>
  <si>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</si>
  <si>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</si>
  <si>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</si>
  <si>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</si>
  <si>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</si>
  <si>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</si>
  <si>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</si>
  <si>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</si>
  <si>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</si>
  <si>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</si>
  <si>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</si>
  <si>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</si>
  <si>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</si>
  <si>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</si>
  <si>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</si>
  <si>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</si>
  <si>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</si>
  <si>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</si>
  <si>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</si>
  <si>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</si>
  <si>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</si>
  <si>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</si>
  <si>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</si>
  <si>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</si>
  <si>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</si>
  <si>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</si>
  <si>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</si>
  <si>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</si>
  <si>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</si>
  <si>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</si>
  <si>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</si>
  <si>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</si>
  <si>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</si>
  <si>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</si>
  <si>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</si>
  <si>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</si>
  <si>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</si>
  <si>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</si>
  <si>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</si>
  <si>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</si>
  <si>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</si>
  <si>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</si>
  <si>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</si>
  <si>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</si>
  <si>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</si>
  <si>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</si>
  <si>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</si>
  <si>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</si>
  <si>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</si>
  <si>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</si>
  <si>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</si>
  <si>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</si>
  <si>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</si>
  <si>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</si>
  <si>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</si>
  <si>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</si>
  <si>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</si>
  <si>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</si>
  <si>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</si>
  <si>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</si>
  <si>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</si>
  <si>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</si>
  <si>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</si>
  <si>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</si>
  <si>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</si>
  <si>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</si>
  <si>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</si>
  <si>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</si>
  <si>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</si>
  <si>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</si>
  <si>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</si>
  <si>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</si>
  <si>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</si>
  <si>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</si>
  <si>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</si>
  <si>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</si>
  <si>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</si>
  <si>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</si>
  <si>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</si>
  <si>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</si>
  <si>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</si>
  <si>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</si>
  <si>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</si>
  <si>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</si>
  <si>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</si>
  <si>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</si>
  <si>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</si>
  <si>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</si>
  <si>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</si>
  <si>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</si>
  <si>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</si>
  <si>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</si>
  <si>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</si>
  <si>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</si>
  <si>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</si>
  <si>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</si>
  <si>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</si>
  <si>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</si>
  <si>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</si>
  <si>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</si>
  <si>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</si>
  <si>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</si>
  <si>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</si>
  <si>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</si>
  <si>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</si>
  <si>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</si>
  <si>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</si>
  <si>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</si>
  <si>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</si>
  <si>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</si>
  <si>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</si>
  <si>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</si>
  <si>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</si>
  <si>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</si>
  <si>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</si>
  <si>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</si>
  <si>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</si>
  <si>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</si>
  <si>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</si>
  <si>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</si>
  <si>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</si>
  <si>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</si>
  <si>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</si>
  <si>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</si>
  <si>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</si>
  <si>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</si>
  <si>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</si>
  <si>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</si>
  <si>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</si>
  <si>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</si>
  <si>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</si>
  <si>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</si>
  <si>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</si>
  <si>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</si>
  <si>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</si>
  <si>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</si>
  <si>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</si>
  <si>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</si>
  <si>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</si>
  <si>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</si>
  <si>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</si>
  <si>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</si>
  <si>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</si>
  <si>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</si>
  <si>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</si>
  <si>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</si>
  <si>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</si>
  <si>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</si>
  <si>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</si>
  <si>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</si>
  <si>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</si>
  <si>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</si>
  <si>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</si>
  <si>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</si>
  <si>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</si>
  <si>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</si>
  <si>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</si>
  <si>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</si>
  <si>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</si>
  <si>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</si>
  <si>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</si>
  <si>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</si>
  <si>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</si>
  <si>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</si>
  <si>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</si>
  <si>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</si>
  <si>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</si>
  <si>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</si>
  <si>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</si>
  <si>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</si>
  <si>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</si>
  <si>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</si>
  <si>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</si>
  <si>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</si>
  <si>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</si>
  <si>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</si>
  <si>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</si>
  <si>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</si>
  <si>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</si>
  <si>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</si>
  <si>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</si>
  <si>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</si>
  <si>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</si>
  <si>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</si>
  <si>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</si>
  <si>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</si>
  <si>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</si>
  <si>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</si>
  <si>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</si>
  <si>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</si>
  <si>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</si>
  <si>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</si>
  <si>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</si>
  <si>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</si>
  <si>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</si>
  <si>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</si>
  <si>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</si>
  <si>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</si>
  <si>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</si>
  <si>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</si>
  <si>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</si>
  <si>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</si>
  <si>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</si>
  <si>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</si>
  <si>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</si>
  <si>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</si>
  <si>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</si>
  <si>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</si>
  <si>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</si>
  <si>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</si>
  <si>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</si>
  <si>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</si>
  <si>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</si>
  <si>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</si>
  <si>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</si>
  <si>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</si>
  <si>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</si>
  <si>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</si>
  <si>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</si>
  <si>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</si>
  <si>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</si>
  <si>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</si>
  <si>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</si>
  <si>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</si>
  <si>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</si>
  <si>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</si>
  <si>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</si>
  <si>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</si>
  <si>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</si>
  <si>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</si>
  <si>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</si>
  <si>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</si>
  <si>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</si>
  <si>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</si>
  <si>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</si>
  <si>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</si>
  <si>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</si>
  <si>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</si>
  <si>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</si>
  <si>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</si>
  <si>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</si>
  <si>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</si>
  <si>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</si>
  <si>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</si>
  <si>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</si>
  <si>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</si>
  <si>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</si>
  <si>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</si>
  <si>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</si>
  <si>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</si>
  <si>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</si>
  <si>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</si>
  <si>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</si>
  <si>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</si>
  <si>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</si>
  <si>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</si>
  <si>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</si>
  <si>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</si>
  <si>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</si>
  <si>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</si>
  <si>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</si>
  <si>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</si>
  <si>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</si>
  <si>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</si>
  <si>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</si>
  <si>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</si>
  <si>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</si>
  <si>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</si>
  <si>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</si>
  <si>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</si>
  <si>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</si>
  <si>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</si>
  <si>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</si>
  <si>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</si>
  <si>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</si>
  <si>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</si>
  <si>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</si>
  <si>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</si>
  <si>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</si>
  <si>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</si>
  <si>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</si>
  <si>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</si>
  <si>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</si>
  <si>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</si>
  <si>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</si>
  <si>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</si>
  <si>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</si>
  <si>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</si>
  <si>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</si>
  <si>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</si>
  <si>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</si>
  <si>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</si>
  <si>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</si>
  <si>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</si>
  <si>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</si>
  <si>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</si>
  <si>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</si>
  <si>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</si>
  <si>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</si>
  <si>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</si>
  <si>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</si>
  <si>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</si>
  <si>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</si>
  <si>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</si>
  <si>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</si>
  <si>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</si>
  <si>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</si>
  <si>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</si>
  <si>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</si>
  <si>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</si>
  <si>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</si>
  <si>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</si>
  <si>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</si>
  <si>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</si>
  <si>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</si>
  <si>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</si>
  <si>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</si>
  <si>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</si>
  <si>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</si>
  <si>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</si>
  <si>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</si>
  <si>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</si>
  <si>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</si>
  <si>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</si>
  <si>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</si>
  <si>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</si>
  <si>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</si>
  <si>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</si>
  <si>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</si>
  <si>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</si>
  <si>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</si>
  <si>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</si>
  <si>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</si>
  <si>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</si>
  <si>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</si>
  <si>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</si>
  <si>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</si>
  <si>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</si>
  <si>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</si>
  <si>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</si>
  <si>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</si>
  <si>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</si>
  <si>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</si>
  <si>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</si>
  <si>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</si>
  <si>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</si>
  <si>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</si>
  <si>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</si>
  <si>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</si>
  <si>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</si>
  <si>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</si>
  <si>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</si>
  <si>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</si>
  <si>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</si>
  <si>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</si>
  <si>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</si>
  <si>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</si>
  <si>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</si>
  <si>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</si>
  <si>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</si>
  <si>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</si>
  <si>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</si>
  <si>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</si>
  <si>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</si>
  <si>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</si>
  <si>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</si>
  <si>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</si>
  <si>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</si>
  <si>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</si>
  <si>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</si>
  <si>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</si>
  <si>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</si>
  <si>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</si>
  <si>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</si>
  <si>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</si>
  <si>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</si>
  <si>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</si>
  <si>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</si>
  <si>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</si>
  <si>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</si>
  <si>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</si>
  <si>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</si>
  <si>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</si>
  <si>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</si>
  <si>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</si>
  <si>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</si>
  <si>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</si>
  <si>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</si>
  <si>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</si>
  <si>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</si>
  <si>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</si>
  <si>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</si>
  <si>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</si>
  <si>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</si>
  <si>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</si>
  <si>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</si>
  <si>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</si>
  <si>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</si>
  <si>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</si>
  <si>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</si>
  <si>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</si>
  <si>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</si>
  <si>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</si>
  <si>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</si>
  <si>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</si>
  <si>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</si>
  <si>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</si>
  <si>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</si>
  <si>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</si>
  <si>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</si>
  <si>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</si>
  <si>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</si>
  <si>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</si>
  <si>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</si>
  <si>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</si>
  <si>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</si>
  <si>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</si>
  <si>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</si>
  <si>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</si>
  <si>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</si>
  <si>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</si>
  <si>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</si>
  <si>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</si>
  <si>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</si>
  <si>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</si>
  <si>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</si>
  <si>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</si>
  <si>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</si>
  <si>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</si>
  <si>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</si>
  <si>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</si>
  <si>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</si>
  <si>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</si>
  <si>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</si>
  <si>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</si>
  <si>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</si>
  <si>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</si>
  <si>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</si>
  <si>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</si>
  <si>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</si>
  <si>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</si>
  <si>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</si>
  <si>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</si>
  <si>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</si>
  <si>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</si>
  <si>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</si>
  <si>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</si>
  <si>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</si>
  <si>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</si>
  <si>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</si>
  <si>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</si>
  <si>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</si>
  <si>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</si>
  <si>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</si>
  <si>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</si>
  <si>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</si>
  <si>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</si>
  <si>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</si>
  <si>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</si>
  <si>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</si>
  <si>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</si>
  <si>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</si>
  <si>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</si>
  <si>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</si>
  <si>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</si>
  <si>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</si>
  <si>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</si>
  <si>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</si>
  <si>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</si>
  <si>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</si>
  <si>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</si>
  <si>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</si>
  <si>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</si>
  <si>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</si>
  <si>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</si>
  <si>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</si>
  <si>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</si>
  <si>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</si>
  <si>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</si>
  <si>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</si>
  <si>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</si>
  <si>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</si>
  <si>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</si>
  <si>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</si>
  <si>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</si>
  <si>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</si>
  <si>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</si>
  <si>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</si>
  <si>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</si>
  <si>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</si>
  <si>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</si>
  <si>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</si>
  <si>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</si>
  <si>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</si>
  <si>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</si>
  <si>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</si>
  <si>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</si>
  <si>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</si>
  <si>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</si>
  <si>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</si>
  <si>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</si>
  <si>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</si>
  <si>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</si>
  <si>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</si>
  <si>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</si>
  <si>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</si>
  <si>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</si>
  <si>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</si>
  <si>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</si>
  <si>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</si>
  <si>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</si>
  <si>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</si>
  <si>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</si>
  <si>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</si>
  <si>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</si>
  <si>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</si>
  <si>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</si>
  <si>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</si>
  <si>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</si>
  <si>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</si>
  <si>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</si>
  <si>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</si>
  <si>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</si>
  <si>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</si>
  <si>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</si>
  <si>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</si>
  <si>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</si>
  <si>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</si>
  <si>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</si>
  <si>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</si>
  <si>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</si>
  <si>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</si>
  <si>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</si>
  <si>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</si>
  <si>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</si>
  <si>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</si>
  <si>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</si>
  <si>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</si>
  <si>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</si>
  <si>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</si>
  <si>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</si>
  <si>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</si>
  <si>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</si>
  <si>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</si>
  <si>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</si>
  <si>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</si>
  <si>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</si>
  <si>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</si>
  <si>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</si>
  <si>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</si>
  <si>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</si>
  <si>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</si>
  <si>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</si>
  <si>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</si>
  <si>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</si>
  <si>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</si>
  <si>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</si>
  <si>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</si>
  <si>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</si>
  <si>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</si>
  <si>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</si>
  <si>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</si>
  <si>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</si>
  <si>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</si>
  <si>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</si>
  <si>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</si>
  <si>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</si>
  <si>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</si>
  <si>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</si>
  <si>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</si>
  <si>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</si>
  <si>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</si>
  <si>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</si>
  <si>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</si>
  <si>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</si>
  <si>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</si>
  <si>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</si>
  <si>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</si>
  <si>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</si>
  <si>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</si>
  <si>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</si>
  <si>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</si>
  <si>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</si>
  <si>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</si>
  <si>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</si>
  <si>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</si>
  <si>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</si>
  <si>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</si>
  <si>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</si>
  <si>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</si>
  <si>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</si>
  <si>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</si>
  <si>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</si>
  <si>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</si>
  <si>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</si>
  <si>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</si>
  <si>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</si>
  <si>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</si>
  <si>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</si>
  <si>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</si>
  <si>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</si>
  <si>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</si>
  <si>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</si>
  <si>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</si>
  <si>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</si>
  <si>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</si>
  <si>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</si>
  <si>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</si>
  <si>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</si>
  <si>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</si>
  <si>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</si>
  <si>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</si>
  <si>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</si>
  <si>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</si>
  <si>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</si>
  <si>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</si>
  <si>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</si>
  <si>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</si>
  <si>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</si>
  <si>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</si>
  <si>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</si>
  <si>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</si>
  <si>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</si>
  <si>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</si>
  <si>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</si>
  <si>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</si>
  <si>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</si>
  <si>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</si>
  <si>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</si>
  <si>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</si>
  <si>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</si>
  <si>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</si>
  <si>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</si>
  <si>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</si>
  <si>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</si>
  <si>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</si>
  <si>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</si>
  <si>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</si>
  <si>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</si>
  <si>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</si>
  <si>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</si>
  <si>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</si>
  <si>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</si>
  <si>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</si>
  <si>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</si>
  <si>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</si>
  <si>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</si>
  <si>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</si>
  <si>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</si>
  <si>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</si>
  <si>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</si>
  <si>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</si>
  <si>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</si>
  <si>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</si>
  <si>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</si>
  <si>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</si>
  <si>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</si>
  <si>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</si>
  <si>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</si>
  <si>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</si>
  <si>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</si>
  <si>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</si>
  <si>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</si>
  <si>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</si>
  <si>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</si>
  <si>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</si>
  <si>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</si>
  <si>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</si>
  <si>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</si>
  <si>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</si>
  <si>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</si>
  <si>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</si>
  <si>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</si>
  <si>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</si>
  <si>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</si>
  <si>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</si>
  <si>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</si>
  <si>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</si>
  <si>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</si>
  <si>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</si>
  <si>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</si>
  <si>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</si>
  <si>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</si>
  <si>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</si>
  <si>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</si>
  <si>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</si>
  <si>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</si>
  <si>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</si>
  <si>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</si>
  <si>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</si>
  <si>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</si>
  <si>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</si>
  <si>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</si>
  <si>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</si>
  <si>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</si>
  <si>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</si>
  <si>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</si>
  <si>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</si>
  <si>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</si>
  <si>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</si>
  <si>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</si>
  <si>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</si>
  <si>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</si>
  <si>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</si>
  <si>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</si>
  <si>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</si>
  <si>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</si>
  <si>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</si>
  <si>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</si>
  <si>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</si>
  <si>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</si>
  <si>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</si>
  <si>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</si>
  <si>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</si>
  <si>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</si>
  <si>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</si>
  <si>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</si>
  <si>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</si>
  <si>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</si>
  <si>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</si>
  <si>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</si>
  <si>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</si>
  <si>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</si>
  <si>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</si>
  <si>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</si>
  <si>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</si>
  <si>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</si>
  <si>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</si>
  <si>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</si>
  <si>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</si>
  <si>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</si>
  <si>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</si>
  <si>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</si>
  <si>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</si>
  <si>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</si>
  <si>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</si>
  <si>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</si>
  <si>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</si>
  <si>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</si>
  <si>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</si>
  <si>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</si>
  <si>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</si>
  <si>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</si>
  <si>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</si>
  <si>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</si>
  <si>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</si>
  <si>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</si>
  <si>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</si>
  <si>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</si>
  <si>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</si>
  <si>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</si>
  <si>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</si>
  <si>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</si>
  <si>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</si>
  <si>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</si>
  <si>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</si>
  <si>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</si>
  <si>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</si>
  <si>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</si>
  <si>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</si>
  <si>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</si>
  <si>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</si>
  <si>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</si>
  <si>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</si>
  <si>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</si>
  <si>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</si>
  <si>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</si>
  <si>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</si>
  <si>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</si>
  <si>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</si>
  <si>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</si>
  <si>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</si>
  <si>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</si>
  <si>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</si>
  <si>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</si>
  <si>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</si>
  <si>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</si>
  <si>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</si>
  <si>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</si>
  <si>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</si>
  <si>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</si>
  <si>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</si>
  <si>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</si>
  <si>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</si>
  <si>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</si>
  <si>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</si>
  <si>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</si>
  <si>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</si>
  <si>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</si>
  <si>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</si>
  <si>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</si>
  <si>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</si>
  <si>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</si>
  <si>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</si>
  <si>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</si>
  <si>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</si>
  <si>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</si>
  <si>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</si>
  <si>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</si>
  <si>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</si>
  <si>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</si>
  <si>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</si>
  <si>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</si>
  <si>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</si>
  <si>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</si>
  <si>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</si>
  <si>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</si>
  <si>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</si>
  <si>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</si>
  <si>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</si>
  <si>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</si>
  <si>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</si>
  <si>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</si>
  <si>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</si>
  <si>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</si>
  <si>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</si>
  <si>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</si>
  <si>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</si>
  <si>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</si>
  <si>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</si>
  <si>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</si>
  <si>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</si>
  <si>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</si>
  <si>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</si>
  <si>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</si>
  <si>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</si>
  <si>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</si>
  <si>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</si>
  <si>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</si>
  <si>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</si>
  <si>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</si>
  <si>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</si>
  <si>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</si>
  <si>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</si>
  <si>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</si>
  <si>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</si>
  <si>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</si>
  <si>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</si>
  <si>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</si>
  <si>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</si>
  <si>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</si>
  <si>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</si>
  <si>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</si>
  <si>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</si>
  <si>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</si>
  <si>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</si>
  <si>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</si>
  <si>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</si>
  <si>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</si>
  <si>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</si>
  <si>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</si>
  <si>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</si>
  <si>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</si>
  <si>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</si>
  <si>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</si>
  <si>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</si>
  <si>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</si>
  <si>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</si>
  <si>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</si>
  <si>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</si>
  <si>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</si>
  <si>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</si>
  <si>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</si>
  <si>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</si>
  <si>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</si>
  <si>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</si>
  <si>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</si>
  <si>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</si>
  <si>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</si>
  <si>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</si>
  <si>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</si>
  <si>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</si>
  <si>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</si>
  <si>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</si>
  <si>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</si>
  <si>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</si>
  <si>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</si>
  <si>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</si>
  <si>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</si>
  <si>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</si>
  <si>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</si>
  <si>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</si>
  <si>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</si>
  <si>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</si>
  <si>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</si>
  <si>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</si>
  <si>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</si>
  <si>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</si>
  <si>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</si>
  <si>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</si>
  <si>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</si>
  <si>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</si>
  <si>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</si>
  <si>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</si>
  <si>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</si>
  <si>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</si>
  <si>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</si>
  <si>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</si>
  <si>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</si>
  <si>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</si>
  <si>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</si>
  <si>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</si>
  <si>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</si>
  <si>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</si>
  <si>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</si>
  <si>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</si>
  <si>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</si>
  <si>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</si>
  <si>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</si>
  <si>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</si>
  <si>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</si>
  <si>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</si>
  <si>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</si>
  <si>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</si>
  <si>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</si>
  <si>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</si>
  <si>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</si>
  <si>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</si>
  <si>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</si>
  <si>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</si>
  <si>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</si>
  <si>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</si>
  <si>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</si>
  <si>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</si>
  <si>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</si>
  <si>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</si>
  <si>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</si>
  <si>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</si>
  <si>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</si>
  <si>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</si>
  <si>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</si>
  <si>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</si>
  <si>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</si>
  <si>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</si>
  <si>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</si>
  <si>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</si>
  <si>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</si>
  <si>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</si>
  <si>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</si>
  <si>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</si>
  <si>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</si>
  <si>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</si>
  <si>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</si>
  <si>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</si>
  <si>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</si>
  <si>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</si>
  <si>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</si>
  <si>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</si>
  <si>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</si>
  <si>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</si>
  <si>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</si>
  <si>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</si>
  <si>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</si>
  <si>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</si>
  <si>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</si>
  <si>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</si>
  <si>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</si>
  <si>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</si>
  <si>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</si>
  <si>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</si>
  <si>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</si>
  <si>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</si>
  <si>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</si>
  <si>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</si>
  <si>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</si>
  <si>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</si>
  <si>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</si>
  <si>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</si>
  <si>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</si>
  <si>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</si>
  <si>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</si>
  <si>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</si>
  <si>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</si>
  <si>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</si>
  <si>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</si>
  <si>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</si>
  <si>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</si>
  <si>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</si>
  <si>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</si>
  <si>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</si>
  <si>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</si>
  <si>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</si>
  <si>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</si>
  <si>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</si>
  <si>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</si>
  <si>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</si>
  <si>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</si>
  <si>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</si>
  <si>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</si>
  <si>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</si>
  <si>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</si>
  <si>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</si>
  <si>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</si>
  <si>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</si>
  <si>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</si>
  <si>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</si>
  <si>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</si>
  <si>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</si>
  <si>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</si>
  <si>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</si>
  <si>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</si>
  <si>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</si>
  <si>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</si>
  <si>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</si>
  <si>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</si>
  <si>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</si>
  <si>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</si>
  <si>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</si>
  <si>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</si>
  <si>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</si>
  <si>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</si>
  <si>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</si>
  <si>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</si>
  <si>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</si>
  <si>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</si>
  <si>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</si>
  <si>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</si>
  <si>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</si>
  <si>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</si>
  <si>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</si>
  <si>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</si>
  <si>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</si>
  <si>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</si>
  <si>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</si>
  <si>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</si>
  <si>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</si>
  <si>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</si>
  <si>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</si>
  <si>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</si>
  <si>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</si>
  <si>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</si>
  <si>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</si>
  <si>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</si>
  <si>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</si>
  <si>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</si>
  <si>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</si>
  <si>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</si>
  <si>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</si>
  <si>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</si>
  <si>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</si>
  <si>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</si>
  <si>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</si>
  <si>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</si>
  <si>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</si>
  <si>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</si>
  <si>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</si>
  <si>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</si>
  <si>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</si>
  <si>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</si>
  <si>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</si>
  <si>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</si>
  <si>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</si>
  <si>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</si>
  <si>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</si>
  <si>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</si>
  <si>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</si>
  <si>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</si>
  <si>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</si>
  <si>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</si>
  <si>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</si>
  <si>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</si>
  <si>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</si>
  <si>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</si>
  <si>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</si>
  <si>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</si>
  <si>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</si>
  <si>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</si>
  <si>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</si>
  <si>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</si>
  <si>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</si>
  <si>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</si>
  <si>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</si>
  <si>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</si>
  <si>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</si>
  <si>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</si>
  <si>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</si>
  <si>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</si>
  <si>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</si>
  <si>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</si>
  <si>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</si>
  <si>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</si>
  <si>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</si>
  <si>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</si>
  <si>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</si>
  <si>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</si>
  <si>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</si>
  <si>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</si>
  <si>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</si>
  <si>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</si>
  <si>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</si>
  <si>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</si>
  <si>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</si>
  <si>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</si>
  <si>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</si>
  <si>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</si>
  <si>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</si>
  <si>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</si>
  <si>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</si>
  <si>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</si>
  <si>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</si>
  <si>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</si>
  <si>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</si>
  <si>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</si>
  <si>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</si>
  <si>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</si>
  <si>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</si>
  <si>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</si>
  <si>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</si>
  <si>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</si>
  <si>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</si>
  <si>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</si>
  <si>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</si>
  <si>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</si>
  <si>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</si>
  <si>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</si>
  <si>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</si>
  <si>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</si>
  <si>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</si>
  <si>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</si>
  <si>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</si>
  <si>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</si>
  <si>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</si>
  <si>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</si>
  <si>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</si>
  <si>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</si>
  <si>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</si>
  <si>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</si>
  <si>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</si>
  <si>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</si>
  <si>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</si>
  <si>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</si>
  <si>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</si>
  <si>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</si>
  <si>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</si>
  <si>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</si>
  <si>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</si>
  <si>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</si>
  <si>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</si>
  <si>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</si>
  <si>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</si>
  <si>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</si>
  <si>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</si>
  <si>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</si>
  <si>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</si>
  <si>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</si>
  <si>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</si>
  <si>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</si>
  <si>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</si>
  <si>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</si>
  <si>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</si>
  <si>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</si>
  <si>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</si>
  <si>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</si>
  <si>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</si>
  <si>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</si>
  <si>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</si>
  <si>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</si>
  <si>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</si>
  <si>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</si>
  <si>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</si>
  <si>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</si>
  <si>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</si>
  <si>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</si>
  <si>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</si>
  <si>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</si>
  <si>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</si>
  <si>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</si>
  <si>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</si>
  <si>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</si>
  <si>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</si>
  <si>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</si>
  <si>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</si>
  <si>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</si>
  <si>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</si>
  <si>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</si>
  <si>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</si>
  <si>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</si>
  <si>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</si>
  <si>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</si>
  <si>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</si>
  <si>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</si>
  <si>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</si>
  <si>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</si>
  <si>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</si>
  <si>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</si>
  <si>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</si>
  <si>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</si>
  <si>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</si>
  <si>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</si>
  <si>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</si>
  <si>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</si>
  <si>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</si>
  <si>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</si>
  <si>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</si>
  <si>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</si>
  <si>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</si>
  <si>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</si>
  <si>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</si>
  <si>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</si>
  <si>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</si>
  <si>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</si>
  <si>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</si>
  <si>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</si>
  <si>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</si>
  <si>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</si>
  <si>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</si>
  <si>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</si>
  <si>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</si>
  <si>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</si>
  <si>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</si>
  <si>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</si>
  <si>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</si>
  <si>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</si>
  <si>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</si>
  <si>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</si>
  <si>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</si>
  <si>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</si>
  <si>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</si>
  <si>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</si>
  <si>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</si>
  <si>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</si>
  <si>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</si>
  <si>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</si>
  <si>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</si>
  <si>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</si>
  <si>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</si>
  <si>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</si>
  <si>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</si>
  <si>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</si>
  <si>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</si>
  <si>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</si>
  <si>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</si>
  <si>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</si>
  <si>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</si>
  <si>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</si>
  <si>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</si>
  <si>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</si>
  <si>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</si>
  <si>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</si>
  <si>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</si>
  <si>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</si>
  <si>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</si>
  <si>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</si>
  <si>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</si>
  <si>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</si>
  <si>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</si>
  <si>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</si>
  <si>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</si>
  <si>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</si>
  <si>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</si>
  <si>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</si>
  <si>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</si>
  <si>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</si>
  <si>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</si>
  <si>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</si>
  <si>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</si>
  <si>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</si>
  <si>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</si>
  <si>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</si>
  <si>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</si>
  <si>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</si>
  <si>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</si>
  <si>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</si>
  <si>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</si>
  <si>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</si>
  <si>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</si>
  <si>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</si>
  <si>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</si>
  <si>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</si>
  <si>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</si>
  <si>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08/19</t>
  </si>
  <si>
    <t>08/39</t>
  </si>
  <si>
    <t>07/99</t>
  </si>
  <si>
    <t>07/10</t>
  </si>
  <si>
    <t>$10,575.21 2nd reimbursement for tuition and transporation received in June 2019, after State Aid worksheet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</si>
</sst>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1" fillId="0" borderId="0" xfId="0"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N658" sqref="N65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1174</v>
      </c>
      <c r="B2" s="21">
        <v>279</v>
      </c>
      <c r="C2" s="21">
        <v>279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3863482.79+800-991714.11</f>
        <v>2872568.68</v>
      </c>
      <c r="G9" s="18">
        <f>466468.34+300</f>
        <v>466768.34</v>
      </c>
      <c r="H9" s="18">
        <f>138896.22+1059.22+101593.55</f>
        <v>241548.99</v>
      </c>
      <c r="I9" s="18">
        <v>9007.83</v>
      </c>
      <c r="J9" s="67">
        <f>SUM(I439)</f>
        <v>815958.19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371944.87</v>
      </c>
      <c r="G12" s="18"/>
      <c r="H12" s="18">
        <f>52542.14</f>
        <v>52542.14</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1839081.12</v>
      </c>
      <c r="G13" s="18">
        <v>59559.16</v>
      </c>
      <c r="H13" s="18">
        <f>484957.62+18889.57+2340+100</f>
        <v>506287.19</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36912.47</v>
      </c>
      <c r="G14" s="18">
        <v>3459.21</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f>3497.01+18850</f>
        <v>22347.010000000002</v>
      </c>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5120507.1399999997</v>
      </c>
      <c r="G19" s="41">
        <f>SUM(G9:G18)</f>
        <v>529786.71</v>
      </c>
      <c r="H19" s="41">
        <f>SUM(H9:H18)</f>
        <v>822725.33000000007</v>
      </c>
      <c r="I19" s="41">
        <f>SUM(I9:I18)</f>
        <v>9007.83</v>
      </c>
      <c r="J19" s="41">
        <f>SUM(J9:J18)</f>
        <v>815958.19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f>368237.24+52542.14+3707.63</f>
        <v>424487.01</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50856.88</v>
      </c>
      <c r="G23" s="18"/>
      <c r="H23" s="4">
        <f>2479.36</f>
        <v>2479.36</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1023608.01</v>
      </c>
      <c r="G24" s="18"/>
      <c r="H24" s="18">
        <f>43942.86+136.86+1396.9+13608.86</f>
        <v>59085.48</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286023.96999999997</v>
      </c>
      <c r="G28" s="18">
        <v>12176</v>
      </c>
      <c r="H28" s="18">
        <f>21253.03+5045.03+1603.85</f>
        <v>27901.909999999996</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1402.3</v>
      </c>
      <c r="G30" s="18">
        <v>27703.88</v>
      </c>
      <c r="H30" s="18">
        <f>48807</f>
        <v>48807</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1361891.16</v>
      </c>
      <c r="G32" s="41">
        <f>SUM(G22:G31)</f>
        <v>39879.880000000005</v>
      </c>
      <c r="H32" s="41">
        <f>SUM(H22:H31)</f>
        <v>562760.76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f>18850</f>
        <v>18850</v>
      </c>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v>489906.83</v>
      </c>
      <c r="H37" s="18">
        <f>13695.08</f>
        <v>13695.08</v>
      </c>
      <c r="I37" s="18">
        <v>9007.83</v>
      </c>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f>139388.65</f>
        <v>139388.65</v>
      </c>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4"/>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855797</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f>86480.84</f>
        <v>86480.84</v>
      </c>
      <c r="I48" s="18"/>
      <c r="J48" s="13">
        <f>SUM(I459)</f>
        <v>815958.19</v>
      </c>
      <c r="K48" s="24" t="s">
        <v>288</v>
      </c>
      <c r="L48" s="24" t="s">
        <v>288</v>
      </c>
      <c r="M48" s="8"/>
      <c r="N48" s="266"/>
    </row>
    <row r="49" spans="1:14" s="3" customFormat="1" ht="12.2" customHeight="1" x14ac:dyDescent="0.15">
      <c r="A49" s="1" t="s">
        <v>859</v>
      </c>
      <c r="B49" s="2" t="s">
        <v>289</v>
      </c>
      <c r="C49" s="6">
        <v>34</v>
      </c>
      <c r="D49" s="2"/>
      <c r="E49" s="6">
        <v>753</v>
      </c>
      <c r="F49" s="18">
        <v>191140.25</v>
      </c>
      <c r="G49" s="18"/>
      <c r="H49" s="18">
        <f>1350+200</f>
        <v>1550</v>
      </c>
      <c r="I49" s="18"/>
      <c r="J49" s="13">
        <f>I454</f>
        <v>0</v>
      </c>
      <c r="K49" s="24"/>
      <c r="L49" s="24"/>
      <c r="M49" s="8"/>
      <c r="N49" s="266"/>
    </row>
    <row r="50" spans="1:14" s="3" customFormat="1" ht="12.2" customHeight="1" thickBot="1" x14ac:dyDescent="0.2">
      <c r="A50" s="29" t="s">
        <v>840</v>
      </c>
      <c r="B50" s="2" t="s">
        <v>289</v>
      </c>
      <c r="C50" s="71">
        <v>35</v>
      </c>
      <c r="D50" s="2" t="s">
        <v>653</v>
      </c>
      <c r="E50" s="6">
        <v>770</v>
      </c>
      <c r="F50" s="18">
        <v>2611678.73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3758615.98</v>
      </c>
      <c r="G51" s="41">
        <f>SUM(G35:G50)</f>
        <v>489906.83</v>
      </c>
      <c r="H51" s="41">
        <f>SUM(H35:H50)</f>
        <v>259964.56999999998</v>
      </c>
      <c r="I51" s="41">
        <f>SUM(I35:I50)</f>
        <v>9007.83</v>
      </c>
      <c r="J51" s="41">
        <f>SUM(J35:J50)</f>
        <v>815958.19</v>
      </c>
      <c r="K51" s="45" t="s">
        <v>288</v>
      </c>
      <c r="L51" s="45" t="s">
        <v>288</v>
      </c>
      <c r="N51" s="264"/>
    </row>
    <row r="52" spans="1:14" s="3" customFormat="1" ht="12.2" customHeight="1" thickTop="1" x14ac:dyDescent="0.15">
      <c r="A52" s="38" t="s">
        <v>455</v>
      </c>
      <c r="B52" s="39" t="s">
        <v>289</v>
      </c>
      <c r="C52" s="6">
        <v>37</v>
      </c>
      <c r="D52" s="39" t="s">
        <v>653</v>
      </c>
      <c r="E52" s="39"/>
      <c r="F52" s="41">
        <f>F51+F32</f>
        <v>5120507.1399999997</v>
      </c>
      <c r="G52" s="41">
        <f>G51+G32</f>
        <v>529786.71</v>
      </c>
      <c r="H52" s="41">
        <f>H51+H32</f>
        <v>822725.33</v>
      </c>
      <c r="I52" s="41">
        <f>I51+I32</f>
        <v>9007.83</v>
      </c>
      <c r="J52" s="41">
        <f>J51+J32</f>
        <v>815958.19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30396719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30396719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91446.45</v>
      </c>
      <c r="G63" s="24" t="s">
        <v>288</v>
      </c>
      <c r="H63" s="18">
        <f>149793.45+23481.34</f>
        <v>173274.79</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f>5984+6644.02</f>
        <v>12628.02</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v>207145</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v>93636.5</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8065453.9100000001</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3879808.65</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55901.79</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12092610.799999999</v>
      </c>
      <c r="G79" s="45" t="s">
        <v>288</v>
      </c>
      <c r="H79" s="41">
        <f>SUM(H63:H78)</f>
        <v>486684.31</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83520.210000000006</v>
      </c>
      <c r="G96" s="18"/>
      <c r="H96" s="18"/>
      <c r="I96" s="18"/>
      <c r="J96" s="18">
        <v>17271.099999999999</v>
      </c>
      <c r="K96" s="24" t="s">
        <v>288</v>
      </c>
      <c r="L96" s="24" t="s">
        <v>288</v>
      </c>
      <c r="M96" s="8"/>
      <c r="N96" s="266"/>
    </row>
    <row r="97" spans="1:14" s="3" customFormat="1" ht="12.2" customHeight="1" x14ac:dyDescent="0.15">
      <c r="A97" s="1" t="s">
        <v>503</v>
      </c>
      <c r="B97" s="2" t="s">
        <v>315</v>
      </c>
      <c r="C97" s="6">
        <v>12</v>
      </c>
      <c r="D97" s="2" t="s">
        <v>430</v>
      </c>
      <c r="E97" s="6">
        <v>1600</v>
      </c>
      <c r="F97" s="24" t="s">
        <v>288</v>
      </c>
      <c r="G97" s="18">
        <f>272895.79+34156.24+419620.11+22899.9+2829.28</f>
        <v>752401.32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1651.13</v>
      </c>
      <c r="G98" s="24" t="s">
        <v>288</v>
      </c>
      <c r="H98" s="18">
        <f>23260.42+558.25+8915.75+330+8914.52+3139.45+485+1300+3580+2285</f>
        <v>52768.39</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4"/>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74830.12</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97758.36+6372</f>
        <v>104130.36</v>
      </c>
      <c r="I102" s="18">
        <v>13820</v>
      </c>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v>10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108345.39</v>
      </c>
      <c r="G105" s="18"/>
      <c r="H105" s="18">
        <v>72176.05</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19869.78</v>
      </c>
      <c r="G109" s="18"/>
      <c r="H109" s="18">
        <v>375</v>
      </c>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224399.59+58910.4</f>
        <v>283309.99</v>
      </c>
      <c r="G110" s="18">
        <v>21825</v>
      </c>
      <c r="H110" s="18">
        <v>268.61</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571526.62</v>
      </c>
      <c r="G111" s="41">
        <f>SUM(G96:G110)</f>
        <v>774226.32</v>
      </c>
      <c r="H111" s="41">
        <f>SUM(H96:H110)</f>
        <v>229728.40999999997</v>
      </c>
      <c r="I111" s="41">
        <f>SUM(I96:I110)</f>
        <v>13820</v>
      </c>
      <c r="J111" s="41">
        <f>SUM(J96:J110)</f>
        <v>17271.099999999999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43060856.419999994</v>
      </c>
      <c r="G112" s="41">
        <f>G60+G111</f>
        <v>774226.32</v>
      </c>
      <c r="H112" s="41">
        <f>H60+H79+H94+H111</f>
        <v>716412.72</v>
      </c>
      <c r="I112" s="41">
        <f>I60+I111</f>
        <v>13820</v>
      </c>
      <c r="J112" s="41">
        <f>J60+J111</f>
        <v>17271.099999999999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10904235.57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3835156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21657.040000000001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14761048.609999999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1442430.21</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193789.31</v>
      </c>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712355.61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234858.86</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6327.9</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14321.13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335554.71</v>
      </c>
      <c r="G135" s="18"/>
      <c r="H135" s="18"/>
      <c r="I135" s="18">
        <v>436000</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2925316.5999999996</v>
      </c>
      <c r="G136" s="41">
        <f>SUM(G123:G135)</f>
        <v>14321.13</v>
      </c>
      <c r="H136" s="41">
        <f>SUM(H123:H135)</f>
        <v>0</v>
      </c>
      <c r="I136" s="41">
        <f>SUM(I123:I135)</f>
        <v>436000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17686365.210000001</v>
      </c>
      <c r="G140" s="41">
        <f>G121+SUM(G136:G137)</f>
        <v>14321.13</v>
      </c>
      <c r="H140" s="41">
        <f>H121+SUM(H136:H139)</f>
        <v>0</v>
      </c>
      <c r="I140" s="41">
        <f>I121+I136</f>
        <v>436000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763487.91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166466.84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279149.26</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187362.38</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734351.42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793309.43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439334.59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439334.59</v>
      </c>
      <c r="G162" s="41">
        <f>SUM(G150:G161)</f>
        <v>734351.42</v>
      </c>
      <c r="H162" s="41">
        <f>SUM(H150:H161)</f>
        <v>2189775.8200000003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439334.59</v>
      </c>
      <c r="G169" s="41">
        <f>G147+G162+SUM(G163:G168)</f>
        <v>734351.42</v>
      </c>
      <c r="H169" s="41">
        <f>H147+H162+SUM(H163:H168)</f>
        <v>2189775.8200000003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v>162818.85</v>
      </c>
      <c r="J179" s="18">
        <v>100000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v>1208.3399999999999</v>
      </c>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1208.3399999999999</v>
      </c>
      <c r="G183" s="41">
        <f>SUM(G179:G182)</f>
        <v>0</v>
      </c>
      <c r="H183" s="41">
        <f>SUM(H179:H182)</f>
        <v>0</v>
      </c>
      <c r="I183" s="41">
        <f>SUM(I179:I182)</f>
        <v>162818.85</v>
      </c>
      <c r="J183" s="41">
        <f>SUM(J179:J182)</f>
        <v>100000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1208.3399999999999</v>
      </c>
      <c r="G192" s="41">
        <f>G183+SUM(G188:G191)</f>
        <v>0</v>
      </c>
      <c r="H192" s="41">
        <f>+H183+SUM(H188:H191)</f>
        <v>0</v>
      </c>
      <c r="I192" s="41">
        <f>I177+I183+SUM(I188:I191)</f>
        <v>162818.85</v>
      </c>
      <c r="J192" s="41">
        <f>J183</f>
        <v>100000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61187764.560000002</v>
      </c>
      <c r="G193" s="47">
        <f>G112+G140+G169+G192</f>
        <v>1522898.87</v>
      </c>
      <c r="H193" s="47">
        <f>H112+H140+H169+H192</f>
        <v>2906188.54</v>
      </c>
      <c r="I193" s="47">
        <f>I112+I140+I169+I192</f>
        <v>612638.85</v>
      </c>
      <c r="J193" s="47">
        <f>J112+J140+J192</f>
        <v>117271.1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5296157.67</v>
      </c>
      <c r="G197" s="18">
        <v>2561071.77</v>
      </c>
      <c r="H197" s="18">
        <v>14603.24</v>
      </c>
      <c r="I197" s="18">
        <v>215706.57</v>
      </c>
      <c r="J197" s="18">
        <v>22876.84</v>
      </c>
      <c r="K197" s="18">
        <v>13038.69</v>
      </c>
      <c r="L197" s="19">
        <f>SUM(F197:K197)</f>
        <v>8123454.7800000003</v>
      </c>
      <c r="M197" s="8"/>
      <c r="N197" s="266"/>
    </row>
    <row r="198" spans="1:14" s="3" customFormat="1" ht="12.2" customHeight="1" x14ac:dyDescent="0.15">
      <c r="A198" s="1" t="s">
        <v>439</v>
      </c>
      <c r="B198" s="2" t="s">
        <v>341</v>
      </c>
      <c r="C198" s="2" t="s">
        <v>291</v>
      </c>
      <c r="D198" s="2" t="s">
        <v>431</v>
      </c>
      <c r="E198" s="6">
        <v>1200</v>
      </c>
      <c r="F198" s="18">
        <f>2717118.44+124271.22</f>
        <v>2841389.66</v>
      </c>
      <c r="G198" s="18">
        <f>1166458.18+54729.3</f>
        <v>1221187.48</v>
      </c>
      <c r="H198" s="18">
        <f>432958.67+571.51</f>
        <v>433530.18</v>
      </c>
      <c r="I198" s="18">
        <f>21105.11+961.29</f>
        <v>22066.400000000001</v>
      </c>
      <c r="J198" s="18">
        <f>155.12+158.03</f>
        <v>313.14999999999998</v>
      </c>
      <c r="K198" s="18"/>
      <c r="L198" s="19">
        <f>SUM(F198:K198)</f>
        <v>4518486.870000001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7333.19+15447.3</f>
        <v>22780.489999999998</v>
      </c>
      <c r="G200" s="18">
        <f>1532.74+3098.99</f>
        <v>4631.7299999999996</v>
      </c>
      <c r="H200" s="18">
        <v>684</v>
      </c>
      <c r="I200" s="18">
        <v>53.82</v>
      </c>
      <c r="J200" s="18"/>
      <c r="K200" s="18"/>
      <c r="L200" s="19">
        <f>SUM(F200:K200)</f>
        <v>28150.039999999997</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25800.06+264303.5+207849.2+257400.26+631498.36+64026.02+260766.06</f>
        <v>1711643.46</v>
      </c>
      <c r="G202" s="18">
        <f>15689.82+139935.79+117918.89+111233.01+280366.75+15559.26+142426.85</f>
        <v>823130.37</v>
      </c>
      <c r="H202" s="18">
        <f>11244.79+900+11350+731.92</f>
        <v>24226.71</v>
      </c>
      <c r="I202" s="18">
        <f>1993.75+1779.95+1520.03</f>
        <v>5293.73</v>
      </c>
      <c r="J202" s="18"/>
      <c r="K202" s="18"/>
      <c r="L202" s="19">
        <f t="shared" ref="L202:L208" si="0">SUM(F202:K202)</f>
        <v>2564294.27</v>
      </c>
      <c r="M202" s="8"/>
      <c r="N202" s="266"/>
    </row>
    <row r="203" spans="1:14" s="3" customFormat="1" ht="12.2" customHeight="1" x14ac:dyDescent="0.15">
      <c r="A203" s="1" t="s">
        <v>443</v>
      </c>
      <c r="B203" s="2" t="s">
        <v>341</v>
      </c>
      <c r="C203" s="2" t="s">
        <v>295</v>
      </c>
      <c r="D203" s="2" t="s">
        <v>431</v>
      </c>
      <c r="E203" s="6">
        <v>2200</v>
      </c>
      <c r="F203" s="18">
        <f>6500+14450+14641.1+212722.37</f>
        <v>248313.47</v>
      </c>
      <c r="G203" s="18">
        <f>1634.13+3516.79+39381.39+75811</f>
        <v>120343.31</v>
      </c>
      <c r="H203" s="18">
        <f>47115.91+138.75+6275.03</f>
        <v>53529.69</v>
      </c>
      <c r="I203" s="18">
        <f>580.65+25025.64+2850.81+13</f>
        <v>28470.100000000002</v>
      </c>
      <c r="J203" s="18">
        <v>1869.93</v>
      </c>
      <c r="K203" s="18">
        <v>300</v>
      </c>
      <c r="L203" s="19">
        <f t="shared" si="0"/>
        <v>452826.5</v>
      </c>
      <c r="M203" s="8"/>
      <c r="N203" s="266"/>
    </row>
    <row r="204" spans="1:14" s="3" customFormat="1" ht="12.2" customHeight="1" x14ac:dyDescent="0.15">
      <c r="A204" s="1" t="s">
        <v>444</v>
      </c>
      <c r="B204" s="2" t="s">
        <v>341</v>
      </c>
      <c r="C204" s="2" t="s">
        <v>296</v>
      </c>
      <c r="D204" s="2" t="s">
        <v>431</v>
      </c>
      <c r="E204" s="6">
        <v>2300</v>
      </c>
      <c r="F204" s="18">
        <f>7889.83+185+2035+3330+234741.51</f>
        <v>248181.34</v>
      </c>
      <c r="G204" s="18">
        <f>29883.13+629.8+14.46+159.1+260.39+109802.87+7847.7+216.22</f>
        <v>148813.67000000001</v>
      </c>
      <c r="H204" s="18">
        <f>9282.73+8084.5+41993.33+724201+5404.22</f>
        <v>788965.78</v>
      </c>
      <c r="I204" s="18">
        <f>4978.6+117.2</f>
        <v>5095.8</v>
      </c>
      <c r="J204" s="18"/>
      <c r="K204" s="18">
        <f>6288.32+5039.92+439.56</f>
        <v>11767.8</v>
      </c>
      <c r="L204" s="19">
        <f t="shared" si="0"/>
        <v>1202824.3900000001</v>
      </c>
      <c r="M204" s="8"/>
      <c r="N204" s="266"/>
    </row>
    <row r="205" spans="1:14" s="3" customFormat="1" ht="12.2" customHeight="1" x14ac:dyDescent="0.15">
      <c r="A205" s="1" t="s">
        <v>445</v>
      </c>
      <c r="B205" s="2" t="s">
        <v>341</v>
      </c>
      <c r="C205" s="2" t="s">
        <v>297</v>
      </c>
      <c r="D205" s="2" t="s">
        <v>431</v>
      </c>
      <c r="E205" s="6">
        <v>2400</v>
      </c>
      <c r="F205" s="18">
        <v>725437.69</v>
      </c>
      <c r="G205" s="18">
        <v>272844.40000000002</v>
      </c>
      <c r="H205" s="18">
        <f>28459.39+8538.37</f>
        <v>36997.760000000002</v>
      </c>
      <c r="I205" s="18">
        <v>3436.77</v>
      </c>
      <c r="J205" s="18"/>
      <c r="K205" s="18">
        <v>1846.72</v>
      </c>
      <c r="L205" s="19">
        <f t="shared" si="0"/>
        <v>1040563.34</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v>720</v>
      </c>
      <c r="L206" s="19">
        <f t="shared" si="0"/>
        <v>720</v>
      </c>
      <c r="M206" s="8"/>
      <c r="N206" s="266"/>
    </row>
    <row r="207" spans="1:14" s="3" customFormat="1" ht="12.2" customHeight="1" x14ac:dyDescent="0.15">
      <c r="A207" s="1" t="s">
        <v>447</v>
      </c>
      <c r="B207" s="2" t="s">
        <v>341</v>
      </c>
      <c r="C207" s="2" t="s">
        <v>299</v>
      </c>
      <c r="D207" s="2" t="s">
        <v>431</v>
      </c>
      <c r="E207" s="6">
        <v>2600</v>
      </c>
      <c r="F207" s="18">
        <v>582833.46</v>
      </c>
      <c r="G207" s="18">
        <v>284352.2</v>
      </c>
      <c r="H207" s="18">
        <f>306788.55+26490.72</f>
        <v>333279.27</v>
      </c>
      <c r="I207" s="18">
        <v>346532.36</v>
      </c>
      <c r="J207" s="18">
        <v>74756.490000000005</v>
      </c>
      <c r="K207" s="18">
        <v>7111.22</v>
      </c>
      <c r="L207" s="19">
        <f t="shared" si="0"/>
        <v>1628865</v>
      </c>
      <c r="M207" s="8"/>
      <c r="N207" s="266"/>
    </row>
    <row r="208" spans="1:14" s="3" customFormat="1" ht="12.2" customHeight="1" x14ac:dyDescent="0.15">
      <c r="A208" s="1" t="s">
        <v>448</v>
      </c>
      <c r="B208" s="2" t="s">
        <v>341</v>
      </c>
      <c r="C208" s="2" t="s">
        <v>300</v>
      </c>
      <c r="D208" s="2" t="s">
        <v>431</v>
      </c>
      <c r="E208" s="6">
        <v>2700</v>
      </c>
      <c r="F208" s="18"/>
      <c r="G208" s="18"/>
      <c r="H208" s="18">
        <f>334611.57+386739.8+14120.27</f>
        <v>735471.64</v>
      </c>
      <c r="I208" s="18"/>
      <c r="J208" s="18"/>
      <c r="K208" s="18"/>
      <c r="L208" s="19">
        <f t="shared" si="0"/>
        <v>735471.64</v>
      </c>
      <c r="M208" s="8"/>
      <c r="N208" s="266"/>
    </row>
    <row r="209" spans="1:14" s="3" customFormat="1" ht="12.2" customHeight="1" x14ac:dyDescent="0.15">
      <c r="A209" s="1" t="s">
        <v>449</v>
      </c>
      <c r="B209" s="2" t="s">
        <v>341</v>
      </c>
      <c r="C209" s="2" t="s">
        <v>343</v>
      </c>
      <c r="D209" s="2" t="s">
        <v>431</v>
      </c>
      <c r="E209" s="6">
        <v>2800</v>
      </c>
      <c r="F209" s="18">
        <v>7500</v>
      </c>
      <c r="G209" s="18">
        <v>1798.4</v>
      </c>
      <c r="H209" s="18">
        <f>1920.48+5851.4+5241.11</f>
        <v>13012.989999999998</v>
      </c>
      <c r="I209" s="18">
        <v>78182.44</v>
      </c>
      <c r="J209" s="18">
        <v>277802.46999999997</v>
      </c>
      <c r="K209" s="18"/>
      <c r="L209" s="19">
        <f>SUM(F209:K209)</f>
        <v>378296.3</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11684237.240000002</v>
      </c>
      <c r="G211" s="41">
        <f t="shared" si="1"/>
        <v>5438173.3300000001</v>
      </c>
      <c r="H211" s="41">
        <f t="shared" si="1"/>
        <v>2434301.2600000002</v>
      </c>
      <c r="I211" s="41">
        <f t="shared" si="1"/>
        <v>704837.99</v>
      </c>
      <c r="J211" s="41">
        <f t="shared" si="1"/>
        <v>377618.88</v>
      </c>
      <c r="K211" s="41">
        <f t="shared" si="1"/>
        <v>34784.43</v>
      </c>
      <c r="L211" s="41">
        <f t="shared" si="1"/>
        <v>20673953.130000003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2811933.3</v>
      </c>
      <c r="G215" s="18">
        <v>1310467.48</v>
      </c>
      <c r="H215" s="18">
        <v>4270.3999999999996</v>
      </c>
      <c r="I215" s="18">
        <v>73340.45</v>
      </c>
      <c r="J215" s="18">
        <v>7074.44</v>
      </c>
      <c r="K215" s="18"/>
      <c r="L215" s="19">
        <f>SUM(F215:K215)</f>
        <v>4207086.07</v>
      </c>
      <c r="M215" s="8"/>
      <c r="N215" s="266"/>
    </row>
    <row r="216" spans="1:14" s="3" customFormat="1" ht="12.2" customHeight="1" x14ac:dyDescent="0.15">
      <c r="A216" s="1" t="s">
        <v>439</v>
      </c>
      <c r="B216" s="2" t="s">
        <v>346</v>
      </c>
      <c r="C216" s="2" t="s">
        <v>291</v>
      </c>
      <c r="D216" s="2" t="s">
        <v>431</v>
      </c>
      <c r="E216" s="6">
        <v>1200</v>
      </c>
      <c r="F216" s="18">
        <f>1078973.37+43000.1</f>
        <v>1121973.4700000002</v>
      </c>
      <c r="G216" s="18">
        <f>502759.08+31025.45</f>
        <v>533784.53</v>
      </c>
      <c r="H216" s="18">
        <v>562355.11</v>
      </c>
      <c r="I216" s="18">
        <v>9953.69</v>
      </c>
      <c r="J216" s="18">
        <v>2036.36</v>
      </c>
      <c r="K216" s="18">
        <f>1170+2816</f>
        <v>3986</v>
      </c>
      <c r="L216" s="19">
        <f>SUM(F216:K216)</f>
        <v>2234089.16</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f>43468.37+46646.91+5900</f>
        <v>96015.28</v>
      </c>
      <c r="G218" s="18">
        <f>9771.78+9068.02+1178.15</f>
        <v>20017.950000000004</v>
      </c>
      <c r="H218" s="18">
        <v>8055</v>
      </c>
      <c r="I218" s="18">
        <f>2885.33+8444.4</f>
        <v>11329.73</v>
      </c>
      <c r="J218" s="18"/>
      <c r="K218" s="18"/>
      <c r="L218" s="19">
        <f>SUM(F218:K218)</f>
        <v>135417.96000000002</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17200.04+213801.62+48593.12+159200.08+61599.98+16575.9+45999.98</f>
        <v>562970.72</v>
      </c>
      <c r="G220" s="18">
        <f>10459.65+99637.2+39009.91+75763.48+35461.37+1301.71+11833.21</f>
        <v>273466.52999999997</v>
      </c>
      <c r="H220" s="18">
        <f>6078.26+1900+5054+33800+160</f>
        <v>46992.26</v>
      </c>
      <c r="I220" s="18">
        <f>402.01+1916.74+2224.31+1274.44+87.17</f>
        <v>5904.67</v>
      </c>
      <c r="J220" s="18"/>
      <c r="K220" s="18">
        <f>150+105</f>
        <v>255</v>
      </c>
      <c r="L220" s="19">
        <f t="shared" ref="L220:L226" si="2">SUM(F220:K220)</f>
        <v>889589.18</v>
      </c>
      <c r="M220" s="8"/>
      <c r="N220" s="266"/>
    </row>
    <row r="221" spans="1:14" s="3" customFormat="1" ht="12.2" customHeight="1" x14ac:dyDescent="0.15">
      <c r="A221" s="1" t="s">
        <v>443</v>
      </c>
      <c r="B221" s="2" t="s">
        <v>346</v>
      </c>
      <c r="C221" s="2" t="s">
        <v>295</v>
      </c>
      <c r="D221" s="2" t="s">
        <v>431</v>
      </c>
      <c r="E221" s="6">
        <v>2200</v>
      </c>
      <c r="F221" s="18">
        <f>2500+3452.5+11365.2+96500</f>
        <v>113817.7</v>
      </c>
      <c r="G221" s="18">
        <f>629.21+1166.24+22095.44+32518.17</f>
        <v>56409.06</v>
      </c>
      <c r="H221" s="18">
        <f>35086.37+75+573.6+566.11</f>
        <v>36301.08</v>
      </c>
      <c r="I221" s="18">
        <f>60.65+27286.5+6502.18</f>
        <v>33849.33</v>
      </c>
      <c r="J221" s="18">
        <v>10849.76</v>
      </c>
      <c r="K221" s="18">
        <f>1574+188</f>
        <v>1762</v>
      </c>
      <c r="L221" s="19">
        <f t="shared" si="2"/>
        <v>252988.93000000005</v>
      </c>
      <c r="M221" s="8"/>
      <c r="N221" s="266"/>
    </row>
    <row r="222" spans="1:14" s="3" customFormat="1" ht="12.2" customHeight="1" x14ac:dyDescent="0.15">
      <c r="A222" s="1" t="s">
        <v>444</v>
      </c>
      <c r="B222" s="2" t="s">
        <v>346</v>
      </c>
      <c r="C222" s="2" t="s">
        <v>296</v>
      </c>
      <c r="D222" s="2" t="s">
        <v>431</v>
      </c>
      <c r="E222" s="6">
        <v>2300</v>
      </c>
      <c r="F222" s="18">
        <f>4174.75+100+1100+1800+104761.74</f>
        <v>111936.49</v>
      </c>
      <c r="G222" s="18">
        <f>13542.03+348.48+7.82+86.01+140.73+47011.76+4242</f>
        <v>65378.83</v>
      </c>
      <c r="H222" s="18">
        <f>5017.69+4370+22368.02+391460+406.84</f>
        <v>423622.55000000005</v>
      </c>
      <c r="I222" s="18">
        <v>2691.17</v>
      </c>
      <c r="J222" s="18"/>
      <c r="K222" s="18">
        <f>4641.74+2724.25+237.6</f>
        <v>7603.59</v>
      </c>
      <c r="L222" s="19">
        <f t="shared" si="2"/>
        <v>611232.63000000012</v>
      </c>
      <c r="M222" s="8"/>
      <c r="N222" s="266"/>
    </row>
    <row r="223" spans="1:14" s="3" customFormat="1" ht="12.2" customHeight="1" x14ac:dyDescent="0.15">
      <c r="A223" s="1" t="s">
        <v>445</v>
      </c>
      <c r="B223" s="2" t="s">
        <v>346</v>
      </c>
      <c r="C223" s="2" t="s">
        <v>297</v>
      </c>
      <c r="D223" s="2" t="s">
        <v>431</v>
      </c>
      <c r="E223" s="6">
        <v>2400</v>
      </c>
      <c r="F223" s="18">
        <v>320633.27</v>
      </c>
      <c r="G223" s="18">
        <v>141594.89000000001</v>
      </c>
      <c r="H223" s="18">
        <f>22897.13+468.51</f>
        <v>23365.64</v>
      </c>
      <c r="I223" s="18"/>
      <c r="J223" s="18"/>
      <c r="K223" s="18">
        <v>2164.81</v>
      </c>
      <c r="L223" s="19">
        <f t="shared" si="2"/>
        <v>487758.61000000004</v>
      </c>
      <c r="M223" s="8"/>
      <c r="N223" s="266"/>
    </row>
    <row r="224" spans="1:14" s="3" customFormat="1" ht="12.2" customHeight="1" x14ac:dyDescent="0.15">
      <c r="A224" s="1" t="s">
        <v>446</v>
      </c>
      <c r="B224" s="2" t="s">
        <v>346</v>
      </c>
      <c r="C224" s="2" t="s">
        <v>298</v>
      </c>
      <c r="D224" s="2" t="s">
        <v>431</v>
      </c>
      <c r="E224" s="6">
        <v>2500</v>
      </c>
      <c r="F224" s="18"/>
      <c r="G224" s="18"/>
      <c r="H224" s="18">
        <v>4615.3500000000004</v>
      </c>
      <c r="I224" s="18"/>
      <c r="J224" s="18"/>
      <c r="K224" s="18"/>
      <c r="L224" s="19">
        <f t="shared" si="2"/>
        <v>4615.3500000000004</v>
      </c>
      <c r="M224" s="8"/>
      <c r="N224" s="266"/>
    </row>
    <row r="225" spans="1:14" s="3" customFormat="1" ht="12.2" customHeight="1" x14ac:dyDescent="0.15">
      <c r="A225" s="1" t="s">
        <v>447</v>
      </c>
      <c r="B225" s="2" t="s">
        <v>346</v>
      </c>
      <c r="C225" s="2" t="s">
        <v>299</v>
      </c>
      <c r="D225" s="2" t="s">
        <v>431</v>
      </c>
      <c r="E225" s="6">
        <v>2600</v>
      </c>
      <c r="F225" s="18">
        <f>333128.38+858.68</f>
        <v>333987.06</v>
      </c>
      <c r="G225" s="18">
        <f>146887.65+195.81</f>
        <v>147083.46</v>
      </c>
      <c r="H225" s="18">
        <f>131656.88+370</f>
        <v>132026.88</v>
      </c>
      <c r="I225" s="18">
        <v>210629.02</v>
      </c>
      <c r="J225" s="18">
        <v>23097.439999999999</v>
      </c>
      <c r="K225" s="18">
        <v>6370.78</v>
      </c>
      <c r="L225" s="19">
        <f t="shared" si="2"/>
        <v>853194.64</v>
      </c>
      <c r="M225" s="8"/>
      <c r="N225" s="266"/>
    </row>
    <row r="226" spans="1:14" s="3" customFormat="1" ht="12.2" customHeight="1" x14ac:dyDescent="0.15">
      <c r="A226" s="1" t="s">
        <v>448</v>
      </c>
      <c r="B226" s="2" t="s">
        <v>346</v>
      </c>
      <c r="C226" s="2" t="s">
        <v>300</v>
      </c>
      <c r="D226" s="2" t="s">
        <v>431</v>
      </c>
      <c r="E226" s="6">
        <v>2700</v>
      </c>
      <c r="F226" s="18">
        <v>2570.8200000000002</v>
      </c>
      <c r="G226" s="18">
        <v>363.25</v>
      </c>
      <c r="H226" s="18">
        <f>174216.77+247629.19+21078+3669.26</f>
        <v>446593.22</v>
      </c>
      <c r="I226" s="18"/>
      <c r="J226" s="18"/>
      <c r="K226" s="18"/>
      <c r="L226" s="19">
        <f t="shared" si="2"/>
        <v>449527.29</v>
      </c>
      <c r="M226" s="8"/>
      <c r="N226" s="266"/>
    </row>
    <row r="227" spans="1:14" s="3" customFormat="1" ht="12.2" customHeight="1" x14ac:dyDescent="0.15">
      <c r="A227" s="1" t="s">
        <v>449</v>
      </c>
      <c r="B227" s="2" t="s">
        <v>346</v>
      </c>
      <c r="C227" s="2" t="s">
        <v>343</v>
      </c>
      <c r="D227" s="2" t="s">
        <v>431</v>
      </c>
      <c r="E227" s="6">
        <v>2800</v>
      </c>
      <c r="F227" s="18">
        <v>1875</v>
      </c>
      <c r="G227" s="18">
        <v>442.1</v>
      </c>
      <c r="H227" s="18">
        <f>1038.1+3162.95+2784.68</f>
        <v>6985.73</v>
      </c>
      <c r="I227" s="18">
        <v>37953.440000000002</v>
      </c>
      <c r="J227" s="18">
        <v>101380.07</v>
      </c>
      <c r="K227" s="18"/>
      <c r="L227" s="19">
        <f>SUM(F227:K227)</f>
        <v>148636.34000000003</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5477713.1100000003</v>
      </c>
      <c r="G229" s="41">
        <f>SUM(G215:G228)</f>
        <v>2549008.08</v>
      </c>
      <c r="H229" s="41">
        <f>SUM(H215:H228)</f>
        <v>1695183.22</v>
      </c>
      <c r="I229" s="41">
        <f>SUM(I215:I228)</f>
        <v>385651.5</v>
      </c>
      <c r="J229" s="41">
        <f>SUM(J215:J228)</f>
        <v>144438.07</v>
      </c>
      <c r="K229" s="41">
        <f t="shared" si="3"/>
        <v>22142.18</v>
      </c>
      <c r="L229" s="41">
        <f t="shared" si="3"/>
        <v>10274136.159999998</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5332249.74</v>
      </c>
      <c r="G233" s="18">
        <v>2586540.15</v>
      </c>
      <c r="H233" s="18">
        <v>47580.18</v>
      </c>
      <c r="I233" s="18">
        <v>237762.74</v>
      </c>
      <c r="J233" s="18">
        <v>69287.19</v>
      </c>
      <c r="K233" s="18"/>
      <c r="L233" s="19">
        <f>SUM(F233:K233)</f>
        <v>8273420.0000000009</v>
      </c>
      <c r="M233" s="8"/>
      <c r="N233" s="266"/>
    </row>
    <row r="234" spans="1:14" s="3" customFormat="1" ht="12.2" customHeight="1" x14ac:dyDescent="0.15">
      <c r="A234" s="1" t="s">
        <v>439</v>
      </c>
      <c r="B234" s="2" t="s">
        <v>350</v>
      </c>
      <c r="C234" s="2" t="s">
        <v>291</v>
      </c>
      <c r="D234" s="2" t="s">
        <v>431</v>
      </c>
      <c r="E234" s="6">
        <v>1200</v>
      </c>
      <c r="F234" s="18">
        <v>1648091.46</v>
      </c>
      <c r="G234" s="18">
        <v>741972.93</v>
      </c>
      <c r="H234" s="18">
        <v>1653999.6</v>
      </c>
      <c r="I234" s="18">
        <v>9238.17</v>
      </c>
      <c r="J234" s="18">
        <v>2669.13</v>
      </c>
      <c r="K234" s="18"/>
      <c r="L234" s="19">
        <f>SUM(F234:K234)</f>
        <v>4055971.29</v>
      </c>
      <c r="M234" s="8"/>
      <c r="N234" s="266"/>
    </row>
    <row r="235" spans="1:14" s="3" customFormat="1" ht="12.2" customHeight="1" x14ac:dyDescent="0.15">
      <c r="A235" s="1" t="s">
        <v>440</v>
      </c>
      <c r="B235" s="2" t="s">
        <v>350</v>
      </c>
      <c r="C235" s="2" t="s">
        <v>292</v>
      </c>
      <c r="D235" s="2" t="s">
        <v>431</v>
      </c>
      <c r="E235" s="6">
        <v>1300</v>
      </c>
      <c r="F235" s="18">
        <v>895909.59</v>
      </c>
      <c r="G235" s="18">
        <v>416154.53</v>
      </c>
      <c r="H235" s="18">
        <v>11361.43</v>
      </c>
      <c r="I235" s="18">
        <v>66697.77</v>
      </c>
      <c r="J235" s="18">
        <v>25649.15</v>
      </c>
      <c r="K235" s="18">
        <v>310</v>
      </c>
      <c r="L235" s="19">
        <f>SUM(F235:K235)</f>
        <v>1416082.47</v>
      </c>
      <c r="M235" s="8"/>
      <c r="N235" s="266"/>
    </row>
    <row r="236" spans="1:14" s="3" customFormat="1" ht="12.2" customHeight="1" x14ac:dyDescent="0.15">
      <c r="A236" s="1" t="s">
        <v>441</v>
      </c>
      <c r="B236" s="2" t="s">
        <v>350</v>
      </c>
      <c r="C236" s="2" t="s">
        <v>293</v>
      </c>
      <c r="D236" s="2" t="s">
        <v>431</v>
      </c>
      <c r="E236" s="6">
        <v>1400</v>
      </c>
      <c r="F236" s="18">
        <f>62586.02+302715.55+5528.75</f>
        <v>370830.32</v>
      </c>
      <c r="G236" s="18">
        <f>13218.72+91528.06+1227.77</f>
        <v>105974.55</v>
      </c>
      <c r="H236" s="18">
        <f>1209.04+131825.3</f>
        <v>133034.34</v>
      </c>
      <c r="I236" s="18">
        <f>385+24471.49</f>
        <v>24856.49</v>
      </c>
      <c r="J236" s="18">
        <v>25119.75</v>
      </c>
      <c r="K236" s="18">
        <v>10739.78</v>
      </c>
      <c r="L236" s="19">
        <f>SUM(F236:K236)</f>
        <v>670555.23</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461404.72+131360.54+95577+48539.94+25658.35+134026.12</f>
        <v>896566.66999999993</v>
      </c>
      <c r="G238" s="18">
        <f>190052.33+77264.66+24049.64+21514.48+2014.76+51878.18</f>
        <v>366774.05</v>
      </c>
      <c r="H238" s="18">
        <f>13068.27+2955+93100.63+55712.83</f>
        <v>164836.73000000001</v>
      </c>
      <c r="I238" s="18">
        <f>787.75+1888.03+231.9+393.26</f>
        <v>3300.9399999999996</v>
      </c>
      <c r="J238" s="18">
        <f>311.98+445</f>
        <v>756.98</v>
      </c>
      <c r="K238" s="18">
        <f>479+295</f>
        <v>774</v>
      </c>
      <c r="L238" s="19">
        <f t="shared" ref="L238:L244" si="4">SUM(F238:K238)</f>
        <v>1433009.3699999999</v>
      </c>
      <c r="M238" s="8"/>
      <c r="N238" s="266"/>
    </row>
    <row r="239" spans="1:14" s="3" customFormat="1" ht="12.2" customHeight="1" x14ac:dyDescent="0.15">
      <c r="A239" s="1" t="s">
        <v>443</v>
      </c>
      <c r="B239" s="2" t="s">
        <v>350</v>
      </c>
      <c r="C239" s="2" t="s">
        <v>295</v>
      </c>
      <c r="D239" s="2" t="s">
        <v>431</v>
      </c>
      <c r="E239" s="6">
        <v>2200</v>
      </c>
      <c r="F239" s="18">
        <f>5250+34000+19624.55+142339.22</f>
        <v>201213.77000000002</v>
      </c>
      <c r="G239" s="18">
        <f>1316.95+8324+46143.9+30848.88</f>
        <v>86633.73000000001</v>
      </c>
      <c r="H239" s="18">
        <f>40508.84+161.25</f>
        <v>40670.089999999997</v>
      </c>
      <c r="I239" s="18">
        <f>130.35+53673.18</f>
        <v>53803.53</v>
      </c>
      <c r="J239" s="18">
        <v>5323.94</v>
      </c>
      <c r="K239" s="18">
        <f>2095.8+277</f>
        <v>2372.8000000000002</v>
      </c>
      <c r="L239" s="19">
        <f t="shared" si="4"/>
        <v>390017.86</v>
      </c>
      <c r="M239" s="8"/>
      <c r="N239" s="266"/>
    </row>
    <row r="240" spans="1:14" s="3" customFormat="1" ht="12.2" customHeight="1" x14ac:dyDescent="0.15">
      <c r="A240" s="1" t="s">
        <v>444</v>
      </c>
      <c r="B240" s="2" t="s">
        <v>350</v>
      </c>
      <c r="C240" s="2" t="s">
        <v>296</v>
      </c>
      <c r="D240" s="2" t="s">
        <v>431</v>
      </c>
      <c r="E240" s="6">
        <v>2300</v>
      </c>
      <c r="F240" s="18">
        <f>8975.79+215+2365+3870+136484.7</f>
        <v>151910.49000000002</v>
      </c>
      <c r="G240" s="18">
        <f>31352.57+702.15+16.81+184.91+302.55+67904.69+9120.3</f>
        <v>109583.98000000001</v>
      </c>
      <c r="H240" s="18">
        <f>10788.03+9395.5+48091.23+841639+906.8</f>
        <v>910820.56</v>
      </c>
      <c r="I240" s="18">
        <f>5785.98</f>
        <v>5785.98</v>
      </c>
      <c r="J240" s="18"/>
      <c r="K240" s="18">
        <f>7032.56+5857.14+510.84</f>
        <v>13400.54</v>
      </c>
      <c r="L240" s="19">
        <f t="shared" si="4"/>
        <v>1191501.55</v>
      </c>
      <c r="M240" s="8"/>
      <c r="N240" s="266"/>
    </row>
    <row r="241" spans="1:14" s="3" customFormat="1" ht="12.2" customHeight="1" x14ac:dyDescent="0.15">
      <c r="A241" s="1" t="s">
        <v>445</v>
      </c>
      <c r="B241" s="2" t="s">
        <v>350</v>
      </c>
      <c r="C241" s="2" t="s">
        <v>297</v>
      </c>
      <c r="D241" s="2" t="s">
        <v>431</v>
      </c>
      <c r="E241" s="6">
        <v>2400</v>
      </c>
      <c r="F241" s="18">
        <v>909251.58</v>
      </c>
      <c r="G241" s="18">
        <v>413279.51</v>
      </c>
      <c r="H241" s="18">
        <v>80292.52</v>
      </c>
      <c r="I241" s="18">
        <f>16415.42+14447.84</f>
        <v>30863.26</v>
      </c>
      <c r="J241" s="18">
        <v>22054.01</v>
      </c>
      <c r="K241" s="18">
        <v>10223.66</v>
      </c>
      <c r="L241" s="19">
        <f t="shared" si="4"/>
        <v>1465964.5399999998</v>
      </c>
      <c r="M241" s="8"/>
      <c r="N241" s="266"/>
    </row>
    <row r="242" spans="1:14" s="3" customFormat="1" ht="12.2" customHeight="1" x14ac:dyDescent="0.15">
      <c r="A242" s="1" t="s">
        <v>446</v>
      </c>
      <c r="B242" s="2" t="s">
        <v>350</v>
      </c>
      <c r="C242" s="2" t="s">
        <v>298</v>
      </c>
      <c r="D242" s="2" t="s">
        <v>431</v>
      </c>
      <c r="E242" s="6">
        <v>2500</v>
      </c>
      <c r="F242" s="18"/>
      <c r="G242" s="18"/>
      <c r="H242" s="18">
        <v>9923</v>
      </c>
      <c r="I242" s="18"/>
      <c r="J242" s="18"/>
      <c r="K242" s="18"/>
      <c r="L242" s="19">
        <f t="shared" si="4"/>
        <v>9923</v>
      </c>
      <c r="M242" s="8"/>
      <c r="N242" s="266"/>
    </row>
    <row r="243" spans="1:14" s="3" customFormat="1" ht="12.2" customHeight="1" x14ac:dyDescent="0.15">
      <c r="A243" s="1" t="s">
        <v>447</v>
      </c>
      <c r="B243" s="2" t="s">
        <v>350</v>
      </c>
      <c r="C243" s="2" t="s">
        <v>299</v>
      </c>
      <c r="D243" s="2" t="s">
        <v>431</v>
      </c>
      <c r="E243" s="6">
        <v>2600</v>
      </c>
      <c r="F243" s="18">
        <f>628838.9+152863.03+7666.28+2788.76</f>
        <v>792156.97000000009</v>
      </c>
      <c r="G243" s="18">
        <f>283024.95+93980.93+718.44+594.06</f>
        <v>378318.38</v>
      </c>
      <c r="H243" s="18">
        <f>352532.62+145099.46+95875+1993</f>
        <v>595500.07999999996</v>
      </c>
      <c r="I243" s="18">
        <f>633754.13+25013</f>
        <v>658767.13</v>
      </c>
      <c r="J243" s="18">
        <f>46969.24+65312.55</f>
        <v>112281.79000000001</v>
      </c>
      <c r="K243" s="18">
        <v>6083.01</v>
      </c>
      <c r="L243" s="19">
        <f t="shared" si="4"/>
        <v>2543107.36</v>
      </c>
      <c r="M243" s="8"/>
      <c r="N243" s="266"/>
    </row>
    <row r="244" spans="1:14" s="3" customFormat="1" ht="12.2" customHeight="1" x14ac:dyDescent="0.15">
      <c r="A244" s="1" t="s">
        <v>448</v>
      </c>
      <c r="B244" s="2" t="s">
        <v>350</v>
      </c>
      <c r="C244" s="2" t="s">
        <v>300</v>
      </c>
      <c r="D244" s="2" t="s">
        <v>431</v>
      </c>
      <c r="E244" s="6">
        <v>2700</v>
      </c>
      <c r="F244" s="18"/>
      <c r="G244" s="18"/>
      <c r="H244" s="18">
        <f>381638.06+377103.01+2213.64+127163.4+9885.65</f>
        <v>898003.76000000013</v>
      </c>
      <c r="I244" s="18"/>
      <c r="J244" s="18"/>
      <c r="K244" s="18"/>
      <c r="L244" s="19">
        <f t="shared" si="4"/>
        <v>898003.76000000013</v>
      </c>
      <c r="M244" s="8"/>
      <c r="N244" s="266"/>
    </row>
    <row r="245" spans="1:14" s="3" customFormat="1" ht="12.2" customHeight="1" x14ac:dyDescent="0.15">
      <c r="A245" s="1" t="s">
        <v>449</v>
      </c>
      <c r="B245" s="2" t="s">
        <v>350</v>
      </c>
      <c r="C245" s="2" t="s">
        <v>343</v>
      </c>
      <c r="D245" s="2" t="s">
        <v>431</v>
      </c>
      <c r="E245" s="6">
        <v>2800</v>
      </c>
      <c r="F245" s="18"/>
      <c r="G245" s="18"/>
      <c r="H245" s="18">
        <f>2231.91+6800.4+8930.57</f>
        <v>17962.879999999997</v>
      </c>
      <c r="I245" s="18">
        <v>82692.820000000007</v>
      </c>
      <c r="J245" s="18">
        <v>238979.6</v>
      </c>
      <c r="K245" s="18"/>
      <c r="L245" s="19">
        <f>SUM(F245:K245)</f>
        <v>339635.30000000005</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11198180.590000002</v>
      </c>
      <c r="G247" s="41">
        <f t="shared" si="5"/>
        <v>5205231.8100000005</v>
      </c>
      <c r="H247" s="41">
        <f t="shared" si="5"/>
        <v>4563985.17</v>
      </c>
      <c r="I247" s="41">
        <f t="shared" si="5"/>
        <v>1173768.83</v>
      </c>
      <c r="J247" s="41">
        <f t="shared" si="5"/>
        <v>502121.54000000004</v>
      </c>
      <c r="K247" s="41">
        <f t="shared" si="5"/>
        <v>43903.79</v>
      </c>
      <c r="L247" s="41">
        <f t="shared" si="5"/>
        <v>22687191.73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f>2241483.69+8750+394748.91</f>
        <v>2644982.6</v>
      </c>
      <c r="I255" s="18"/>
      <c r="J255" s="18"/>
      <c r="K255" s="18">
        <v>1919.14</v>
      </c>
      <c r="L255" s="19">
        <f t="shared" si="6"/>
        <v>2646901.7400000002</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2644982.6</v>
      </c>
      <c r="I256" s="41">
        <f t="shared" si="7"/>
        <v>0</v>
      </c>
      <c r="J256" s="41">
        <f t="shared" si="7"/>
        <v>0</v>
      </c>
      <c r="K256" s="41">
        <f t="shared" si="7"/>
        <v>1919.14</v>
      </c>
      <c r="L256" s="41">
        <f>SUM(F256:K256)</f>
        <v>2646901.7400000002</v>
      </c>
      <c r="M256" s="8"/>
      <c r="N256" s="266"/>
    </row>
    <row r="257" spans="1:14" s="3" customFormat="1" ht="12.2" customHeight="1" thickTop="1" x14ac:dyDescent="0.15">
      <c r="A257" s="38" t="s">
        <v>462</v>
      </c>
      <c r="B257" s="40">
        <v>10</v>
      </c>
      <c r="C257" s="40">
        <v>8</v>
      </c>
      <c r="D257" s="39" t="s">
        <v>431</v>
      </c>
      <c r="E257" s="40"/>
      <c r="F257" s="41">
        <f t="shared" ref="F257:L257" si="8">F211+F229+F247+F256</f>
        <v>28360130.940000005</v>
      </c>
      <c r="G257" s="41">
        <f t="shared" si="8"/>
        <v>13192413.220000001</v>
      </c>
      <c r="H257" s="41">
        <f t="shared" si="8"/>
        <v>11338452.25</v>
      </c>
      <c r="I257" s="41">
        <f t="shared" si="8"/>
        <v>2264258.3200000003</v>
      </c>
      <c r="J257" s="41">
        <f t="shared" si="8"/>
        <v>1024178.49</v>
      </c>
      <c r="K257" s="41">
        <f t="shared" si="8"/>
        <v>102749.54</v>
      </c>
      <c r="L257" s="41">
        <f t="shared" si="8"/>
        <v>56282182.759999998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2479260.37</v>
      </c>
      <c r="L260" s="19">
        <f>SUM(F260:K260)</f>
        <v>2479260.37</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834058.38</v>
      </c>
      <c r="L261" s="19">
        <f>SUM(F261:K261)</f>
        <v>834058.38</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162818.85</v>
      </c>
      <c r="L265" s="19">
        <f t="shared" si="9"/>
        <v>162818.85</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100000</v>
      </c>
      <c r="L266" s="19">
        <f t="shared" si="9"/>
        <v>100000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3576137.6</v>
      </c>
      <c r="L270" s="41">
        <f t="shared" si="9"/>
        <v>3576137.6</v>
      </c>
      <c r="N270" s="264"/>
    </row>
    <row r="271" spans="1:14" s="3" customFormat="1" ht="12.2" customHeight="1" thickTop="1" x14ac:dyDescent="0.2">
      <c r="A271" s="43" t="s">
        <v>464</v>
      </c>
      <c r="B271" s="40">
        <v>10</v>
      </c>
      <c r="C271" s="40">
        <v>18</v>
      </c>
      <c r="D271" s="39" t="s">
        <v>431</v>
      </c>
      <c r="E271" s="40"/>
      <c r="F271" s="42">
        <f t="shared" ref="F271:L271" si="11">F257+F270</f>
        <v>28360130.940000005</v>
      </c>
      <c r="G271" s="42">
        <f t="shared" si="11"/>
        <v>13192413.220000001</v>
      </c>
      <c r="H271" s="42">
        <f t="shared" si="11"/>
        <v>11338452.25</v>
      </c>
      <c r="I271" s="42">
        <f t="shared" si="11"/>
        <v>2264258.3200000003</v>
      </c>
      <c r="J271" s="42">
        <f t="shared" si="11"/>
        <v>1024178.49</v>
      </c>
      <c r="K271" s="42">
        <f t="shared" si="11"/>
        <v>3678887.14</v>
      </c>
      <c r="L271" s="42">
        <f t="shared" si="11"/>
        <v>59858320.359999999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410634.23</v>
      </c>
      <c r="G276" s="18">
        <v>150824.54999999999</v>
      </c>
      <c r="H276" s="18">
        <v>764.8</v>
      </c>
      <c r="I276" s="18">
        <v>6987.85</v>
      </c>
      <c r="J276" s="18">
        <v>2000</v>
      </c>
      <c r="K276" s="18"/>
      <c r="L276" s="19">
        <f>SUM(F276:K276)</f>
        <v>571211.43000000005</v>
      </c>
      <c r="M276" s="8"/>
      <c r="N276" s="266"/>
    </row>
    <row r="277" spans="1:14" s="3" customFormat="1" ht="12.2" customHeight="1" x14ac:dyDescent="0.15">
      <c r="A277" s="1" t="s">
        <v>439</v>
      </c>
      <c r="B277" s="2" t="s">
        <v>357</v>
      </c>
      <c r="C277" s="2" t="s">
        <v>291</v>
      </c>
      <c r="D277" s="2" t="s">
        <v>431</v>
      </c>
      <c r="E277" s="6">
        <v>1200</v>
      </c>
      <c r="F277" s="18">
        <v>135989.87</v>
      </c>
      <c r="G277" s="18">
        <v>32827.769999999997</v>
      </c>
      <c r="H277" s="18">
        <v>200</v>
      </c>
      <c r="I277" s="18">
        <f>31670.06+1701.52</f>
        <v>33371.58</v>
      </c>
      <c r="J277" s="18">
        <v>20500.099999999999</v>
      </c>
      <c r="K277" s="18"/>
      <c r="L277" s="19">
        <f>SUM(F277:K277)</f>
        <v>222889.31999999998</v>
      </c>
      <c r="M277" s="8"/>
      <c r="N277" s="266"/>
    </row>
    <row r="278" spans="1:14" s="3" customFormat="1" ht="12.2" customHeight="1" x14ac:dyDescent="0.15">
      <c r="A278" s="1" t="s">
        <v>440</v>
      </c>
      <c r="B278" s="2" t="s">
        <v>357</v>
      </c>
      <c r="C278" s="2" t="s">
        <v>292</v>
      </c>
      <c r="D278" s="2" t="s">
        <v>431</v>
      </c>
      <c r="E278" s="6">
        <v>1300</v>
      </c>
      <c r="F278" s="18"/>
      <c r="G278" s="18"/>
      <c r="H278" s="18"/>
      <c r="I278" s="4"/>
      <c r="J278" s="18"/>
      <c r="K278" s="18"/>
      <c r="L278" s="19">
        <f>SUM(F278:K278)</f>
        <v>0</v>
      </c>
      <c r="M278" s="8"/>
      <c r="N278" s="266"/>
    </row>
    <row r="279" spans="1:14" s="3" customFormat="1" ht="12.2" customHeight="1" x14ac:dyDescent="0.15">
      <c r="A279" s="1" t="s">
        <v>441</v>
      </c>
      <c r="B279" s="2" t="s">
        <v>357</v>
      </c>
      <c r="C279" s="2" t="s">
        <v>293</v>
      </c>
      <c r="D279" s="2" t="s">
        <v>431</v>
      </c>
      <c r="E279" s="6">
        <v>1400</v>
      </c>
      <c r="F279" s="18">
        <v>9652.15</v>
      </c>
      <c r="G279" s="18">
        <v>1588.03</v>
      </c>
      <c r="H279" s="18">
        <v>4325</v>
      </c>
      <c r="I279" s="18">
        <f>1656.71+142.68</f>
        <v>1799.39</v>
      </c>
      <c r="J279" s="18"/>
      <c r="K279" s="18">
        <f>280+743.8</f>
        <v>1023.8</v>
      </c>
      <c r="L279" s="19">
        <f>SUM(F279:K279)</f>
        <v>18388.37</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1025+46250+75826.41</f>
        <v>123101.41</v>
      </c>
      <c r="G281" s="18">
        <f>82.42+10547.04+6183.48</f>
        <v>16812.940000000002</v>
      </c>
      <c r="H281" s="18">
        <f>80+508.53+1925+30000</f>
        <v>32513.53</v>
      </c>
      <c r="I281" s="18">
        <v>4408.42</v>
      </c>
      <c r="J281" s="18"/>
      <c r="K281" s="18">
        <f>577.37+3342.24</f>
        <v>3919.6099999999997</v>
      </c>
      <c r="L281" s="19">
        <f t="shared" ref="L281:L287" si="12">SUM(F281:K281)</f>
        <v>180755.91</v>
      </c>
      <c r="M281" s="8"/>
      <c r="N281" s="266"/>
    </row>
    <row r="282" spans="1:14" s="3" customFormat="1" ht="12.2" customHeight="1" x14ac:dyDescent="0.15">
      <c r="A282" s="1" t="s">
        <v>443</v>
      </c>
      <c r="B282" s="2" t="s">
        <v>357</v>
      </c>
      <c r="C282" s="2" t="s">
        <v>295</v>
      </c>
      <c r="D282" s="2" t="s">
        <v>431</v>
      </c>
      <c r="E282" s="6">
        <v>2200</v>
      </c>
      <c r="F282" s="18">
        <f>1000+137190+7057.75</f>
        <v>145247.75</v>
      </c>
      <c r="G282" s="18">
        <f>254+60081.06+1794.39</f>
        <v>62129.45</v>
      </c>
      <c r="H282" s="18">
        <f>41705.82+1233.23+40925.02</f>
        <v>83864.070000000007</v>
      </c>
      <c r="I282" s="18">
        <v>1430.45</v>
      </c>
      <c r="J282" s="18"/>
      <c r="K282" s="18"/>
      <c r="L282" s="19">
        <f t="shared" si="12"/>
        <v>292671.72000000003</v>
      </c>
      <c r="M282" s="8"/>
      <c r="N282" s="266"/>
    </row>
    <row r="283" spans="1:14" s="3" customFormat="1" ht="12.2" customHeight="1" x14ac:dyDescent="0.15">
      <c r="A283" s="1" t="s">
        <v>444</v>
      </c>
      <c r="B283" s="2" t="s">
        <v>357</v>
      </c>
      <c r="C283" s="2" t="s">
        <v>296</v>
      </c>
      <c r="D283" s="2" t="s">
        <v>431</v>
      </c>
      <c r="E283" s="6">
        <v>2300</v>
      </c>
      <c r="F283" s="18">
        <v>52713.46</v>
      </c>
      <c r="G283" s="18">
        <v>21310.61</v>
      </c>
      <c r="H283" s="18">
        <f>977.56+17670.76</f>
        <v>18648.32</v>
      </c>
      <c r="I283" s="18">
        <v>341.82</v>
      </c>
      <c r="J283" s="18"/>
      <c r="K283" s="18"/>
      <c r="L283" s="19">
        <f t="shared" si="12"/>
        <v>93014.210000000021</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f>85265.54+10589.98</f>
        <v>95855.51999999999</v>
      </c>
      <c r="L285" s="19">
        <f t="shared" si="12"/>
        <v>95855.51999999999</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877338.87</v>
      </c>
      <c r="G290" s="42">
        <f t="shared" si="13"/>
        <v>285493.34999999998</v>
      </c>
      <c r="H290" s="42">
        <f t="shared" si="13"/>
        <v>140315.72</v>
      </c>
      <c r="I290" s="42">
        <f t="shared" si="13"/>
        <v>48339.509999999995</v>
      </c>
      <c r="J290" s="42">
        <f t="shared" si="13"/>
        <v>22500.1</v>
      </c>
      <c r="K290" s="42">
        <f t="shared" si="13"/>
        <v>100798.93</v>
      </c>
      <c r="L290" s="41">
        <f t="shared" si="13"/>
        <v>1474786.48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v>197.64</v>
      </c>
      <c r="J295" s="18">
        <v>2000</v>
      </c>
      <c r="K295" s="18"/>
      <c r="L295" s="19">
        <f>SUM(F295:K295)</f>
        <v>2197.64</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v>500</v>
      </c>
      <c r="J298" s="18"/>
      <c r="K298" s="18"/>
      <c r="L298" s="19">
        <f>SUM(F298:K298)</f>
        <v>500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3815</v>
      </c>
      <c r="G301" s="18">
        <v>969.94</v>
      </c>
      <c r="H301" s="18">
        <v>22121.63</v>
      </c>
      <c r="I301" s="18">
        <v>773.22</v>
      </c>
      <c r="J301" s="18"/>
      <c r="K301" s="18"/>
      <c r="L301" s="19">
        <f t="shared" si="14"/>
        <v>27679.79</v>
      </c>
      <c r="M301" s="8"/>
      <c r="N301" s="266"/>
    </row>
    <row r="302" spans="1:14" s="3" customFormat="1" ht="12.2" customHeight="1" x14ac:dyDescent="0.15">
      <c r="A302" s="1" t="s">
        <v>444</v>
      </c>
      <c r="B302" s="2" t="s">
        <v>358</v>
      </c>
      <c r="C302" s="2" t="s">
        <v>296</v>
      </c>
      <c r="D302" s="2" t="s">
        <v>431</v>
      </c>
      <c r="E302" s="6">
        <v>2300</v>
      </c>
      <c r="F302" s="18"/>
      <c r="G302" s="18"/>
      <c r="H302" s="18">
        <v>9551.76</v>
      </c>
      <c r="I302" s="18"/>
      <c r="J302" s="18"/>
      <c r="K302" s="18"/>
      <c r="L302" s="19">
        <f t="shared" si="14"/>
        <v>9551.76</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v>5724.32</v>
      </c>
      <c r="L304" s="19">
        <f t="shared" si="14"/>
        <v>5724.32</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v>487.19</v>
      </c>
      <c r="J307" s="18">
        <v>1913</v>
      </c>
      <c r="K307" s="18"/>
      <c r="L307" s="19">
        <f>SUM(F307:K307)</f>
        <v>2400.19</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3815</v>
      </c>
      <c r="G309" s="42">
        <f t="shared" si="15"/>
        <v>969.94</v>
      </c>
      <c r="H309" s="42">
        <f t="shared" si="15"/>
        <v>31673.39</v>
      </c>
      <c r="I309" s="42">
        <f t="shared" si="15"/>
        <v>1958.0500000000002</v>
      </c>
      <c r="J309" s="42">
        <f t="shared" si="15"/>
        <v>3913</v>
      </c>
      <c r="K309" s="42">
        <f t="shared" si="15"/>
        <v>5724.32</v>
      </c>
      <c r="L309" s="41">
        <f t="shared" si="15"/>
        <v>48053.700000000004</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v>200200</v>
      </c>
      <c r="I314" s="18">
        <v>371.77</v>
      </c>
      <c r="J314" s="18">
        <v>83563.89</v>
      </c>
      <c r="K314" s="18"/>
      <c r="L314" s="19">
        <f>SUM(F314:K314)</f>
        <v>284135.65999999997</v>
      </c>
      <c r="M314" s="8"/>
      <c r="N314" s="266"/>
    </row>
    <row r="315" spans="1:14" s="3" customFormat="1" ht="12.2" customHeight="1" x14ac:dyDescent="0.15">
      <c r="A315" s="1" t="s">
        <v>439</v>
      </c>
      <c r="B315" s="2" t="s">
        <v>359</v>
      </c>
      <c r="C315" s="2" t="s">
        <v>291</v>
      </c>
      <c r="D315" s="2" t="s">
        <v>431</v>
      </c>
      <c r="E315" s="6">
        <v>1200</v>
      </c>
      <c r="F315" s="18">
        <v>69295.820000000007</v>
      </c>
      <c r="G315" s="18">
        <v>38409.78</v>
      </c>
      <c r="H315" s="4"/>
      <c r="I315" s="18">
        <v>74582.710000000006</v>
      </c>
      <c r="J315" s="18">
        <v>66188.09</v>
      </c>
      <c r="K315" s="18"/>
      <c r="L315" s="19">
        <f>SUM(F315:K315)</f>
        <v>248476.4</v>
      </c>
      <c r="M315" s="8"/>
      <c r="N315" s="266"/>
    </row>
    <row r="316" spans="1:14" s="3" customFormat="1" ht="12.2" customHeight="1" x14ac:dyDescent="0.15">
      <c r="A316" s="1" t="s">
        <v>440</v>
      </c>
      <c r="B316" s="2" t="s">
        <v>359</v>
      </c>
      <c r="C316" s="2" t="s">
        <v>292</v>
      </c>
      <c r="D316" s="2" t="s">
        <v>431</v>
      </c>
      <c r="E316" s="6">
        <v>1300</v>
      </c>
      <c r="F316" s="18">
        <v>13592.5</v>
      </c>
      <c r="G316" s="18">
        <v>1852.89</v>
      </c>
      <c r="H316" s="18">
        <v>12949</v>
      </c>
      <c r="I316" s="18"/>
      <c r="J316" s="18"/>
      <c r="K316" s="18">
        <v>6045.3</v>
      </c>
      <c r="L316" s="19">
        <f>SUM(F316:K316)</f>
        <v>34439.69</v>
      </c>
      <c r="M316" s="8"/>
      <c r="N316" s="266"/>
    </row>
    <row r="317" spans="1:14" s="3" customFormat="1" ht="12.2" customHeight="1" x14ac:dyDescent="0.15">
      <c r="A317" s="1" t="s">
        <v>441</v>
      </c>
      <c r="B317" s="2" t="s">
        <v>359</v>
      </c>
      <c r="C317" s="2" t="s">
        <v>293</v>
      </c>
      <c r="D317" s="2" t="s">
        <v>431</v>
      </c>
      <c r="E317" s="6">
        <v>1400</v>
      </c>
      <c r="F317" s="18">
        <f>4610+7754.6</f>
        <v>12364.6</v>
      </c>
      <c r="G317" s="18">
        <f>459.72+1616.06</f>
        <v>2075.7799999999997</v>
      </c>
      <c r="H317" s="18">
        <v>1680</v>
      </c>
      <c r="I317" s="18">
        <v>2515.31</v>
      </c>
      <c r="J317" s="18"/>
      <c r="K317" s="18"/>
      <c r="L317" s="19">
        <f>SUM(F317:K317)</f>
        <v>18635.690000000002</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f>47428.45+50099.94</f>
        <v>97528.39</v>
      </c>
      <c r="G319" s="18">
        <f>34286.67+28094.1</f>
        <v>62380.77</v>
      </c>
      <c r="H319" s="18">
        <f>3710.69+400</f>
        <v>4110.6900000000005</v>
      </c>
      <c r="I319" s="18"/>
      <c r="J319" s="18"/>
      <c r="K319" s="18"/>
      <c r="L319" s="19">
        <f t="shared" ref="L319:L325" si="16">SUM(F319:K319)</f>
        <v>164019.85</v>
      </c>
      <c r="M319" s="8"/>
      <c r="N319" s="266"/>
    </row>
    <row r="320" spans="1:14" s="3" customFormat="1" ht="12.2" customHeight="1" x14ac:dyDescent="0.15">
      <c r="A320" s="1" t="s">
        <v>443</v>
      </c>
      <c r="B320" s="2" t="s">
        <v>359</v>
      </c>
      <c r="C320" s="2" t="s">
        <v>295</v>
      </c>
      <c r="D320" s="2" t="s">
        <v>431</v>
      </c>
      <c r="E320" s="6">
        <v>2200</v>
      </c>
      <c r="F320" s="18">
        <f>1138.83+545.6+8202.25</f>
        <v>9886.68</v>
      </c>
      <c r="G320" s="18">
        <f>220.5+43.87+2085.37</f>
        <v>2349.7399999999998</v>
      </c>
      <c r="H320" s="18">
        <f>5260.22+47561.51</f>
        <v>52821.73</v>
      </c>
      <c r="I320" s="18">
        <v>1662.42</v>
      </c>
      <c r="J320" s="18"/>
      <c r="K320" s="18">
        <v>5469.88</v>
      </c>
      <c r="L320" s="19">
        <f t="shared" si="16"/>
        <v>72190.450000000012</v>
      </c>
      <c r="M320" s="8"/>
      <c r="N320" s="266"/>
    </row>
    <row r="321" spans="1:14" s="3" customFormat="1" ht="12.2" customHeight="1" x14ac:dyDescent="0.15">
      <c r="A321" s="1" t="s">
        <v>444</v>
      </c>
      <c r="B321" s="2" t="s">
        <v>359</v>
      </c>
      <c r="C321" s="2" t="s">
        <v>296</v>
      </c>
      <c r="D321" s="2" t="s">
        <v>431</v>
      </c>
      <c r="E321" s="6">
        <v>2300</v>
      </c>
      <c r="F321" s="18"/>
      <c r="G321" s="18"/>
      <c r="H321" s="18">
        <v>20536.28</v>
      </c>
      <c r="I321" s="18"/>
      <c r="J321" s="18"/>
      <c r="K321" s="18"/>
      <c r="L321" s="19">
        <f t="shared" si="16"/>
        <v>20536.28</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f>9970.73+12307.28</f>
        <v>22278.010000000002</v>
      </c>
      <c r="L323" s="19">
        <f t="shared" si="16"/>
        <v>22278.010000000002</v>
      </c>
      <c r="M323" s="8"/>
      <c r="N323" s="266"/>
    </row>
    <row r="324" spans="1:14" s="3" customFormat="1" ht="12.2" customHeight="1" x14ac:dyDescent="0.15">
      <c r="A324" s="1" t="s">
        <v>447</v>
      </c>
      <c r="B324" s="2" t="s">
        <v>359</v>
      </c>
      <c r="C324" s="2" t="s">
        <v>299</v>
      </c>
      <c r="D324" s="2" t="s">
        <v>431</v>
      </c>
      <c r="E324" s="6">
        <v>2600</v>
      </c>
      <c r="F324" s="18">
        <v>5338.17</v>
      </c>
      <c r="G324" s="18">
        <v>429.19</v>
      </c>
      <c r="H324" s="18">
        <f>25998.28+3012</f>
        <v>29010.28</v>
      </c>
      <c r="I324" s="18"/>
      <c r="J324" s="18"/>
      <c r="K324" s="18"/>
      <c r="L324" s="19">
        <f t="shared" si="16"/>
        <v>34777.64</v>
      </c>
      <c r="M324" s="8"/>
      <c r="N324" s="266"/>
    </row>
    <row r="325" spans="1:14" s="3" customFormat="1" ht="12.2" customHeight="1" x14ac:dyDescent="0.15">
      <c r="A325" s="1" t="s">
        <v>448</v>
      </c>
      <c r="B325" s="2" t="s">
        <v>359</v>
      </c>
      <c r="C325" s="2" t="s">
        <v>300</v>
      </c>
      <c r="D325" s="2" t="s">
        <v>431</v>
      </c>
      <c r="E325" s="6">
        <v>2700</v>
      </c>
      <c r="F325" s="18"/>
      <c r="G325" s="18"/>
      <c r="H325" s="18">
        <v>4430</v>
      </c>
      <c r="I325" s="18"/>
      <c r="J325" s="18"/>
      <c r="K325" s="18"/>
      <c r="L325" s="19">
        <f t="shared" si="16"/>
        <v>4430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208006.16</v>
      </c>
      <c r="G328" s="42">
        <f t="shared" si="17"/>
        <v>107498.15000000001</v>
      </c>
      <c r="H328" s="42">
        <f>SUM(H314:H327)</f>
        <v>325737.98</v>
      </c>
      <c r="I328" s="42">
        <f t="shared" si="17"/>
        <v>79132.210000000006</v>
      </c>
      <c r="J328" s="42">
        <f t="shared" si="17"/>
        <v>149751.97999999998</v>
      </c>
      <c r="K328" s="42">
        <f t="shared" si="17"/>
        <v>33793.19</v>
      </c>
      <c r="L328" s="41">
        <f t="shared" si="17"/>
        <v>903919.67</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v>311440.90000000002</v>
      </c>
      <c r="G333" s="18">
        <v>89268.06</v>
      </c>
      <c r="H333" s="18">
        <v>34425.43</v>
      </c>
      <c r="I333" s="18">
        <v>38811.760000000002</v>
      </c>
      <c r="J333" s="18">
        <v>954.16</v>
      </c>
      <c r="K333" s="18">
        <v>15320.93</v>
      </c>
      <c r="L333" s="19">
        <f t="shared" si="18"/>
        <v>490221.24</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311440.90000000002</v>
      </c>
      <c r="G337" s="41">
        <f t="shared" si="19"/>
        <v>89268.06</v>
      </c>
      <c r="H337" s="41">
        <f t="shared" si="19"/>
        <v>34425.43</v>
      </c>
      <c r="I337" s="41">
        <f t="shared" si="19"/>
        <v>38811.760000000002</v>
      </c>
      <c r="J337" s="41">
        <f t="shared" si="19"/>
        <v>954.16</v>
      </c>
      <c r="K337" s="41">
        <f t="shared" si="19"/>
        <v>15320.93</v>
      </c>
      <c r="L337" s="41">
        <f t="shared" si="18"/>
        <v>490221.24</v>
      </c>
      <c r="M337" s="8"/>
      <c r="N337" s="266"/>
    </row>
    <row r="338" spans="1:43" s="3" customFormat="1" ht="12.2" customHeight="1" thickTop="1" x14ac:dyDescent="0.15">
      <c r="A338" s="38" t="s">
        <v>468</v>
      </c>
      <c r="B338" s="40">
        <v>14</v>
      </c>
      <c r="C338" s="40">
        <v>7</v>
      </c>
      <c r="D338" s="39" t="s">
        <v>431</v>
      </c>
      <c r="E338" s="40"/>
      <c r="F338" s="41">
        <f t="shared" ref="F338:L338" si="20">F290+F309+F328+F337</f>
        <v>1400600.9300000002</v>
      </c>
      <c r="G338" s="41">
        <f t="shared" si="20"/>
        <v>483229.5</v>
      </c>
      <c r="H338" s="41">
        <f t="shared" si="20"/>
        <v>532152.52</v>
      </c>
      <c r="I338" s="41">
        <f t="shared" si="20"/>
        <v>168241.53</v>
      </c>
      <c r="J338" s="41">
        <f t="shared" si="20"/>
        <v>177119.24</v>
      </c>
      <c r="K338" s="41">
        <f t="shared" si="20"/>
        <v>155637.37</v>
      </c>
      <c r="L338" s="41">
        <f t="shared" si="20"/>
        <v>2916981.09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1400600.9300000002</v>
      </c>
      <c r="G352" s="41">
        <f>G338</f>
        <v>483229.5</v>
      </c>
      <c r="H352" s="41">
        <f>H338</f>
        <v>532152.52</v>
      </c>
      <c r="I352" s="41">
        <f>I338</f>
        <v>168241.53</v>
      </c>
      <c r="J352" s="41">
        <f>J338</f>
        <v>177119.24</v>
      </c>
      <c r="K352" s="47">
        <f>K338+K351</f>
        <v>155637.37</v>
      </c>
      <c r="L352" s="41">
        <f>L338+L351</f>
        <v>2916981.09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152549.45000000001</v>
      </c>
      <c r="G358" s="18">
        <v>40826.449999999997</v>
      </c>
      <c r="H358" s="18">
        <v>4290.53</v>
      </c>
      <c r="I358" s="18">
        <v>189961.97</v>
      </c>
      <c r="J358" s="18">
        <v>2937</v>
      </c>
      <c r="K358" s="18"/>
      <c r="L358" s="13">
        <f>SUM(F358:K358)</f>
        <v>390565.4</v>
      </c>
      <c r="N358" s="264"/>
      <c r="R358" s="3"/>
      <c r="S358" s="3"/>
      <c r="T358" s="3"/>
      <c r="U358" s="3"/>
      <c r="V358" s="3"/>
    </row>
    <row r="359" spans="1:22" s="3" customFormat="1" ht="12.2" customHeight="1" x14ac:dyDescent="0.15">
      <c r="A359" s="1" t="s">
        <v>542</v>
      </c>
      <c r="B359" s="2" t="s">
        <v>366</v>
      </c>
      <c r="C359" s="6">
        <v>2</v>
      </c>
      <c r="D359" s="2" t="s">
        <v>431</v>
      </c>
      <c r="E359" s="6"/>
      <c r="F359" s="18">
        <v>129716.57</v>
      </c>
      <c r="G359" s="18">
        <v>45103.28</v>
      </c>
      <c r="H359" s="18">
        <v>897</v>
      </c>
      <c r="I359" s="18">
        <v>202370.78</v>
      </c>
      <c r="J359" s="18">
        <v>5177.66</v>
      </c>
      <c r="K359" s="18"/>
      <c r="L359" s="19">
        <f>SUM(F359:K359)</f>
        <v>383265.29</v>
      </c>
      <c r="M359" s="8"/>
      <c r="N359" s="266"/>
    </row>
    <row r="360" spans="1:22" s="3" customFormat="1" ht="12.2" customHeight="1" x14ac:dyDescent="0.15">
      <c r="A360" s="3" t="s">
        <v>543</v>
      </c>
      <c r="B360" s="2" t="s">
        <v>366</v>
      </c>
      <c r="C360" s="6">
        <v>3</v>
      </c>
      <c r="D360" s="2" t="s">
        <v>431</v>
      </c>
      <c r="E360" s="6"/>
      <c r="F360" s="18">
        <v>256959.29</v>
      </c>
      <c r="G360" s="18">
        <v>115356.47</v>
      </c>
      <c r="H360" s="18">
        <v>14158.71</v>
      </c>
      <c r="I360" s="18">
        <v>365144.26</v>
      </c>
      <c r="J360" s="18">
        <v>9976</v>
      </c>
      <c r="K360" s="18">
        <v>1657.43</v>
      </c>
      <c r="L360" s="19">
        <f>SUM(F360:K360)</f>
        <v>763252.16</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539225.31000000006</v>
      </c>
      <c r="G362" s="47">
        <f t="shared" si="22"/>
        <v>201286.2</v>
      </c>
      <c r="H362" s="47">
        <f t="shared" si="22"/>
        <v>19346.239999999998</v>
      </c>
      <c r="I362" s="47">
        <f t="shared" si="22"/>
        <v>757477.01</v>
      </c>
      <c r="J362" s="47">
        <f t="shared" si="22"/>
        <v>18090.66</v>
      </c>
      <c r="K362" s="47">
        <f t="shared" si="22"/>
        <v>1657.43</v>
      </c>
      <c r="L362" s="47">
        <f t="shared" si="22"/>
        <v>1537082.85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188564.59</v>
      </c>
      <c r="G367" s="18">
        <f>194657.16+1256.25</f>
        <v>195913.41</v>
      </c>
      <c r="H367" s="18">
        <f>327648.12+3050.33</f>
        <v>330698.45</v>
      </c>
      <c r="I367" s="56">
        <f>SUM(F367:H367)</f>
        <v>715176.45</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1397.38</f>
        <v>1397.38</v>
      </c>
      <c r="G368" s="63">
        <v>6457.37</v>
      </c>
      <c r="H368" s="63">
        <f>34445.81</f>
        <v>34445.81</v>
      </c>
      <c r="I368" s="56">
        <f>SUM(F368:H368)</f>
        <v>42300.56</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189961.97</v>
      </c>
      <c r="G369" s="47">
        <f>SUM(G367:G368)</f>
        <v>202370.78</v>
      </c>
      <c r="H369" s="47">
        <f>SUM(H367:H368)</f>
        <v>365144.26</v>
      </c>
      <c r="I369" s="47">
        <f>SUM(I367:I368)</f>
        <v>757477.01</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f>94012.17+159524.57+119706.66+45640.84+54972.01+62383.64+62656.06+52726.73</f>
        <v>651622.67999999993</v>
      </c>
      <c r="I379" s="18"/>
      <c r="J379" s="18"/>
      <c r="K379" s="18"/>
      <c r="L379" s="13">
        <f t="shared" si="23"/>
        <v>651622.67999999993</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1208.3399999999999</v>
      </c>
      <c r="L381" s="13">
        <f t="shared" si="23"/>
        <v>1208.3399999999999</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651622.67999999993</v>
      </c>
      <c r="I382" s="41">
        <f t="shared" si="24"/>
        <v>0</v>
      </c>
      <c r="J382" s="47">
        <f t="shared" si="24"/>
        <v>0</v>
      </c>
      <c r="K382" s="47">
        <f t="shared" si="24"/>
        <v>1208.3399999999999</v>
      </c>
      <c r="L382" s="47">
        <f t="shared" si="24"/>
        <v>652831.0199999999</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50000</v>
      </c>
      <c r="H396" s="18">
        <v>14137.37</v>
      </c>
      <c r="I396" s="18"/>
      <c r="J396" s="24" t="s">
        <v>288</v>
      </c>
      <c r="K396" s="24" t="s">
        <v>288</v>
      </c>
      <c r="L396" s="56">
        <f t="shared" si="26"/>
        <v>64137.37</v>
      </c>
      <c r="M396" s="8"/>
      <c r="N396" s="266"/>
    </row>
    <row r="397" spans="1:14" s="3" customFormat="1" ht="12.2" customHeight="1" x14ac:dyDescent="0.15">
      <c r="A397" s="79" t="s">
        <v>515</v>
      </c>
      <c r="B397" s="2" t="s">
        <v>381</v>
      </c>
      <c r="C397" s="6">
        <v>10</v>
      </c>
      <c r="D397" s="2" t="s">
        <v>432</v>
      </c>
      <c r="E397" s="6"/>
      <c r="F397" s="18"/>
      <c r="G397" s="18">
        <v>50000</v>
      </c>
      <c r="H397" s="18">
        <v>2990.9</v>
      </c>
      <c r="I397" s="18"/>
      <c r="J397" s="24" t="s">
        <v>288</v>
      </c>
      <c r="K397" s="24" t="s">
        <v>288</v>
      </c>
      <c r="L397" s="56">
        <f t="shared" si="26"/>
        <v>52990.9</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f>142.82+0.01</f>
        <v>142.82999999999998</v>
      </c>
      <c r="I400" s="18"/>
      <c r="J400" s="24" t="s">
        <v>288</v>
      </c>
      <c r="K400" s="24" t="s">
        <v>288</v>
      </c>
      <c r="L400" s="56">
        <f t="shared" si="26"/>
        <v>142.82999999999998</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100000</v>
      </c>
      <c r="H401" s="47">
        <f>SUM(H395:H400)</f>
        <v>17271.100000000002</v>
      </c>
      <c r="I401" s="47">
        <f>SUM(I395:I400)</f>
        <v>0</v>
      </c>
      <c r="J401" s="45" t="s">
        <v>288</v>
      </c>
      <c r="K401" s="45" t="s">
        <v>288</v>
      </c>
      <c r="L401" s="47">
        <f>SUM(L395:L400)</f>
        <v>117271.1</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100000</v>
      </c>
      <c r="H408" s="47">
        <f>H393+H401+H407</f>
        <v>17271.100000000002</v>
      </c>
      <c r="I408" s="47">
        <f>I393+I401+I407</f>
        <v>0</v>
      </c>
      <c r="J408" s="24" t="s">
        <v>288</v>
      </c>
      <c r="K408" s="24" t="s">
        <v>288</v>
      </c>
      <c r="L408" s="47">
        <f>L393+L401+L407</f>
        <v>117271.1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815958.19</v>
      </c>
      <c r="H439" s="18"/>
      <c r="I439" s="56">
        <f t="shared" ref="I439:I445" si="33">SUM(F439:H439)</f>
        <v>815958.19</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815958.19</v>
      </c>
      <c r="H446" s="13">
        <f>SUM(H439:H445)</f>
        <v>0</v>
      </c>
      <c r="I446" s="13">
        <f>SUM(I439:I445)</f>
        <v>815958.19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815958.19</v>
      </c>
      <c r="H459" s="18"/>
      <c r="I459" s="56">
        <f t="shared" si="34"/>
        <v>815958.19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815958.19</v>
      </c>
      <c r="H460" s="83">
        <f>SUM(H454:H459)</f>
        <v>0</v>
      </c>
      <c r="I460" s="83">
        <f>SUM(I454:I459)</f>
        <v>815958.19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815958.19</v>
      </c>
      <c r="H461" s="42">
        <f>H452+H460</f>
        <v>0</v>
      </c>
      <c r="I461" s="42">
        <f>I452+I460</f>
        <v>815958.19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2429171.7799999998</v>
      </c>
      <c r="G465" s="18">
        <v>504090.81</v>
      </c>
      <c r="H465" s="18">
        <v>270757.12</v>
      </c>
      <c r="I465" s="18">
        <v>49200</v>
      </c>
      <c r="J465" s="18">
        <v>698687.09</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61187764.560000002</v>
      </c>
      <c r="G468" s="18">
        <v>1522898.87</v>
      </c>
      <c r="H468" s="18">
        <f>2189775.82+97758.36+529120+89534.36</f>
        <v>2906188.5399999996</v>
      </c>
      <c r="I468" s="18">
        <v>612638.85</v>
      </c>
      <c r="J468" s="18">
        <v>117271.1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61187764.560000002</v>
      </c>
      <c r="G470" s="53">
        <f>SUM(G468:G469)</f>
        <v>1522898.87</v>
      </c>
      <c r="H470" s="53">
        <f>SUM(H468:H469)</f>
        <v>2906188.5399999996</v>
      </c>
      <c r="I470" s="53">
        <f>SUM(I468:I469)</f>
        <v>612638.85</v>
      </c>
      <c r="J470" s="53">
        <f>SUM(J468:J469)</f>
        <v>117271.1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59858104.14+216.22</f>
        <v>59858320.359999999</v>
      </c>
      <c r="G472" s="18">
        <v>1537082.85</v>
      </c>
      <c r="H472" s="18">
        <f>2189775.82+97036.28+533342.25+96826.74</f>
        <v>2916981.09</v>
      </c>
      <c r="I472" s="18">
        <v>652831.02</v>
      </c>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59858320.359999999</v>
      </c>
      <c r="G474" s="53">
        <f>SUM(G472:G473)</f>
        <v>1537082.85</v>
      </c>
      <c r="H474" s="53">
        <f>SUM(H472:H473)</f>
        <v>2916981.09</v>
      </c>
      <c r="I474" s="53">
        <f>SUM(I472:I473)</f>
        <v>652831.02</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3758615.9800000042</v>
      </c>
      <c r="G476" s="53">
        <f>(G465+G470)- G474</f>
        <v>489906.83000000007</v>
      </c>
      <c r="H476" s="53">
        <f>(H465+H470)- H474</f>
        <v>259964.56999999983</v>
      </c>
      <c r="I476" s="53">
        <f>(I465+I470)- I474</f>
        <v>9007.8299999999581</v>
      </c>
      <c r="J476" s="53">
        <f>(J465+J470)- J474</f>
        <v>815958.19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29</v>
      </c>
      <c r="H490" s="154">
        <v>29</v>
      </c>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t="s">
        <v>1612</v>
      </c>
      <c r="H491" s="155" t="s">
        <v>1612</v>
      </c>
      <c r="I491" s="154"/>
      <c r="J491" s="154"/>
      <c r="K491" s="24" t="s">
        <v>288</v>
      </c>
      <c r="L491" s="24" t="s">
        <v>288</v>
      </c>
      <c r="N491" s="265"/>
    </row>
    <row r="492" spans="1:14" s="52" customFormat="1" ht="12.2" customHeight="1" x14ac:dyDescent="0.2">
      <c r="A492" s="22" t="s">
        <v>616</v>
      </c>
      <c r="B492" s="75">
        <v>20</v>
      </c>
      <c r="C492" s="115">
        <v>3</v>
      </c>
      <c r="D492" s="2" t="s">
        <v>432</v>
      </c>
      <c r="E492" s="115"/>
      <c r="F492" s="155" t="s">
        <v>1609</v>
      </c>
      <c r="G492" s="155" t="s">
        <v>1610</v>
      </c>
      <c r="H492" s="155" t="s">
        <v>1610</v>
      </c>
      <c r="I492" s="154"/>
      <c r="J492" s="154"/>
      <c r="K492" s="24" t="s">
        <v>288</v>
      </c>
      <c r="L492" s="24" t="s">
        <v>288</v>
      </c>
      <c r="N492" s="265"/>
    </row>
    <row r="493" spans="1:14" s="52" customFormat="1" ht="12.2" customHeight="1" x14ac:dyDescent="0.2">
      <c r="A493" s="22" t="s">
        <v>617</v>
      </c>
      <c r="B493" s="75">
        <v>20</v>
      </c>
      <c r="C493" s="115">
        <v>4</v>
      </c>
      <c r="D493" s="2" t="s">
        <v>432</v>
      </c>
      <c r="E493" s="115"/>
      <c r="F493" s="18">
        <v>17500000</v>
      </c>
      <c r="G493" s="18">
        <v>35115529.659999996</v>
      </c>
      <c r="H493" s="18">
        <v>1817970.34</v>
      </c>
      <c r="I493" s="18"/>
      <c r="J493" s="18"/>
      <c r="K493" s="24" t="s">
        <v>288</v>
      </c>
      <c r="L493" s="24" t="s">
        <v>288</v>
      </c>
      <c r="N493" s="265"/>
    </row>
    <row r="494" spans="1:14" s="52" customFormat="1" ht="12.2" customHeight="1" x14ac:dyDescent="0.2">
      <c r="A494" s="22" t="s">
        <v>618</v>
      </c>
      <c r="B494" s="75">
        <v>20</v>
      </c>
      <c r="C494" s="115">
        <v>5</v>
      </c>
      <c r="D494" s="2" t="s">
        <v>432</v>
      </c>
      <c r="E494" s="115"/>
      <c r="F494" s="18">
        <v>5.2</v>
      </c>
      <c r="G494" s="18">
        <v>4.4400000000000004</v>
      </c>
      <c r="H494" s="18">
        <v>4.4400000000000004</v>
      </c>
      <c r="I494" s="18"/>
      <c r="J494" s="18"/>
      <c r="K494" s="24" t="s">
        <v>288</v>
      </c>
      <c r="L494" s="24" t="s">
        <v>288</v>
      </c>
      <c r="N494" s="265"/>
    </row>
    <row r="495" spans="1:14" s="52" customFormat="1" ht="12.2" customHeight="1" x14ac:dyDescent="0.2">
      <c r="A495" s="22" t="s">
        <v>619</v>
      </c>
      <c r="B495" s="75">
        <v>20</v>
      </c>
      <c r="C495" s="115">
        <v>6</v>
      </c>
      <c r="D495" s="2" t="s">
        <v>432</v>
      </c>
      <c r="E495" s="115"/>
      <c r="F495" s="18">
        <v>1750000</v>
      </c>
      <c r="G495" s="18">
        <v>21259026.449999999</v>
      </c>
      <c r="H495" s="18">
        <v>1100603.6200000001</v>
      </c>
      <c r="I495" s="18"/>
      <c r="J495" s="18"/>
      <c r="K495" s="53">
        <f>SUM(F495:J495)</f>
        <v>24109630.07</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875000</v>
      </c>
      <c r="G497" s="18">
        <v>1524047.35</v>
      </c>
      <c r="H497" s="18">
        <v>80213.02</v>
      </c>
      <c r="I497" s="18"/>
      <c r="J497" s="18"/>
      <c r="K497" s="53">
        <f t="shared" si="35"/>
        <v>2479260.37</v>
      </c>
      <c r="L497" s="24" t="s">
        <v>288</v>
      </c>
      <c r="N497" s="265"/>
    </row>
    <row r="498" spans="1:14" s="52" customFormat="1" ht="12.2" customHeight="1" x14ac:dyDescent="0.2">
      <c r="A498" s="200" t="s">
        <v>622</v>
      </c>
      <c r="B498" s="201">
        <v>20</v>
      </c>
      <c r="C498" s="202">
        <v>9</v>
      </c>
      <c r="D498" s="203" t="s">
        <v>432</v>
      </c>
      <c r="E498" s="202"/>
      <c r="F498" s="204">
        <f>F495-F497</f>
        <v>875000</v>
      </c>
      <c r="G498" s="204">
        <f>G495-G497</f>
        <v>19734979.099999998</v>
      </c>
      <c r="H498" s="204">
        <f>H495-H497</f>
        <v>1020390.6000000001</v>
      </c>
      <c r="I498" s="204"/>
      <c r="J498" s="204"/>
      <c r="K498" s="205">
        <f t="shared" si="35"/>
        <v>21630369.699999999</v>
      </c>
      <c r="L498" s="206" t="s">
        <v>288</v>
      </c>
      <c r="N498" s="265"/>
    </row>
    <row r="499" spans="1:14" s="52" customFormat="1" ht="12.2" customHeight="1" thickBot="1" x14ac:dyDescent="0.25">
      <c r="A499" s="22" t="s">
        <v>623</v>
      </c>
      <c r="B499" s="75">
        <v>20</v>
      </c>
      <c r="C499" s="115">
        <v>10</v>
      </c>
      <c r="D499" s="2" t="s">
        <v>432</v>
      </c>
      <c r="E499" s="115"/>
      <c r="F499" s="18">
        <v>22968.75</v>
      </c>
      <c r="G499" s="18">
        <v>23218104.760000002</v>
      </c>
      <c r="H499" s="18">
        <v>3805918.27</v>
      </c>
      <c r="I499" s="18"/>
      <c r="J499" s="18"/>
      <c r="K499" s="53">
        <f t="shared" si="35"/>
        <v>27046991.780000001</v>
      </c>
      <c r="L499" s="24" t="s">
        <v>288</v>
      </c>
      <c r="N499" s="265"/>
    </row>
    <row r="500" spans="1:14" s="52" customFormat="1" ht="12.2" customHeight="1" thickTop="1" x14ac:dyDescent="0.2">
      <c r="A500" s="139" t="s">
        <v>624</v>
      </c>
      <c r="B500" s="44">
        <v>20</v>
      </c>
      <c r="C500" s="195">
        <v>11</v>
      </c>
      <c r="D500" s="39" t="s">
        <v>432</v>
      </c>
      <c r="E500" s="195"/>
      <c r="F500" s="42">
        <f>SUM(F498:F499)</f>
        <v>897968.75</v>
      </c>
      <c r="G500" s="42">
        <f>SUM(G498:G499)</f>
        <v>42953083.859999999</v>
      </c>
      <c r="H500" s="42">
        <f>SUM(H498:H499)</f>
        <v>4826308.87</v>
      </c>
      <c r="I500" s="42">
        <f>SUM(I498:I499)</f>
        <v>0</v>
      </c>
      <c r="J500" s="42">
        <f>SUM(J498:J499)</f>
        <v>0</v>
      </c>
      <c r="K500" s="42">
        <f t="shared" si="35"/>
        <v>48677361.479999997</v>
      </c>
      <c r="L500" s="45" t="s">
        <v>288</v>
      </c>
      <c r="N500" s="265"/>
    </row>
    <row r="501" spans="1:14" s="52" customFormat="1" ht="12.2" customHeight="1" x14ac:dyDescent="0.2">
      <c r="A501" s="200" t="s">
        <v>651</v>
      </c>
      <c r="B501" s="201">
        <v>20</v>
      </c>
      <c r="C501" s="202">
        <v>12</v>
      </c>
      <c r="D501" s="203" t="s">
        <v>432</v>
      </c>
      <c r="E501" s="202"/>
      <c r="F501" s="204">
        <v>875000</v>
      </c>
      <c r="G501" s="204">
        <v>1452963.78</v>
      </c>
      <c r="H501" s="204">
        <v>76471.78</v>
      </c>
      <c r="I501" s="204"/>
      <c r="J501" s="204"/>
      <c r="K501" s="205">
        <f t="shared" si="35"/>
        <v>2404435.56</v>
      </c>
      <c r="L501" s="206" t="s">
        <v>288</v>
      </c>
      <c r="N501" s="265"/>
    </row>
    <row r="502" spans="1:14" s="52" customFormat="1" ht="12.2" customHeight="1" thickBot="1" x14ac:dyDescent="0.25">
      <c r="A502" s="22" t="s">
        <v>625</v>
      </c>
      <c r="B502" s="75">
        <v>20</v>
      </c>
      <c r="C502" s="115">
        <v>13</v>
      </c>
      <c r="D502" s="2" t="s">
        <v>432</v>
      </c>
      <c r="E502" s="115"/>
      <c r="F502" s="18">
        <v>22968.75</v>
      </c>
      <c r="G502" s="18">
        <v>674677.59</v>
      </c>
      <c r="H502" s="18">
        <v>35509.35</v>
      </c>
      <c r="I502" s="18"/>
      <c r="J502" s="18"/>
      <c r="K502" s="53">
        <f t="shared" si="35"/>
        <v>733155.69</v>
      </c>
      <c r="L502" s="24" t="s">
        <v>288</v>
      </c>
      <c r="N502" s="265"/>
    </row>
    <row r="503" spans="1:14" s="52" customFormat="1" ht="12.2" customHeight="1" thickTop="1" x14ac:dyDescent="0.2">
      <c r="A503" s="139" t="s">
        <v>626</v>
      </c>
      <c r="B503" s="44">
        <v>20</v>
      </c>
      <c r="C503" s="195">
        <v>14</v>
      </c>
      <c r="D503" s="39" t="s">
        <v>432</v>
      </c>
      <c r="E503" s="195"/>
      <c r="F503" s="42">
        <f>SUM(F501:F502)</f>
        <v>897968.75</v>
      </c>
      <c r="G503" s="42">
        <f>SUM(G501:G502)</f>
        <v>2127641.37</v>
      </c>
      <c r="H503" s="42">
        <f>SUM(H501:H502)</f>
        <v>111981.13</v>
      </c>
      <c r="I503" s="42">
        <f>SUM(I501:I502)</f>
        <v>0</v>
      </c>
      <c r="J503" s="42">
        <f>SUM(J501:J502)</f>
        <v>0</v>
      </c>
      <c r="K503" s="42">
        <f t="shared" si="35"/>
        <v>3137591.25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2853108.31</f>
        <v>2853108.31</v>
      </c>
      <c r="G521" s="18">
        <f>1199285.95</f>
        <v>1199285.95</v>
      </c>
      <c r="H521" s="18">
        <v>433158.67</v>
      </c>
      <c r="I521" s="18">
        <v>52775.17</v>
      </c>
      <c r="J521" s="18">
        <v>20655.22</v>
      </c>
      <c r="K521" s="18"/>
      <c r="L521" s="88">
        <f>SUM(F521:K521)</f>
        <v>4558983.3199999994</v>
      </c>
      <c r="N521" s="265"/>
    </row>
    <row r="522" spans="1:14" s="52" customFormat="1" ht="12.2" customHeight="1" x14ac:dyDescent="0.2">
      <c r="A522" s="22" t="s">
        <v>634</v>
      </c>
      <c r="B522" s="105">
        <v>21</v>
      </c>
      <c r="C522" s="115">
        <v>2</v>
      </c>
      <c r="D522" s="2" t="s">
        <v>432</v>
      </c>
      <c r="E522" s="115"/>
      <c r="F522" s="18">
        <f>1078973.37</f>
        <v>1078973.3700000001</v>
      </c>
      <c r="G522" s="18">
        <f>502759.08</f>
        <v>502759.08</v>
      </c>
      <c r="H522" s="18">
        <v>562355.11</v>
      </c>
      <c r="I522" s="18">
        <v>9953.69</v>
      </c>
      <c r="J522" s="18">
        <v>2036.36</v>
      </c>
      <c r="K522" s="18"/>
      <c r="L522" s="88">
        <f>SUM(F522:K522)</f>
        <v>2156077.61</v>
      </c>
      <c r="N522" s="265"/>
    </row>
    <row r="523" spans="1:14" s="52" customFormat="1" ht="12.2" customHeight="1" thickBot="1" x14ac:dyDescent="0.25">
      <c r="A523" s="22" t="s">
        <v>635</v>
      </c>
      <c r="B523" s="105">
        <v>21</v>
      </c>
      <c r="C523" s="115">
        <v>3</v>
      </c>
      <c r="D523" s="2" t="s">
        <v>432</v>
      </c>
      <c r="E523" s="115"/>
      <c r="F523" s="18">
        <v>1717387.28</v>
      </c>
      <c r="G523" s="18">
        <v>780382.71</v>
      </c>
      <c r="H523" s="18">
        <v>1653999.6</v>
      </c>
      <c r="I523" s="18">
        <v>9238.17</v>
      </c>
      <c r="J523" s="18">
        <v>2669.13</v>
      </c>
      <c r="K523" s="18"/>
      <c r="L523" s="88">
        <f>SUM(F523:K523)</f>
        <v>4163676.89</v>
      </c>
      <c r="N523" s="265"/>
    </row>
    <row r="524" spans="1:14" s="52" customFormat="1" ht="12.2" customHeight="1" thickTop="1" x14ac:dyDescent="0.2">
      <c r="A524" s="139" t="s">
        <v>63</v>
      </c>
      <c r="B524" s="107">
        <v>21</v>
      </c>
      <c r="C524" s="195">
        <v>4</v>
      </c>
      <c r="D524" s="196" t="s">
        <v>432</v>
      </c>
      <c r="E524" s="195"/>
      <c r="F524" s="108">
        <f>SUM(F521:F523)</f>
        <v>5649468.96</v>
      </c>
      <c r="G524" s="108">
        <f t="shared" ref="G524:L524" si="36">SUM(G521:G523)</f>
        <v>2482427.7400000002</v>
      </c>
      <c r="H524" s="108">
        <f t="shared" si="36"/>
        <v>2649513.38</v>
      </c>
      <c r="I524" s="108">
        <f t="shared" si="36"/>
        <v>71967.03</v>
      </c>
      <c r="J524" s="108">
        <f t="shared" si="36"/>
        <v>25360.710000000003</v>
      </c>
      <c r="K524" s="108">
        <f t="shared" si="36"/>
        <v>0</v>
      </c>
      <c r="L524" s="89">
        <f t="shared" si="36"/>
        <v>10878737.82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1500+25800.06+257400.26+631498.36+64026.02+260766.06+21887.37+1843.75+137190</f>
        <v>1401911.8800000001</v>
      </c>
      <c r="G526" s="18">
        <f>387.6+15689.82+111233.01+280366.75+15559.26+142426.85+1837.67+466.45+60081.06</f>
        <v>628048.47</v>
      </c>
      <c r="H526" s="18">
        <f>1793.5+11350+2656.92+30000+16137.48+1233.23+3473.33</f>
        <v>66644.459999999992</v>
      </c>
      <c r="I526" s="18">
        <f>1993.75+1779.95+1520.03+468.49+13</f>
        <v>5775.2199999999993</v>
      </c>
      <c r="J526" s="18"/>
      <c r="K526" s="18">
        <v>300</v>
      </c>
      <c r="L526" s="88">
        <f>SUM(F526:K526)</f>
        <v>2102680.0300000003</v>
      </c>
      <c r="M526" s="8"/>
      <c r="N526" s="266"/>
    </row>
    <row r="527" spans="1:14" s="3" customFormat="1" ht="12.2" customHeight="1" x14ac:dyDescent="0.15">
      <c r="A527" s="22" t="s">
        <v>634</v>
      </c>
      <c r="B527" s="105">
        <v>21</v>
      </c>
      <c r="C527" s="115">
        <v>6</v>
      </c>
      <c r="D527" s="2" t="s">
        <v>432</v>
      </c>
      <c r="E527" s="115"/>
      <c r="F527" s="18">
        <f>525+159200.08+61599.98+16575.9+45999.98</f>
        <v>283900.94</v>
      </c>
      <c r="G527" s="18">
        <f>133.34+75763.48+35461.37+1301.71+11833.21</f>
        <v>124493.11000000002</v>
      </c>
      <c r="H527" s="18">
        <f>1210+33800+160+1215.96+566.11</f>
        <v>36952.07</v>
      </c>
      <c r="I527" s="18">
        <f>2224.31+1274.44+87.17</f>
        <v>3585.92</v>
      </c>
      <c r="J527" s="18"/>
      <c r="K527" s="18"/>
      <c r="L527" s="88">
        <f>SUM(F527:K527)</f>
        <v>448932.04000000004</v>
      </c>
      <c r="M527" s="8"/>
      <c r="N527" s="266"/>
    </row>
    <row r="528" spans="1:14" s="3" customFormat="1" ht="12.2" customHeight="1" thickBot="1" x14ac:dyDescent="0.2">
      <c r="A528" s="22" t="s">
        <v>635</v>
      </c>
      <c r="B528" s="118">
        <v>21</v>
      </c>
      <c r="C528" s="118">
        <v>7</v>
      </c>
      <c r="D528" s="2" t="s">
        <v>432</v>
      </c>
      <c r="E528" s="118"/>
      <c r="F528" s="18">
        <f>47428.45+50+145676.94+48539.94+25658.35</f>
        <v>267353.68</v>
      </c>
      <c r="G528" s="18">
        <f>34286.67+12.59+52143.74+21514.48+2014.76</f>
        <v>109972.23999999999</v>
      </c>
      <c r="H528" s="18">
        <f>1096.5+3710.69+92592.33+55712.83+400</f>
        <v>153512.35</v>
      </c>
      <c r="I528" s="18">
        <f>231.9+393.26</f>
        <v>625.16</v>
      </c>
      <c r="J528" s="18"/>
      <c r="K528" s="18">
        <v>110</v>
      </c>
      <c r="L528" s="88">
        <f>SUM(F528:K528)</f>
        <v>531573.43000000005</v>
      </c>
      <c r="M528" s="8"/>
      <c r="N528" s="266"/>
    </row>
    <row r="529" spans="1:14" s="3" customFormat="1" ht="12.2" customHeight="1" thickTop="1" x14ac:dyDescent="0.15">
      <c r="A529" s="139" t="s">
        <v>65</v>
      </c>
      <c r="B529" s="107">
        <v>21</v>
      </c>
      <c r="C529" s="107">
        <v>8</v>
      </c>
      <c r="D529" s="158" t="s">
        <v>432</v>
      </c>
      <c r="E529" s="107"/>
      <c r="F529" s="89">
        <f>SUM(F526:F528)</f>
        <v>1953166.5</v>
      </c>
      <c r="G529" s="89">
        <f t="shared" ref="G529:L529" si="37">SUM(G526:G528)</f>
        <v>862513.82</v>
      </c>
      <c r="H529" s="89">
        <f>SUM(H526:H528)</f>
        <v>257108.88</v>
      </c>
      <c r="I529" s="89">
        <f>SUM(I526:I528)</f>
        <v>9986.2999999999993</v>
      </c>
      <c r="J529" s="89">
        <f t="shared" si="37"/>
        <v>0</v>
      </c>
      <c r="K529" s="89">
        <f t="shared" si="37"/>
        <v>410</v>
      </c>
      <c r="L529" s="89">
        <f t="shared" si="37"/>
        <v>3083185.5000000005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206541.51</v>
      </c>
      <c r="G531" s="18">
        <v>102711.02</v>
      </c>
      <c r="H531" s="18">
        <v>4617.8599999999997</v>
      </c>
      <c r="I531" s="18">
        <v>117.2</v>
      </c>
      <c r="J531" s="18"/>
      <c r="K531" s="18">
        <v>40888.43</v>
      </c>
      <c r="L531" s="88">
        <f>SUM(F531:K531)</f>
        <v>354876.02</v>
      </c>
      <c r="M531" s="8"/>
      <c r="N531" s="266"/>
    </row>
    <row r="532" spans="1:14" s="3" customFormat="1" ht="12.2" customHeight="1" x14ac:dyDescent="0.15">
      <c r="A532" s="22" t="s">
        <v>634</v>
      </c>
      <c r="B532" s="105">
        <v>21</v>
      </c>
      <c r="C532" s="105">
        <v>10</v>
      </c>
      <c r="D532" s="2" t="s">
        <v>432</v>
      </c>
      <c r="E532" s="105"/>
      <c r="F532" s="18">
        <v>80237.039999999994</v>
      </c>
      <c r="G532" s="18">
        <v>40837.269999999997</v>
      </c>
      <c r="H532" s="18"/>
      <c r="I532" s="18"/>
      <c r="J532" s="18"/>
      <c r="K532" s="18"/>
      <c r="L532" s="88">
        <f>SUM(F532:K532)</f>
        <v>121074.31</v>
      </c>
      <c r="M532" s="8"/>
      <c r="N532" s="266"/>
    </row>
    <row r="533" spans="1:14" s="3" customFormat="1" ht="12.2" customHeight="1" thickBot="1" x14ac:dyDescent="0.2">
      <c r="A533" s="22" t="s">
        <v>635</v>
      </c>
      <c r="B533" s="105">
        <v>21</v>
      </c>
      <c r="C533" s="105">
        <v>11</v>
      </c>
      <c r="D533" s="2" t="s">
        <v>432</v>
      </c>
      <c r="E533" s="105"/>
      <c r="F533" s="18">
        <v>111985.3</v>
      </c>
      <c r="G533" s="18">
        <v>61737.67</v>
      </c>
      <c r="H533" s="18"/>
      <c r="I533" s="18"/>
      <c r="J533" s="18"/>
      <c r="K533" s="18"/>
      <c r="L533" s="88">
        <f>SUM(F533:K533)</f>
        <v>173722.97</v>
      </c>
      <c r="M533" s="8"/>
      <c r="N533" s="266"/>
    </row>
    <row r="534" spans="1:14" s="3" customFormat="1" ht="12.2" customHeight="1" thickTop="1" x14ac:dyDescent="0.15">
      <c r="A534" s="139" t="s">
        <v>67</v>
      </c>
      <c r="B534" s="107">
        <v>21</v>
      </c>
      <c r="C534" s="107">
        <v>12</v>
      </c>
      <c r="D534" s="158" t="s">
        <v>432</v>
      </c>
      <c r="E534" s="107"/>
      <c r="F534" s="89">
        <f>SUM(F531:F533)</f>
        <v>398763.85</v>
      </c>
      <c r="G534" s="89">
        <f t="shared" ref="G534:L534" si="38">SUM(G531:G533)</f>
        <v>205285.96000000002</v>
      </c>
      <c r="H534" s="89">
        <f t="shared" si="38"/>
        <v>4617.8599999999997</v>
      </c>
      <c r="I534" s="89">
        <f t="shared" si="38"/>
        <v>117.2</v>
      </c>
      <c r="J534" s="89">
        <f t="shared" si="38"/>
        <v>0</v>
      </c>
      <c r="K534" s="89">
        <f t="shared" si="38"/>
        <v>40888.43</v>
      </c>
      <c r="L534" s="89">
        <f t="shared" si="38"/>
        <v>649673.30000000005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3302.21</v>
      </c>
      <c r="I536" s="18"/>
      <c r="J536" s="18"/>
      <c r="K536" s="18"/>
      <c r="L536" s="88">
        <f>SUM(F536:K536)</f>
        <v>3302.21</v>
      </c>
      <c r="M536" s="8"/>
      <c r="N536" s="266"/>
    </row>
    <row r="537" spans="1:14" s="3" customFormat="1" ht="12.2" customHeight="1" x14ac:dyDescent="0.15">
      <c r="A537" s="22" t="s">
        <v>634</v>
      </c>
      <c r="B537" s="105">
        <v>21</v>
      </c>
      <c r="C537" s="105">
        <v>14</v>
      </c>
      <c r="D537" s="2" t="s">
        <v>432</v>
      </c>
      <c r="E537" s="105"/>
      <c r="F537" s="18"/>
      <c r="G537" s="18"/>
      <c r="H537" s="18">
        <v>1453.9</v>
      </c>
      <c r="I537" s="4"/>
      <c r="J537" s="18"/>
      <c r="K537" s="18"/>
      <c r="L537" s="88">
        <f>SUM(F537:K537)</f>
        <v>1453.9</v>
      </c>
      <c r="M537" s="8"/>
      <c r="N537" s="266"/>
    </row>
    <row r="538" spans="1:14" s="3" customFormat="1" ht="12.2" customHeight="1" thickBot="1" x14ac:dyDescent="0.2">
      <c r="A538" s="22" t="s">
        <v>635</v>
      </c>
      <c r="B538" s="105">
        <v>21</v>
      </c>
      <c r="C538" s="105">
        <v>15</v>
      </c>
      <c r="D538" s="2" t="s">
        <v>432</v>
      </c>
      <c r="E538" s="105"/>
      <c r="F538" s="18"/>
      <c r="G538" s="18"/>
      <c r="H538" s="18">
        <v>3125.89</v>
      </c>
      <c r="I538" s="18"/>
      <c r="J538" s="18"/>
      <c r="K538" s="18"/>
      <c r="L538" s="88">
        <f>SUM(F538:K538)</f>
        <v>3125.89</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7882</v>
      </c>
      <c r="I539" s="89">
        <f t="shared" si="39"/>
        <v>0</v>
      </c>
      <c r="J539" s="89">
        <f t="shared" si="39"/>
        <v>0</v>
      </c>
      <c r="K539" s="89">
        <f t="shared" si="39"/>
        <v>0</v>
      </c>
      <c r="L539" s="89">
        <f t="shared" si="39"/>
        <v>7882</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386739.8</v>
      </c>
      <c r="I541" s="18"/>
      <c r="J541" s="18"/>
      <c r="K541" s="18"/>
      <c r="L541" s="88">
        <f>SUM(F541:K541)</f>
        <v>386739.8</v>
      </c>
      <c r="M541" s="8"/>
      <c r="N541" s="266"/>
    </row>
    <row r="542" spans="1:14" s="3" customFormat="1" ht="12.2" customHeight="1" x14ac:dyDescent="0.15">
      <c r="A542" s="22" t="s">
        <v>634</v>
      </c>
      <c r="B542" s="105">
        <v>21</v>
      </c>
      <c r="C542" s="105">
        <v>18</v>
      </c>
      <c r="D542" s="2" t="s">
        <v>432</v>
      </c>
      <c r="E542" s="105"/>
      <c r="F542" s="18"/>
      <c r="G542" s="18"/>
      <c r="H542" s="18">
        <v>247629.19</v>
      </c>
      <c r="I542" s="18"/>
      <c r="J542" s="18"/>
      <c r="K542" s="18"/>
      <c r="L542" s="88">
        <f>SUM(F542:K542)</f>
        <v>247629.19</v>
      </c>
      <c r="M542" s="8"/>
      <c r="N542" s="266"/>
    </row>
    <row r="543" spans="1:14" s="3" customFormat="1" ht="12.2" customHeight="1" thickBot="1" x14ac:dyDescent="0.2">
      <c r="A543" s="22" t="s">
        <v>635</v>
      </c>
      <c r="B543" s="105">
        <v>21</v>
      </c>
      <c r="C543" s="105">
        <v>19</v>
      </c>
      <c r="D543" s="2" t="s">
        <v>432</v>
      </c>
      <c r="E543" s="105"/>
      <c r="F543" s="18"/>
      <c r="G543" s="18"/>
      <c r="H543" s="18">
        <f>377103.01+107.5</f>
        <v>377210.51</v>
      </c>
      <c r="I543" s="18"/>
      <c r="J543" s="18"/>
      <c r="K543" s="18"/>
      <c r="L543" s="88">
        <f>SUM(F543:K543)</f>
        <v>377210.51</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1011579.5</v>
      </c>
      <c r="I544" s="193">
        <f t="shared" si="40"/>
        <v>0</v>
      </c>
      <c r="J544" s="193">
        <f t="shared" si="40"/>
        <v>0</v>
      </c>
      <c r="K544" s="193">
        <f t="shared" si="40"/>
        <v>0</v>
      </c>
      <c r="L544" s="193">
        <f t="shared" si="40"/>
        <v>1011579.5</v>
      </c>
      <c r="M544" s="8"/>
      <c r="N544" s="266"/>
    </row>
    <row r="545" spans="1:14" s="3" customFormat="1" ht="12.2" customHeight="1" thickTop="1" x14ac:dyDescent="0.15">
      <c r="A545" s="98" t="s">
        <v>72</v>
      </c>
      <c r="B545" s="107">
        <v>21</v>
      </c>
      <c r="C545" s="107">
        <v>21</v>
      </c>
      <c r="D545" s="158" t="s">
        <v>432</v>
      </c>
      <c r="E545" s="107"/>
      <c r="F545" s="89">
        <f>F524+F529+F534+F539+F544</f>
        <v>8001399.3099999996</v>
      </c>
      <c r="G545" s="89">
        <f t="shared" ref="G545:L545" si="41">G524+G529+G534+G539+G544</f>
        <v>3550227.52</v>
      </c>
      <c r="H545" s="89">
        <f t="shared" si="41"/>
        <v>3930701.6199999996</v>
      </c>
      <c r="I545" s="89">
        <f t="shared" si="41"/>
        <v>82070.53</v>
      </c>
      <c r="J545" s="89">
        <f t="shared" si="41"/>
        <v>25360.710000000003</v>
      </c>
      <c r="K545" s="89">
        <f t="shared" si="41"/>
        <v>41298.43</v>
      </c>
      <c r="L545" s="89">
        <f t="shared" si="41"/>
        <v>15631058.120000001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4558983.3199999994</v>
      </c>
      <c r="G549" s="87">
        <f>L526</f>
        <v>2102680.0300000003</v>
      </c>
      <c r="H549" s="87">
        <f>L531</f>
        <v>354876.02</v>
      </c>
      <c r="I549" s="87">
        <f>L536</f>
        <v>3302.21</v>
      </c>
      <c r="J549" s="87">
        <f>L541</f>
        <v>386739.8</v>
      </c>
      <c r="K549" s="87">
        <f>SUM(F549:J549)</f>
        <v>7406581.379999999</v>
      </c>
      <c r="L549" s="24" t="s">
        <v>288</v>
      </c>
      <c r="M549" s="8"/>
      <c r="N549" s="266"/>
    </row>
    <row r="550" spans="1:14" s="3" customFormat="1" ht="12.2" customHeight="1" x14ac:dyDescent="0.15">
      <c r="A550" s="22" t="s">
        <v>634</v>
      </c>
      <c r="B550" s="75">
        <v>21</v>
      </c>
      <c r="C550" s="75">
        <v>23</v>
      </c>
      <c r="D550" s="2" t="s">
        <v>432</v>
      </c>
      <c r="E550" s="75"/>
      <c r="F550" s="87">
        <f>L522</f>
        <v>2156077.61</v>
      </c>
      <c r="G550" s="87">
        <f>L527</f>
        <v>448932.04000000004</v>
      </c>
      <c r="H550" s="87">
        <f>L532</f>
        <v>121074.31</v>
      </c>
      <c r="I550" s="87">
        <f>L537</f>
        <v>1453.9</v>
      </c>
      <c r="J550" s="87">
        <f>L542</f>
        <v>247629.19</v>
      </c>
      <c r="K550" s="87">
        <f>SUM(F550:J550)</f>
        <v>2975167.05</v>
      </c>
      <c r="L550" s="24" t="s">
        <v>288</v>
      </c>
      <c r="M550" s="8"/>
      <c r="N550" s="266"/>
    </row>
    <row r="551" spans="1:14" s="3" customFormat="1" ht="12.2" customHeight="1" thickBot="1" x14ac:dyDescent="0.2">
      <c r="A551" s="22" t="s">
        <v>635</v>
      </c>
      <c r="B551" s="75">
        <v>21</v>
      </c>
      <c r="C551" s="75">
        <v>24</v>
      </c>
      <c r="D551" s="2" t="s">
        <v>432</v>
      </c>
      <c r="E551" s="75"/>
      <c r="F551" s="87">
        <f>L523</f>
        <v>4163676.89</v>
      </c>
      <c r="G551" s="87">
        <f>L528</f>
        <v>531573.43000000005</v>
      </c>
      <c r="H551" s="87">
        <f>L533</f>
        <v>173722.97</v>
      </c>
      <c r="I551" s="87">
        <f>L538</f>
        <v>3125.89</v>
      </c>
      <c r="J551" s="87">
        <f>L543</f>
        <v>377210.51</v>
      </c>
      <c r="K551" s="87">
        <f>SUM(F551:J551)</f>
        <v>5249309.6899999995</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10878737.82</v>
      </c>
      <c r="G552" s="89">
        <f t="shared" si="42"/>
        <v>3083185.5000000005</v>
      </c>
      <c r="H552" s="89">
        <f t="shared" si="42"/>
        <v>649673.30000000005</v>
      </c>
      <c r="I552" s="89">
        <f t="shared" si="42"/>
        <v>7882</v>
      </c>
      <c r="J552" s="89">
        <f t="shared" si="42"/>
        <v>1011579.5</v>
      </c>
      <c r="K552" s="89">
        <f t="shared" si="42"/>
        <v>15631058.119999999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146596.82</v>
      </c>
      <c r="G562" s="18">
        <v>32403.7</v>
      </c>
      <c r="H562" s="18">
        <v>571.51</v>
      </c>
      <c r="I562" s="18">
        <v>961.29</v>
      </c>
      <c r="J562" s="18">
        <v>158.03</v>
      </c>
      <c r="K562" s="18"/>
      <c r="L562" s="88">
        <f>SUM(F562:K562)</f>
        <v>180691.35000000003</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146596.82</v>
      </c>
      <c r="G565" s="89">
        <f t="shared" si="44"/>
        <v>32403.7</v>
      </c>
      <c r="H565" s="89">
        <f t="shared" si="44"/>
        <v>571.51</v>
      </c>
      <c r="I565" s="89">
        <f t="shared" si="44"/>
        <v>961.29</v>
      </c>
      <c r="J565" s="89">
        <f t="shared" si="44"/>
        <v>158.03</v>
      </c>
      <c r="K565" s="89">
        <f t="shared" si="44"/>
        <v>0</v>
      </c>
      <c r="L565" s="89">
        <f t="shared" si="44"/>
        <v>180691.35000000003</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v>43000.1</v>
      </c>
      <c r="G568" s="18">
        <v>31025.45</v>
      </c>
      <c r="H568" s="18"/>
      <c r="I568" s="18"/>
      <c r="J568" s="18"/>
      <c r="K568" s="18"/>
      <c r="L568" s="88">
        <f>SUM(F568:K568)</f>
        <v>74025.55</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43000.1</v>
      </c>
      <c r="G570" s="193">
        <f t="shared" ref="G570:L570" si="45">SUM(G567:G569)</f>
        <v>31025.45</v>
      </c>
      <c r="H570" s="193">
        <f t="shared" si="45"/>
        <v>0</v>
      </c>
      <c r="I570" s="193">
        <f t="shared" si="45"/>
        <v>0</v>
      </c>
      <c r="J570" s="193">
        <f t="shared" si="45"/>
        <v>0</v>
      </c>
      <c r="K570" s="193">
        <f t="shared" si="45"/>
        <v>0</v>
      </c>
      <c r="L570" s="193">
        <f t="shared" si="45"/>
        <v>74025.55</v>
      </c>
      <c r="M570" s="8"/>
      <c r="N570" s="266"/>
    </row>
    <row r="571" spans="1:14" s="3" customFormat="1" ht="12.2" customHeight="1" thickTop="1" x14ac:dyDescent="0.15">
      <c r="A571" s="98" t="s">
        <v>88</v>
      </c>
      <c r="B571" s="107">
        <v>22</v>
      </c>
      <c r="C571" s="107">
        <v>13</v>
      </c>
      <c r="D571" s="158" t="s">
        <v>432</v>
      </c>
      <c r="E571" s="107"/>
      <c r="F571" s="89">
        <f>F560+F565+F570</f>
        <v>189596.92</v>
      </c>
      <c r="G571" s="89">
        <f t="shared" ref="G571:L571" si="46">G560+G565+G570</f>
        <v>63429.15</v>
      </c>
      <c r="H571" s="89">
        <f t="shared" si="46"/>
        <v>571.51</v>
      </c>
      <c r="I571" s="89">
        <f t="shared" si="46"/>
        <v>961.29</v>
      </c>
      <c r="J571" s="89">
        <f t="shared" si="46"/>
        <v>158.03</v>
      </c>
      <c r="K571" s="89">
        <f t="shared" si="46"/>
        <v>0</v>
      </c>
      <c r="L571" s="89">
        <f t="shared" si="46"/>
        <v>254716.90000000002</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57472.03</v>
      </c>
      <c r="G579" s="18"/>
      <c r="H579" s="18">
        <v>121.07</v>
      </c>
      <c r="I579" s="87">
        <f t="shared" si="47"/>
        <v>57593.1</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5957.07</v>
      </c>
      <c r="G580" s="18">
        <v>780</v>
      </c>
      <c r="H580" s="18">
        <v>20668.099999999999</v>
      </c>
      <c r="I580" s="87">
        <f t="shared" si="47"/>
        <v>27405.17</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321789.53999999998</v>
      </c>
      <c r="G582" s="18">
        <v>560531.18999999994</v>
      </c>
      <c r="H582" s="18">
        <v>1446827.42</v>
      </c>
      <c r="I582" s="87">
        <f t="shared" si="47"/>
        <v>2329148.15</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3706.37</v>
      </c>
      <c r="I584" s="87">
        <f t="shared" si="47"/>
        <v>3706.37</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334611.57</v>
      </c>
      <c r="I591" s="18">
        <v>174216.77</v>
      </c>
      <c r="J591" s="18">
        <v>381638.06</v>
      </c>
      <c r="K591" s="104">
        <f t="shared" ref="K591:K597" si="48">SUM(H591:J591)</f>
        <v>890466.39999999991</v>
      </c>
      <c r="L591" s="24" t="s">
        <v>288</v>
      </c>
      <c r="M591" s="8"/>
      <c r="N591" s="266"/>
    </row>
    <row r="592" spans="1:14" s="3" customFormat="1" ht="12.2" customHeight="1" x14ac:dyDescent="0.15">
      <c r="A592" s="3" t="s">
        <v>638</v>
      </c>
      <c r="B592" s="75">
        <v>23</v>
      </c>
      <c r="C592" s="75">
        <v>2</v>
      </c>
      <c r="D592" s="2" t="s">
        <v>432</v>
      </c>
      <c r="E592" s="75"/>
      <c r="F592" s="102">
        <v>2722</v>
      </c>
      <c r="G592" s="103" t="s">
        <v>97</v>
      </c>
      <c r="H592" s="18">
        <v>386739.8</v>
      </c>
      <c r="I592" s="18">
        <v>247629.19</v>
      </c>
      <c r="J592" s="18">
        <v>377103.01</v>
      </c>
      <c r="K592" s="104">
        <f t="shared" si="48"/>
        <v>1011472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2213.64</v>
      </c>
      <c r="K593" s="104">
        <f t="shared" si="48"/>
        <v>2213.64</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21078</v>
      </c>
      <c r="J594" s="18">
        <v>127163.4</v>
      </c>
      <c r="K594" s="104">
        <f t="shared" si="48"/>
        <v>148241.4</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14120.27</v>
      </c>
      <c r="I595" s="18">
        <v>3669.26</v>
      </c>
      <c r="J595" s="18">
        <v>9885.65</v>
      </c>
      <c r="K595" s="104">
        <f t="shared" si="48"/>
        <v>27675.18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v>2934.07</v>
      </c>
      <c r="J597" s="18"/>
      <c r="K597" s="104">
        <f t="shared" si="48"/>
        <v>2934.07</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735471.64</v>
      </c>
      <c r="I598" s="108">
        <f>SUM(I591:I597)</f>
        <v>449527.29</v>
      </c>
      <c r="J598" s="108">
        <f>SUM(J591:J597)</f>
        <v>898003.76000000013</v>
      </c>
      <c r="K598" s="108">
        <f>SUM(K591:K597)</f>
        <v>2083002.6899999997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400118.98</v>
      </c>
      <c r="I604" s="18">
        <v>148351.07</v>
      </c>
      <c r="J604" s="18">
        <f>954.16+651873.52</f>
        <v>652827.68000000005</v>
      </c>
      <c r="K604" s="104">
        <f>SUM(H604:J604)</f>
        <v>1201297.73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400118.98</v>
      </c>
      <c r="I605" s="108">
        <f>SUM(I602:I604)</f>
        <v>148351.07</v>
      </c>
      <c r="J605" s="108">
        <f>SUM(J602:J604)</f>
        <v>652827.68000000005</v>
      </c>
      <c r="K605" s="108">
        <f>SUM(K602:K604)</f>
        <v>1201297.73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25099.45</v>
      </c>
      <c r="G611" s="18">
        <v>4687.0200000000004</v>
      </c>
      <c r="H611" s="18">
        <v>4325</v>
      </c>
      <c r="I611" s="18">
        <v>196.5</v>
      </c>
      <c r="J611" s="18"/>
      <c r="K611" s="18">
        <v>743.8</v>
      </c>
      <c r="L611" s="88">
        <f>SUM(F611:K611)</f>
        <v>35051.770000000004</v>
      </c>
      <c r="M611" s="8"/>
      <c r="N611" s="266"/>
    </row>
    <row r="612" spans="1:14" s="3" customFormat="1" ht="12.2" customHeight="1" x14ac:dyDescent="0.15">
      <c r="A612" s="22" t="s">
        <v>634</v>
      </c>
      <c r="B612" s="75">
        <v>23</v>
      </c>
      <c r="C612" s="75">
        <v>14</v>
      </c>
      <c r="D612" s="2" t="s">
        <v>432</v>
      </c>
      <c r="E612" s="75"/>
      <c r="F612" s="18">
        <v>5900</v>
      </c>
      <c r="G612" s="18">
        <v>1178.1500000000001</v>
      </c>
      <c r="H612" s="18"/>
      <c r="I612" s="18"/>
      <c r="J612" s="18"/>
      <c r="K612" s="18"/>
      <c r="L612" s="88">
        <f>SUM(F612:K612)</f>
        <v>7078.15</v>
      </c>
      <c r="M612" s="8"/>
      <c r="N612" s="266"/>
    </row>
    <row r="613" spans="1:14" s="3" customFormat="1" ht="12.2" customHeight="1" thickBot="1" x14ac:dyDescent="0.2">
      <c r="A613" s="22" t="s">
        <v>645</v>
      </c>
      <c r="B613" s="75">
        <v>23</v>
      </c>
      <c r="C613" s="75">
        <v>15</v>
      </c>
      <c r="D613" s="2" t="s">
        <v>432</v>
      </c>
      <c r="E613" s="75"/>
      <c r="F613" s="18">
        <v>13283.35</v>
      </c>
      <c r="G613" s="18">
        <v>2843.83</v>
      </c>
      <c r="H613" s="18"/>
      <c r="I613" s="18">
        <v>2515.31</v>
      </c>
      <c r="J613" s="18"/>
      <c r="K613" s="18"/>
      <c r="L613" s="88">
        <f>SUM(F613:K613)</f>
        <v>18642.490000000002</v>
      </c>
      <c r="M613" s="8"/>
      <c r="N613" s="266"/>
    </row>
    <row r="614" spans="1:14" s="3" customFormat="1" ht="12.2" customHeight="1" thickTop="1" x14ac:dyDescent="0.15">
      <c r="A614" s="98" t="s">
        <v>340</v>
      </c>
      <c r="B614" s="107">
        <v>23</v>
      </c>
      <c r="C614" s="107">
        <v>16</v>
      </c>
      <c r="D614" s="39" t="s">
        <v>432</v>
      </c>
      <c r="E614" s="107"/>
      <c r="F614" s="108">
        <f t="shared" ref="F614:L614" si="49">SUM(F611:F613)</f>
        <v>44282.8</v>
      </c>
      <c r="G614" s="108">
        <f t="shared" si="49"/>
        <v>8709</v>
      </c>
      <c r="H614" s="108">
        <f t="shared" si="49"/>
        <v>4325</v>
      </c>
      <c r="I614" s="108">
        <f t="shared" si="49"/>
        <v>2711.81</v>
      </c>
      <c r="J614" s="108">
        <f t="shared" si="49"/>
        <v>0</v>
      </c>
      <c r="K614" s="108">
        <f t="shared" si="49"/>
        <v>743.8</v>
      </c>
      <c r="L614" s="89">
        <f t="shared" si="49"/>
        <v>60772.41</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5120507.1399999997</v>
      </c>
      <c r="H617" s="109">
        <f>SUM(F52)</f>
        <v>5120507.1399999997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529786.71</v>
      </c>
      <c r="H618" s="109">
        <f>SUM(G52)</f>
        <v>529786.71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822725.33000000007</v>
      </c>
      <c r="H619" s="109">
        <f>SUM(H52)</f>
        <v>822725.33</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9007.83</v>
      </c>
      <c r="H620" s="109">
        <f>SUM(I52)</f>
        <v>9007.83</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815958.19</v>
      </c>
      <c r="H621" s="109">
        <f>SUM(J52)</f>
        <v>815958.19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3758615.98</v>
      </c>
      <c r="H622" s="109">
        <f>F476</f>
        <v>3758615.9800000042</v>
      </c>
      <c r="I622" s="121" t="s">
        <v>101</v>
      </c>
      <c r="J622" s="109">
        <f t="shared" ref="J622:J655" si="50">G622-H622</f>
        <v>-4.1909515857696533E-9</v>
      </c>
      <c r="K622" s="109"/>
      <c r="L622" s="109"/>
      <c r="M622" s="8"/>
    </row>
    <row r="623" spans="1:14" s="3" customFormat="1" ht="12.2" customHeight="1" x14ac:dyDescent="0.15">
      <c r="A623" s="97"/>
      <c r="B623" s="105"/>
      <c r="C623" s="119"/>
      <c r="D623" s="119"/>
      <c r="E623" s="119"/>
      <c r="F623" s="119" t="s">
        <v>866</v>
      </c>
      <c r="G623" s="109">
        <f>G51</f>
        <v>489906.83</v>
      </c>
      <c r="H623" s="109">
        <f>G476</f>
        <v>489906.83000000007</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259964.56999999998</v>
      </c>
      <c r="H624" s="109">
        <f>H476</f>
        <v>259964.56999999983</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9007.83</v>
      </c>
      <c r="H625" s="109">
        <f>I476</f>
        <v>9007.8299999999581</v>
      </c>
      <c r="I625" s="121" t="s">
        <v>104</v>
      </c>
      <c r="J625" s="109">
        <f t="shared" si="50"/>
        <v>4.1836756281554699E-11</v>
      </c>
      <c r="K625" s="109"/>
      <c r="L625" s="109"/>
      <c r="M625" s="8"/>
    </row>
    <row r="626" spans="1:13" s="3" customFormat="1" ht="12.2" customHeight="1" x14ac:dyDescent="0.15">
      <c r="A626" s="22"/>
      <c r="B626" s="105"/>
      <c r="C626" s="105"/>
      <c r="D626" s="105"/>
      <c r="E626" s="105"/>
      <c r="F626" s="120" t="s">
        <v>869</v>
      </c>
      <c r="G626" s="109">
        <f>J51</f>
        <v>815958.19</v>
      </c>
      <c r="H626" s="109">
        <f>J476</f>
        <v>815958.19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61187764.560000002</v>
      </c>
      <c r="H627" s="104">
        <f>SUM(F468)</f>
        <v>61187764.560000002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1522898.87</v>
      </c>
      <c r="H628" s="104">
        <f>SUM(G468)</f>
        <v>1522898.87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2906188.54</v>
      </c>
      <c r="H629" s="104">
        <f>SUM(H468)</f>
        <v>2906188.5399999996</v>
      </c>
      <c r="I629" s="140" t="s">
        <v>108</v>
      </c>
      <c r="J629" s="109">
        <f>G629-H629</f>
        <v>0</v>
      </c>
      <c r="K629" s="85"/>
      <c r="L629" s="88"/>
      <c r="M629" s="8"/>
    </row>
    <row r="630" spans="1:13" s="3" customFormat="1" ht="12.2" customHeight="1" x14ac:dyDescent="0.15">
      <c r="A630" s="22"/>
      <c r="B630" s="105"/>
      <c r="C630" s="105"/>
      <c r="D630" s="105"/>
      <c r="E630" s="105"/>
      <c r="F630" s="120" t="s">
        <v>661</v>
      </c>
      <c r="G630" s="109">
        <f>I193</f>
        <v>612638.85</v>
      </c>
      <c r="H630" s="104">
        <f>SUM(I468)</f>
        <v>612638.85</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117271.1</v>
      </c>
      <c r="H631" s="104">
        <f>SUM(J468)</f>
        <v>117271.1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59858320.359999999</v>
      </c>
      <c r="H632" s="104">
        <f>SUM(F472)</f>
        <v>59858320.359999999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2916981.09</v>
      </c>
      <c r="H633" s="104">
        <f>SUM(H472)</f>
        <v>2916981.09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757477.01</v>
      </c>
      <c r="H634" s="104">
        <f>I369</f>
        <v>757477.01</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1537082.85</v>
      </c>
      <c r="H635" s="104">
        <f>SUM(G472)</f>
        <v>1537082.85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652831.0199999999</v>
      </c>
      <c r="H636" s="104">
        <f>SUM(I472)</f>
        <v>652831.02</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117271.1</v>
      </c>
      <c r="H637" s="164">
        <f>SUM(J468)</f>
        <v>117271.1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815958.19</v>
      </c>
      <c r="H640" s="104">
        <f>SUM(G461)</f>
        <v>815958.19</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815958.19</v>
      </c>
      <c r="H642" s="104">
        <f>SUM(I461)</f>
        <v>815958.19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17271.099999999999</v>
      </c>
      <c r="H644" s="104">
        <f>H408</f>
        <v>17271.100000000002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100000</v>
      </c>
      <c r="H645" s="104">
        <f>G408</f>
        <v>100000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117271.1</v>
      </c>
      <c r="H646" s="104">
        <f>L408</f>
        <v>117271.1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2083002.6899999997</v>
      </c>
      <c r="H647" s="104">
        <f>L208+L226+L244</f>
        <v>2083002.69</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1201297.73</v>
      </c>
      <c r="H648" s="104">
        <f>(J257+J338)-(J255+J336)</f>
        <v>1201297.73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735471.64</v>
      </c>
      <c r="H649" s="104">
        <f>H598</f>
        <v>735471.64</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449527.29</v>
      </c>
      <c r="H650" s="104">
        <f>I598</f>
        <v>449527.29</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898003.76000000013</v>
      </c>
      <c r="H651" s="104">
        <f>J598</f>
        <v>898003.76000000013</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162818.85</v>
      </c>
      <c r="H654" s="104">
        <f>K265+K346</f>
        <v>162818.85</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100000</v>
      </c>
      <c r="H655" s="104">
        <f>K266+K347</f>
        <v>100000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22539305.010000002</v>
      </c>
      <c r="G660" s="19">
        <f>(L229+L309+L359)</f>
        <v>10705455.149999997</v>
      </c>
      <c r="H660" s="19">
        <f>(L247+L328+L360)</f>
        <v>24354363.560000002</v>
      </c>
      <c r="I660" s="19">
        <f>SUM(F660:H660)</f>
        <v>57599123.719999999</v>
      </c>
      <c r="J660" s="13"/>
      <c r="K660" s="13"/>
      <c r="L660" s="13"/>
      <c r="M660" s="9"/>
    </row>
    <row r="661" spans="1:13" s="3" customFormat="1" ht="12.2" customHeight="1" x14ac:dyDescent="0.2">
      <c r="A661" s="1" t="s">
        <v>127</v>
      </c>
      <c r="F661" s="19">
        <f>(L358/IF(SUM(L358:L360)=0,1,SUM(L358:L360))*(SUM(G97:G110)))</f>
        <v>196727.20462747209</v>
      </c>
      <c r="G661" s="19">
        <f>(L359/IF(SUM(L358:L360)=0,1,SUM(L358:L360))*(SUM(G97:G110)))</f>
        <v>193050.15019875651</v>
      </c>
      <c r="H661" s="19">
        <f>(L360/IF(SUM(L358:L360)=0,1,SUM(L358:L360))*(SUM(G97:G110)))</f>
        <v>384448.96517377131</v>
      </c>
      <c r="I661" s="19">
        <f>SUM(F661:H661)</f>
        <v>774226.31999999983</v>
      </c>
      <c r="J661"/>
      <c r="K661" s="13"/>
      <c r="L661" s="13"/>
      <c r="M661" s="9"/>
    </row>
    <row r="662" spans="1:13" s="3" customFormat="1" ht="12.2" customHeight="1" x14ac:dyDescent="0.2">
      <c r="A662" s="1" t="s">
        <v>128</v>
      </c>
      <c r="F662" s="19">
        <f>(L208+L287)-(J208+J287)</f>
        <v>735471.64</v>
      </c>
      <c r="G662" s="19">
        <f>(L226+L306)-(J226+J306)</f>
        <v>449527.29</v>
      </c>
      <c r="H662" s="19">
        <f>(L244+L325)-(J244+J325)</f>
        <v>902433.76000000013</v>
      </c>
      <c r="I662" s="19">
        <f>SUM(F662:H662)</f>
        <v>2087432.69</v>
      </c>
      <c r="J662"/>
      <c r="K662" s="13"/>
      <c r="L662" s="13"/>
      <c r="M662" s="8"/>
    </row>
    <row r="663" spans="1:13" s="3" customFormat="1" ht="12.2" customHeight="1" x14ac:dyDescent="0.15">
      <c r="A663" s="198" t="s">
        <v>129</v>
      </c>
      <c r="B663" s="169"/>
      <c r="C663" s="169"/>
      <c r="D663" s="169"/>
      <c r="E663" s="169"/>
      <c r="F663" s="199">
        <f>SUM(F575:F587)+SUM(H602:H604)+SUM(L611)</f>
        <v>820389.3899999999</v>
      </c>
      <c r="G663" s="199">
        <f>SUM(G575:G587)+SUM(I602:I604)+L612</f>
        <v>716740.41</v>
      </c>
      <c r="H663" s="199">
        <f>SUM(H575:H587)+SUM(J602:J604)+L613</f>
        <v>2142793.1300000004</v>
      </c>
      <c r="I663" s="19">
        <f>SUM(F663:H663)</f>
        <v>3679922.93</v>
      </c>
      <c r="J663" s="13"/>
      <c r="K663" s="13"/>
      <c r="L663" s="13"/>
      <c r="M663" s="9"/>
    </row>
    <row r="664" spans="1:13" s="3" customFormat="1" ht="12.2" customHeight="1" x14ac:dyDescent="0.15">
      <c r="A664" s="1" t="s">
        <v>130</v>
      </c>
      <c r="F664" s="19">
        <f>F660-SUM(F661:F663)</f>
        <v>20786716.775372531</v>
      </c>
      <c r="G664" s="19">
        <f>G660-SUM(G661:G663)</f>
        <v>9346137.2998012397</v>
      </c>
      <c r="H664" s="19">
        <f>H660-SUM(H661:H663)</f>
        <v>20924687.704826232</v>
      </c>
      <c r="I664" s="19">
        <f>I660-SUM(I661:I663)</f>
        <v>51057541.780000001</v>
      </c>
      <c r="J664" s="13"/>
      <c r="K664" s="13"/>
      <c r="L664" s="13"/>
      <c r="M664" s="9"/>
    </row>
    <row r="665" spans="1:13" s="3" customFormat="1" ht="12.2" customHeight="1" x14ac:dyDescent="0.2">
      <c r="A665" s="1" t="s">
        <v>131</v>
      </c>
      <c r="F665" s="246">
        <v>1177.44</v>
      </c>
      <c r="G665" s="247">
        <v>708.66</v>
      </c>
      <c r="H665" s="247">
        <v>1357.06</v>
      </c>
      <c r="I665" s="19">
        <f>SUM(F665:H665)</f>
        <v>3243.16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17654.16</v>
      </c>
      <c r="G667" s="19">
        <f>ROUND(G664/G665,2)</f>
        <v>13188.46</v>
      </c>
      <c r="H667" s="19">
        <f>ROUND(H664/H665,2)</f>
        <v>15419.13</v>
      </c>
      <c r="I667" s="19">
        <f>ROUND(I664/I665,2)</f>
        <v>15743.15</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18.34</v>
      </c>
      <c r="I670" s="19">
        <f>SUM(F670:H670)</f>
        <v>18.34</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17654.16</v>
      </c>
      <c r="G672" s="19">
        <f>ROUND((G664+G669)/(G665+G670),2)</f>
        <v>13188.46</v>
      </c>
      <c r="H672" s="19">
        <f>ROUND((H664+H669)/(H665+H670),2)</f>
        <v>15213.53</v>
      </c>
      <c r="I672" s="19">
        <f>ROUND((I664+I669)/(I665+I670),2)</f>
        <v>15654.62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Keene</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13850974.940000001</v>
      </c>
      <c r="C9" s="229">
        <f>'DOE25'!G197+'DOE25'!G215+'DOE25'!G233+'DOE25'!G276+'DOE25'!G295+'DOE25'!G314</f>
        <v>6608903.9500000002</v>
      </c>
    </row>
    <row r="10" spans="1:3" x14ac:dyDescent="0.2">
      <c r="A10" t="s">
        <v>775</v>
      </c>
      <c r="B10" s="240">
        <f>11937844.55+4962.5</f>
        <v>11942807.050000001</v>
      </c>
      <c r="C10" s="240">
        <v>6166467.7599999998</v>
      </c>
    </row>
    <row r="11" spans="1:3" x14ac:dyDescent="0.2">
      <c r="A11" t="s">
        <v>776</v>
      </c>
      <c r="B11" s="240">
        <f>689767.72</f>
        <v>689767.72</v>
      </c>
      <c r="C11" s="240">
        <v>354216.24</v>
      </c>
    </row>
    <row r="12" spans="1:3" x14ac:dyDescent="0.2">
      <c r="A12" t="s">
        <v>777</v>
      </c>
      <c r="B12" s="240">
        <f>501886.22+750.75+65198.12+650565.08</f>
        <v>1218400.17</v>
      </c>
      <c r="C12" s="240">
        <v>88219.95</v>
      </c>
    </row>
    <row r="13" spans="1:3" x14ac:dyDescent="0.2">
      <c r="A13" t="str">
        <f>IF(B9=B13,IF(C9=C13,"Check Total OK","Check Total Error"),"Check Total Error")</f>
        <v>Check Total OK</v>
      </c>
      <c r="B13" s="231">
        <f>SUM(B10:B12)</f>
        <v>13850974.940000001</v>
      </c>
      <c r="C13" s="231">
        <f>SUM(C10:C12)</f>
        <v>6608903.9500000002</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5816740.2800000003</v>
      </c>
      <c r="C18" s="229">
        <f>'DOE25'!G198+'DOE25'!G216+'DOE25'!G234+'DOE25'!G277+'DOE25'!G296+'DOE25'!G315</f>
        <v>2568182.4899999998</v>
      </c>
    </row>
    <row r="19" spans="1:3" x14ac:dyDescent="0.2">
      <c r="A19" t="s">
        <v>775</v>
      </c>
      <c r="B19" s="240">
        <f>2876765.15+124271.22+43000.1</f>
        <v>3044036.47</v>
      </c>
      <c r="C19" s="240">
        <v>1770786.3</v>
      </c>
    </row>
    <row r="20" spans="1:3" x14ac:dyDescent="0.2">
      <c r="A20" t="s">
        <v>776</v>
      </c>
      <c r="B20" s="240">
        <f>1158467.15</f>
        <v>1158467.1499999999</v>
      </c>
      <c r="C20" s="240">
        <v>673907.09</v>
      </c>
    </row>
    <row r="21" spans="1:3" x14ac:dyDescent="0.2">
      <c r="A21" t="s">
        <v>777</v>
      </c>
      <c r="B21" s="240">
        <f>20746.25+1593490.41</f>
        <v>1614236.66</v>
      </c>
      <c r="C21" s="240">
        <v>123489.1</v>
      </c>
    </row>
    <row r="22" spans="1:3" x14ac:dyDescent="0.2">
      <c r="A22" t="str">
        <f>IF(B18=B22,IF(C18=C22,"Check Total OK","Check Total Error"),"Check Total Error")</f>
        <v>Check Total OK</v>
      </c>
      <c r="B22" s="231">
        <f>SUM(B19:B21)</f>
        <v>5816740.2800000003</v>
      </c>
      <c r="C22" s="231">
        <f>SUM(C19:C21)</f>
        <v>2568182.4900000002</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909502.09</v>
      </c>
      <c r="C27" s="234">
        <f>'DOE25'!G199+'DOE25'!G217+'DOE25'!G235+'DOE25'!G278+'DOE25'!G297+'DOE25'!G316</f>
        <v>418007.42000000004</v>
      </c>
    </row>
    <row r="28" spans="1:3" x14ac:dyDescent="0.2">
      <c r="A28" t="s">
        <v>775</v>
      </c>
      <c r="B28" s="240">
        <v>819365.74</v>
      </c>
      <c r="C28" s="240">
        <v>411111.99</v>
      </c>
    </row>
    <row r="29" spans="1:3" x14ac:dyDescent="0.2">
      <c r="A29" t="s">
        <v>776</v>
      </c>
      <c r="B29" s="240">
        <v>0</v>
      </c>
      <c r="C29" s="240">
        <v>0</v>
      </c>
    </row>
    <row r="30" spans="1:3" x14ac:dyDescent="0.2">
      <c r="A30" t="s">
        <v>777</v>
      </c>
      <c r="B30" s="240">
        <f>83498.85+6637.5</f>
        <v>90136.35</v>
      </c>
      <c r="C30" s="240">
        <v>6895.43</v>
      </c>
    </row>
    <row r="31" spans="1:3" x14ac:dyDescent="0.2">
      <c r="A31" t="str">
        <f>IF(B27=B31,IF(C27=C31,"Check Total OK","Check Total Error"),"Check Total Error")</f>
        <v>Check Total OK</v>
      </c>
      <c r="B31" s="231">
        <f>SUM(B28:B30)</f>
        <v>909502.09</v>
      </c>
      <c r="C31" s="231">
        <f>SUM(C28:C30)</f>
        <v>418007.42</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511642.83999999997</v>
      </c>
      <c r="C36" s="235">
        <f>'DOE25'!G200+'DOE25'!G218+'DOE25'!G236+'DOE25'!G279+'DOE25'!G298+'DOE25'!G317</f>
        <v>134288.04</v>
      </c>
    </row>
    <row r="37" spans="1:3" x14ac:dyDescent="0.2">
      <c r="A37" t="s">
        <v>775</v>
      </c>
      <c r="B37" s="240">
        <f>106054.39+212088.15+33251.9+5900</f>
        <v>357294.44</v>
      </c>
      <c r="C37" s="240">
        <v>93777.08</v>
      </c>
    </row>
    <row r="38" spans="1:3" x14ac:dyDescent="0.2">
      <c r="A38" t="s">
        <v>776</v>
      </c>
      <c r="B38" s="240">
        <f>3620.9</f>
        <v>3620.9</v>
      </c>
      <c r="C38" s="240">
        <v>950.36</v>
      </c>
    </row>
    <row r="39" spans="1:3" x14ac:dyDescent="0.2">
      <c r="A39" t="s">
        <v>777</v>
      </c>
      <c r="B39" s="240">
        <f>95539.86+44362.64+9315+500+1010</f>
        <v>150727.5</v>
      </c>
      <c r="C39" s="240">
        <v>39560.6</v>
      </c>
    </row>
    <row r="40" spans="1:3" x14ac:dyDescent="0.2">
      <c r="A40" t="str">
        <f>IF(B36=B40,IF(C36=C40,"Check Total OK","Check Total Error"),"Check Total Error")</f>
        <v>Check Total OK</v>
      </c>
      <c r="B40" s="231">
        <f>SUM(B37:B39)</f>
        <v>511642.84</v>
      </c>
      <c r="C40" s="231">
        <f>SUM(C37:C39)</f>
        <v>134288.04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12" activePane="bottomLeft" state="frozen"/>
      <selection activeCell="F46" sqref="F46"/>
      <selection pane="bottomLeft" sqref="A1:I53"/>
    </sheetView>
  </sheetViews>
  <sheetFormatPr defaultRowHeight="11.25" x14ac:dyDescent="0.2"/>
  <cols>
    <col min="1" max="1" width="10.83203125" customWidth="1"/>
    <col min="2" max="2" width="41.1640625" customWidth="1"/>
    <col min="3" max="3" width="17.33203125" bestFit="1" customWidth="1"/>
    <col min="4" max="5" width="17.83203125" customWidth="1"/>
    <col min="6" max="6" width="17" customWidth="1"/>
    <col min="7" max="7" width="15.5" customWidth="1"/>
    <col min="8" max="8" width="18.1640625" bestFit="1" customWidth="1"/>
    <col min="9" max="9" width="16.33203125" bestFit="1" customWidth="1"/>
  </cols>
  <sheetData>
    <row r="1" spans="1:9" x14ac:dyDescent="0.2">
      <c r="A1" s="325" t="s">
        <v>894</v>
      </c>
      <c r="B1" s="329"/>
      <c r="C1" s="329"/>
      <c r="D1" s="329"/>
      <c r="E1" s="329"/>
      <c r="F1" s="329"/>
      <c r="G1" s="329"/>
      <c r="H1" s="329"/>
      <c r="I1" s="181"/>
    </row>
    <row r="2" spans="1:9" x14ac:dyDescent="0.2">
      <c r="A2" s="33" t="s">
        <v>713</v>
      </c>
      <c r="B2" s="260" t="str">
        <f>'DOE25'!A2</f>
        <v>Keene</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33662713.870000005</v>
      </c>
      <c r="D5" s="20">
        <f>SUM('DOE25'!L197:L200)+SUM('DOE25'!L215:L218)+SUM('DOE25'!L233:L236)-F5-G5-H5</f>
        <v>33449613.390000004</v>
      </c>
      <c r="E5" s="243"/>
      <c r="F5" s="244">
        <v>30000</v>
      </c>
      <c r="G5" s="53">
        <f>SUM('DOE25'!J197:J200)+SUM('DOE25'!J215:J218)+SUM('DOE25'!J233:J236)</f>
        <v>155026.01</v>
      </c>
      <c r="H5" s="53">
        <f>SUM('DOE25'!K197:K200)+SUM('DOE25'!K215:K218)+SUM('DOE25'!K233:K236)</f>
        <v>28074.47</v>
      </c>
      <c r="I5" s="256"/>
    </row>
    <row r="6" spans="1:9" x14ac:dyDescent="0.2">
      <c r="A6" s="32">
        <v>2100</v>
      </c>
      <c r="B6" t="s">
        <v>796</v>
      </c>
      <c r="C6" s="276">
        <f t="shared" si="0"/>
        <v>4886892.82</v>
      </c>
      <c r="D6" s="20">
        <f>'DOE25'!L202+'DOE25'!L220+'DOE25'!L238-F6-G6-H6</f>
        <v>4785544.5199999996</v>
      </c>
      <c r="E6" s="243"/>
      <c r="F6" s="244">
        <f>30391.32+38696+30475</f>
        <v>99562.32</v>
      </c>
      <c r="G6" s="53">
        <f>'DOE25'!J202+'DOE25'!J220+'DOE25'!J238</f>
        <v>756.98</v>
      </c>
      <c r="H6" s="53">
        <f>'DOE25'!K202+'DOE25'!K220+'DOE25'!K238</f>
        <v>1029</v>
      </c>
      <c r="I6" s="256"/>
    </row>
    <row r="7" spans="1:9" x14ac:dyDescent="0.2">
      <c r="A7" s="32">
        <v>2200</v>
      </c>
      <c r="B7" t="s">
        <v>821</v>
      </c>
      <c r="C7" s="276">
        <f t="shared" si="0"/>
        <v>1095833.29</v>
      </c>
      <c r="D7" s="20">
        <f>'DOE25'!L203+'DOE25'!L221+'DOE25'!L239-F7-G7-H7</f>
        <v>1073354.8600000001</v>
      </c>
      <c r="E7" s="243"/>
      <c r="F7" s="244"/>
      <c r="G7" s="53">
        <f>'DOE25'!J203+'DOE25'!J221+'DOE25'!J239</f>
        <v>18043.63</v>
      </c>
      <c r="H7" s="53">
        <f>'DOE25'!K203+'DOE25'!K221+'DOE25'!K239</f>
        <v>4434.8</v>
      </c>
      <c r="I7" s="256"/>
    </row>
    <row r="8" spans="1:9" x14ac:dyDescent="0.2">
      <c r="A8" s="32">
        <v>2300</v>
      </c>
      <c r="B8" t="s">
        <v>797</v>
      </c>
      <c r="C8" s="276">
        <f t="shared" si="0"/>
        <v>2297416.5500000003</v>
      </c>
      <c r="D8" s="243"/>
      <c r="E8" s="20">
        <f>'DOE25'!L204+'DOE25'!L222+'DOE25'!L240-F8-G8-H8-D9-D11</f>
        <v>2264644.62</v>
      </c>
      <c r="F8" s="244"/>
      <c r="G8" s="53">
        <f>'DOE25'!J204+'DOE25'!J222+'DOE25'!J240</f>
        <v>0</v>
      </c>
      <c r="H8" s="53">
        <f>'DOE25'!K204+'DOE25'!K222+'DOE25'!K240</f>
        <v>32771.93</v>
      </c>
      <c r="I8" s="256"/>
    </row>
    <row r="9" spans="1:9" ht="14.25" x14ac:dyDescent="0.2">
      <c r="A9" s="32">
        <v>2310</v>
      </c>
      <c r="B9" s="185" t="s">
        <v>890</v>
      </c>
      <c r="C9" s="276">
        <f t="shared" si="0"/>
        <v>297440.02</v>
      </c>
      <c r="D9" s="244">
        <f>319290.02-21850</f>
        <v>297440.02</v>
      </c>
      <c r="E9" s="243"/>
      <c r="F9" s="253"/>
      <c r="G9" s="253"/>
      <c r="H9" s="253"/>
      <c r="I9" s="256"/>
    </row>
    <row r="10" spans="1:9" ht="14.25" x14ac:dyDescent="0.2">
      <c r="A10" s="32">
        <v>2317</v>
      </c>
      <c r="B10" s="185" t="s">
        <v>891</v>
      </c>
      <c r="C10" s="276">
        <f t="shared" si="0"/>
        <v>21850</v>
      </c>
      <c r="D10" s="243"/>
      <c r="E10" s="244">
        <v>21850</v>
      </c>
      <c r="F10" s="253"/>
      <c r="G10" s="253"/>
      <c r="H10" s="253"/>
      <c r="I10" s="256"/>
    </row>
    <row r="11" spans="1:9" ht="14.25" x14ac:dyDescent="0.2">
      <c r="A11" s="32">
        <v>2321</v>
      </c>
      <c r="B11" s="185" t="s">
        <v>892</v>
      </c>
      <c r="C11" s="276">
        <f t="shared" si="0"/>
        <v>410702</v>
      </c>
      <c r="D11" s="244">
        <v>410702</v>
      </c>
      <c r="E11" s="243"/>
      <c r="F11" s="253"/>
      <c r="G11" s="253"/>
      <c r="H11" s="253"/>
      <c r="I11" s="256"/>
    </row>
    <row r="12" spans="1:9" x14ac:dyDescent="0.2">
      <c r="A12" s="32">
        <v>2400</v>
      </c>
      <c r="B12" t="s">
        <v>711</v>
      </c>
      <c r="C12" s="276">
        <f t="shared" si="0"/>
        <v>2994286.4899999998</v>
      </c>
      <c r="D12" s="20">
        <f>'DOE25'!L205+'DOE25'!L223+'DOE25'!L241-F12-G12-H12</f>
        <v>2927219.86</v>
      </c>
      <c r="E12" s="243"/>
      <c r="F12" s="244">
        <v>30777.43</v>
      </c>
      <c r="G12" s="53">
        <f>'DOE25'!J205+'DOE25'!J223+'DOE25'!J241</f>
        <v>22054.01</v>
      </c>
      <c r="H12" s="53">
        <f>'DOE25'!K205+'DOE25'!K223+'DOE25'!K241</f>
        <v>14235.189999999999</v>
      </c>
      <c r="I12" s="256"/>
    </row>
    <row r="13" spans="1:9" x14ac:dyDescent="0.2">
      <c r="A13" s="32">
        <v>2500</v>
      </c>
      <c r="B13" t="s">
        <v>798</v>
      </c>
      <c r="C13" s="276">
        <f t="shared" si="0"/>
        <v>15258.35</v>
      </c>
      <c r="D13" s="243"/>
      <c r="E13" s="20">
        <f>'DOE25'!L206+'DOE25'!L224+'DOE25'!L242-F13-G13-H13</f>
        <v>14538.35</v>
      </c>
      <c r="F13" s="244"/>
      <c r="G13" s="53">
        <f>'DOE25'!J206+'DOE25'!J224+'DOE25'!J242</f>
        <v>0</v>
      </c>
      <c r="H13" s="53">
        <f>'DOE25'!K206+'DOE25'!K224+'DOE25'!K242</f>
        <v>720</v>
      </c>
      <c r="I13" s="256"/>
    </row>
    <row r="14" spans="1:9" x14ac:dyDescent="0.2">
      <c r="A14" s="32">
        <v>2600</v>
      </c>
      <c r="B14" t="s">
        <v>819</v>
      </c>
      <c r="C14" s="276">
        <f t="shared" si="0"/>
        <v>5025167</v>
      </c>
      <c r="D14" s="20">
        <f>'DOE25'!L207+'DOE25'!L225+'DOE25'!L243-F14-G14-H14</f>
        <v>4579789.1800000006</v>
      </c>
      <c r="E14" s="243"/>
      <c r="F14" s="244">
        <f>47830+110000+57847.09</f>
        <v>215677.09</v>
      </c>
      <c r="G14" s="53">
        <f>'DOE25'!J207+'DOE25'!J225+'DOE25'!J243</f>
        <v>210135.72000000003</v>
      </c>
      <c r="H14" s="53">
        <f>'DOE25'!K207+'DOE25'!K225+'DOE25'!K243</f>
        <v>19565.010000000002</v>
      </c>
      <c r="I14" s="256"/>
    </row>
    <row r="15" spans="1:9" x14ac:dyDescent="0.2">
      <c r="A15" s="32">
        <v>2700</v>
      </c>
      <c r="B15" t="s">
        <v>799</v>
      </c>
      <c r="C15" s="276">
        <f t="shared" si="0"/>
        <v>2083002.69</v>
      </c>
      <c r="D15" s="20">
        <f>'DOE25'!L208+'DOE25'!L226+'DOE25'!L244-F15-G15-H15</f>
        <v>106742.3899999999</v>
      </c>
      <c r="E15" s="243"/>
      <c r="F15" s="244">
        <f>1489755+28620+457885.3</f>
        <v>1976260.3</v>
      </c>
      <c r="G15" s="53">
        <f>'DOE25'!J208+'DOE25'!J226+'DOE25'!J244</f>
        <v>0</v>
      </c>
      <c r="H15" s="53">
        <f>'DOE25'!K208+'DOE25'!K226+'DOE25'!K244</f>
        <v>0</v>
      </c>
      <c r="I15" s="256"/>
    </row>
    <row r="16" spans="1:9" x14ac:dyDescent="0.2">
      <c r="A16" s="32">
        <v>2800</v>
      </c>
      <c r="B16" t="s">
        <v>800</v>
      </c>
      <c r="C16" s="276">
        <f t="shared" si="0"/>
        <v>866567.94000000006</v>
      </c>
      <c r="D16" s="243"/>
      <c r="E16" s="20">
        <f>'DOE25'!L209+'DOE25'!L227+'DOE25'!L245-F16-G16-H16</f>
        <v>248405.80000000005</v>
      </c>
      <c r="F16" s="244"/>
      <c r="G16" s="53">
        <f>'DOE25'!J209+'DOE25'!J227+'DOE25'!J245</f>
        <v>618162.14</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2646901.7400000002</v>
      </c>
      <c r="D22" s="243"/>
      <c r="E22" s="243"/>
      <c r="F22" s="243"/>
      <c r="G22" s="53">
        <f>'DOE25'!L255+'DOE25'!L336</f>
        <v>2646901.7400000002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3313318.75</v>
      </c>
      <c r="D25" s="243"/>
      <c r="E25" s="243"/>
      <c r="F25" s="255"/>
      <c r="G25" s="253"/>
      <c r="H25" s="253"/>
      <c r="I25" s="254">
        <f>'DOE25'!L260+'DOE25'!L261+'DOE25'!L341+'DOE25'!L342</f>
        <v>3313318.75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821906.40000000014</v>
      </c>
      <c r="D29" s="284">
        <f>'DOE25'!L358+'DOE25'!L359+'DOE25'!L360-'DOE25'!I367-F29-G29-H29</f>
        <v>802158.31</v>
      </c>
      <c r="E29" s="243"/>
      <c r="F29" s="244">
        <v>0</v>
      </c>
      <c r="G29" s="53">
        <f>'DOE25'!J358+'DOE25'!J359+'DOE25'!J360</f>
        <v>18090.66</v>
      </c>
      <c r="H29" s="53">
        <f>'DOE25'!K358+'DOE25'!K359+'DOE25'!K360</f>
        <v>1657.43</v>
      </c>
      <c r="I29" s="256"/>
    </row>
    <row r="30" spans="1:9" x14ac:dyDescent="0.2">
      <c r="A30" s="32"/>
      <c r="C30" s="277"/>
      <c r="D30" s="20"/>
      <c r="E30" s="281"/>
      <c r="F30" s="271"/>
      <c r="G30" s="53"/>
      <c r="H30" s="53"/>
      <c r="I30" s="256"/>
    </row>
    <row r="31" spans="1:9" x14ac:dyDescent="0.2">
      <c r="A31" s="32" t="s">
        <v>818</v>
      </c>
      <c r="B31" t="s">
        <v>817</v>
      </c>
      <c r="C31" s="276">
        <f>SUM(D31:I31)</f>
        <v>2916981.09</v>
      </c>
      <c r="D31" s="20">
        <f>'DOE25'!L290+'DOE25'!L309+'DOE25'!L328+'DOE25'!L333+'DOE25'!L334+'DOE25'!L335-F31-G31-H31</f>
        <v>2345588.4799999995</v>
      </c>
      <c r="E31" s="243"/>
      <c r="F31" s="244">
        <f>57936+180700</f>
        <v>238636</v>
      </c>
      <c r="G31" s="53">
        <f>'DOE25'!J290+'DOE25'!J309+'DOE25'!J328+'DOE25'!J333+'DOE25'!J334+'DOE25'!J335</f>
        <v>177119.24</v>
      </c>
      <c r="H31" s="53">
        <f>'DOE25'!K290+'DOE25'!K309+'DOE25'!K328+'DOE25'!K333+'DOE25'!K334+'DOE25'!K335</f>
        <v>155637.37</v>
      </c>
      <c r="I31" s="256"/>
    </row>
    <row r="32" spans="1:9" ht="12" thickBot="1" x14ac:dyDescent="0.25">
      <c r="C32" s="277"/>
      <c r="G32" s="251"/>
      <c r="H32" s="251"/>
      <c r="I32" s="258"/>
    </row>
    <row r="33" spans="1:9" ht="12" thickTop="1" x14ac:dyDescent="0.2">
      <c r="B33" t="s">
        <v>809</v>
      </c>
      <c r="D33" s="245">
        <f t="shared" ref="D33:I33" si="1">SUM(D5:D31)</f>
        <v>50778153.010000005</v>
      </c>
      <c r="E33" s="245">
        <f t="shared" si="1"/>
        <v>2549438.7700000005</v>
      </c>
      <c r="F33" s="245">
        <f t="shared" si="1"/>
        <v>2590913.14</v>
      </c>
      <c r="G33" s="245">
        <f t="shared" si="1"/>
        <v>3866290.1300000008</v>
      </c>
      <c r="H33" s="245">
        <f t="shared" si="1"/>
        <v>258125.2</v>
      </c>
      <c r="I33" s="245">
        <f t="shared" si="1"/>
        <v>3313318.75</v>
      </c>
    </row>
    <row r="35" spans="1:9" ht="12" thickBot="1" x14ac:dyDescent="0.25">
      <c r="B35" s="251" t="s">
        <v>831</v>
      </c>
      <c r="D35" s="252">
        <f>E33</f>
        <v>2549438.7700000005</v>
      </c>
      <c r="E35" s="248"/>
    </row>
    <row r="36" spans="1:9" ht="12" thickTop="1" x14ac:dyDescent="0.2">
      <c r="B36" t="s">
        <v>810</v>
      </c>
      <c r="D36" s="20">
        <f>D33</f>
        <v>50778153.010000005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algorithmName="SHA-512" hashValue="/Zm3EheXd+urxFh9xQXcUhvt9UjB3iefkpE392AG0TLttFaGawsXTEX+GO8KBZ3CkKav+mRYHe0XOJpldl3eQw==" saltValue="6La/z7HwdMlYT21tLVlAvg==" spinCount="100000" sheet="1" objects="1" scenarios="1"/>
  <mergeCells count="3">
    <mergeCell ref="F2:H2"/>
    <mergeCell ref="A1:H1"/>
    <mergeCell ref="B53:H53"/>
  </mergeCells>
  <phoneticPr fontId="0" type="noConversion"/>
  <pageMargins left="0.5" right="0.5" top="0.5" bottom="0.5" header="0.5" footer="0.5"/>
  <pageSetup scale="9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heetViews>
  <sheetFormatPr defaultRowHeight="11.25" x14ac:dyDescent="0.2"/>
  <cols>
    <col min="1" max="1" width="35.6640625" customWidth="1"/>
    <col min="2" max="2" width="22.33203125" customWidth="1"/>
    <col min="3" max="3" width="22" customWidth="1"/>
    <col min="4" max="5" width="14.6640625" customWidth="1"/>
    <col min="6" max="6" width="14.1640625" bestFit="1"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Keene</v>
      </c>
      <c r="B2" s="126">
        <f>'DOE25'!B2</f>
        <v>279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22148739.609999999</v>
      </c>
      <c r="G4" s="303">
        <f>'DOE25'!L211+'DOE25'!L290</f>
        <v>22148739.610000003</v>
      </c>
      <c r="H4" s="304">
        <f>F4-G4</f>
        <v>0</v>
      </c>
      <c r="I4" s="310" t="str">
        <f>IF(H4=0,"","Does not match DOE25 page 7 and 11 Totals!!")</f>
        <v/>
      </c>
      <c r="N4"/>
    </row>
    <row r="5" spans="1:18" x14ac:dyDescent="0.2">
      <c r="A5" s="322" t="s">
        <v>1178</v>
      </c>
      <c r="B5" s="305">
        <f>IFERROR(VLOOKUP(A5,'School Tables'!$C$3:$D$368,2,FALSE),"")</f>
        <v>21190</v>
      </c>
      <c r="C5" s="297" t="str">
        <f>IFERROR(INDEX('School Tables'!$B$3:$B$368,MATCH('School Level Expenditures'!B5,'School Tables'!$D$3:$D$368,0)),"")</f>
        <v>Keene</v>
      </c>
      <c r="D5" s="294">
        <v>4411047.38</v>
      </c>
      <c r="E5" s="294">
        <v>316701.37</v>
      </c>
      <c r="F5" s="313">
        <f>D5+E5</f>
        <v>4727748.75</v>
      </c>
      <c r="G5" s="297"/>
      <c r="H5" s="297"/>
      <c r="I5" s="126"/>
      <c r="N5"/>
    </row>
    <row r="6" spans="1:18" x14ac:dyDescent="0.2">
      <c r="A6" s="322" t="s">
        <v>1175</v>
      </c>
      <c r="B6" s="305">
        <f>IFERROR(VLOOKUP(A6,'School Tables'!$C$3:$D$368,2,FALSE),"")</f>
        <v>21165</v>
      </c>
      <c r="C6" s="297" t="str">
        <f>IFERROR(INDEX('School Tables'!$B$3:$B$368,MATCH('School Level Expenditures'!B6,'School Tables'!$D$3:$D$368,0)),"")</f>
        <v>Keene</v>
      </c>
      <c r="D6" s="294">
        <v>5655615.8600000003</v>
      </c>
      <c r="E6" s="294">
        <v>437685.03</v>
      </c>
      <c r="F6" s="308">
        <f t="shared" ref="F6:F20" si="0">D6+E6</f>
        <v>6093300.8900000006</v>
      </c>
      <c r="G6" s="297"/>
      <c r="H6" s="297"/>
      <c r="I6" s="126"/>
      <c r="N6"/>
    </row>
    <row r="7" spans="1:18" x14ac:dyDescent="0.2">
      <c r="A7" s="21" t="s">
        <v>1597</v>
      </c>
      <c r="B7" s="305">
        <f>IFERROR(VLOOKUP(A7,'School Tables'!$C$3:$D$368,2,FALSE),"")</f>
        <v>29180</v>
      </c>
      <c r="C7" s="297" t="str">
        <f>IFERROR(INDEX('School Tables'!$B$3:$B$368,MATCH('School Level Expenditures'!B7,'School Tables'!$D$3:$D$368,0)),"")</f>
        <v>Keene</v>
      </c>
      <c r="D7" s="294">
        <v>1592152.32</v>
      </c>
      <c r="E7" s="294">
        <v>49534.35</v>
      </c>
      <c r="F7" s="308">
        <f t="shared" si="0"/>
        <v>1641686.6700000002</v>
      </c>
      <c r="G7" s="297"/>
      <c r="H7" s="297"/>
      <c r="I7" s="126"/>
      <c r="N7"/>
    </row>
    <row r="8" spans="1:18" x14ac:dyDescent="0.2">
      <c r="A8" s="21"/>
      <c r="B8" s="305"/>
      <c r="C8" s="297" t="str">
        <f>IFERROR(INDEX('School Tables'!$B$3:$B$368,MATCH('School Level Expenditures'!B8,'School Tables'!$D$3:$D$368,0)),"")</f>
        <v/>
      </c>
      <c r="D8" s="294"/>
      <c r="E8" s="294"/>
      <c r="F8" s="308">
        <f>D8+E8</f>
        <v>0</v>
      </c>
      <c r="G8" s="297"/>
      <c r="H8" s="297"/>
      <c r="I8" s="126"/>
      <c r="N8"/>
    </row>
    <row r="9" spans="1:18" x14ac:dyDescent="0.2">
      <c r="A9" s="322" t="s">
        <v>1176</v>
      </c>
      <c r="B9" s="305">
        <f>IFERROR(VLOOKUP(A9,'School Tables'!$C$3:$D$368,2,FALSE),"")</f>
        <v>21170</v>
      </c>
      <c r="C9" s="297" t="str">
        <f>IFERROR(INDEX('School Tables'!$B$3:$B$368,MATCH('School Level Expenditures'!B9,'School Tables'!$D$3:$D$368,0)),"")</f>
        <v>Keene</v>
      </c>
      <c r="D9" s="294">
        <v>5583420.4100000001</v>
      </c>
      <c r="E9" s="294">
        <v>409702.07</v>
      </c>
      <c r="F9" s="308">
        <f>D9+E9</f>
        <v>5993122.4800000004</v>
      </c>
      <c r="G9" s="297"/>
      <c r="H9" s="297"/>
      <c r="I9" s="126"/>
      <c r="N9"/>
    </row>
    <row r="10" spans="1:18" x14ac:dyDescent="0.2">
      <c r="A10" s="322" t="s">
        <v>1180</v>
      </c>
      <c r="B10" s="305">
        <f>IFERROR(VLOOKUP(A10,'School Tables'!$C$3:$D$368,2,FALSE),"")</f>
        <v>21200</v>
      </c>
      <c r="C10" s="297" t="str">
        <f>IFERROR(INDEX('School Tables'!$B$3:$B$368,MATCH('School Level Expenditures'!B10,'School Tables'!$D$3:$D$368,0)),"")</f>
        <v>Keene</v>
      </c>
      <c r="D10" s="294">
        <v>3430164.49</v>
      </c>
      <c r="E10" s="294">
        <v>262716.33</v>
      </c>
      <c r="F10" s="308">
        <f>D10+E10</f>
        <v>3692880.8200000003</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322"/>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D13+E13</f>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10322189.860000001</v>
      </c>
      <c r="G24" s="303">
        <f>'DOE25'!L229+'DOE25'!L309</f>
        <v>10322189.859999998</v>
      </c>
      <c r="H24" s="304">
        <f>F24-G24</f>
        <v>0</v>
      </c>
      <c r="I24" s="310" t="str">
        <f>IF(H24=0,"","Does not match DOE25 page 8 and 12 Totals!!")</f>
        <v/>
      </c>
      <c r="N24"/>
    </row>
    <row r="25" spans="1:14" x14ac:dyDescent="0.2">
      <c r="A25" s="322" t="s">
        <v>1177</v>
      </c>
      <c r="B25" s="305">
        <f>IFERROR(VLOOKUP(A25,'School Tables'!$I$3:$J$80,2,FALSE),"")</f>
        <v>21185</v>
      </c>
      <c r="C25" s="297" t="str">
        <f t="array" ref="C25">IFERROR(INDEX('School Tables'!$H$3:$H$80,MATCH('School Level Expenditures'!B25,'School Tables'!$J$3:$J$80,0)),"")</f>
        <v>Keene</v>
      </c>
      <c r="D25" s="294">
        <v>10227096.640000001</v>
      </c>
      <c r="E25" s="294">
        <v>95093.22</v>
      </c>
      <c r="F25" s="308">
        <f>D25+E25</f>
        <v>10322189.860000001</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23591111.400000002</v>
      </c>
      <c r="G36" s="303">
        <f>'DOE25'!L247+'DOE25'!L328</f>
        <v>23591111.400000002</v>
      </c>
      <c r="H36" s="304">
        <f>F36-G36</f>
        <v>0</v>
      </c>
      <c r="I36" s="310" t="str">
        <f>IF(H36=0,"","Does not match DOE25 page 9 and 13 Totals!!")</f>
        <v/>
      </c>
      <c r="N36"/>
    </row>
    <row r="37" spans="1:14" x14ac:dyDescent="0.2">
      <c r="A37" s="322" t="s">
        <v>1179</v>
      </c>
      <c r="B37" s="305">
        <f>IFERROR(VLOOKUP(A37,'School Tables'!$O$3:$P$122,2,FALSE),"")</f>
        <v>21195</v>
      </c>
      <c r="C37" s="297" t="str">
        <f t="array" ref="C37">IFERROR(INDEX('School Tables'!$N$3:$N$122,MATCH('School Level Expenditures'!B37,'School Tables'!$P$3:$P$122,0)),"")</f>
        <v>Keene</v>
      </c>
      <c r="D37" s="294">
        <v>22972767.960000001</v>
      </c>
      <c r="E37" s="294">
        <f>204450.4+413893.04</f>
        <v>618343.43999999994</v>
      </c>
      <c r="F37" s="308">
        <f>D37+E37</f>
        <v>23591111.400000002</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1xzqUgJKhvN7p3oiXRFFEqHj6+dDvTG2+ntZDxvWUNmntwqvc7oXNaZwFHOm6xKozKZ4cfgsXWBHaGnnvKGQqQ==" saltValue="bwR/az97KFOfDpw19meXqw==" spinCount="100000"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C48" sqref="C4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Keene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2872568.68</v>
      </c>
      <c r="D8" s="95">
        <f>'DOE25'!G9</f>
        <v>466768.34</v>
      </c>
      <c r="E8" s="95">
        <f>'DOE25'!H9</f>
        <v>241548.99</v>
      </c>
      <c r="F8" s="95">
        <f>'DOE25'!I9</f>
        <v>9007.83</v>
      </c>
      <c r="G8" s="95">
        <f>'DOE25'!J9</f>
        <v>815958.19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371944.87</v>
      </c>
      <c r="D11" s="95">
        <f>'DOE25'!G12</f>
        <v>0</v>
      </c>
      <c r="E11" s="95">
        <f>'DOE25'!H12</f>
        <v>52542.14</v>
      </c>
      <c r="F11" s="95">
        <f>'DOE25'!I12</f>
        <v>0</v>
      </c>
      <c r="G11" s="95">
        <f>'DOE25'!J12</f>
        <v>0</v>
      </c>
      <c r="H11" s="124"/>
      <c r="I11" s="124"/>
    </row>
    <row r="12" spans="1:9" x14ac:dyDescent="0.2">
      <c r="A12" s="1" t="s">
        <v>143</v>
      </c>
      <c r="B12" s="6">
        <v>140</v>
      </c>
      <c r="C12" s="95">
        <f>'DOE25'!F13</f>
        <v>1839081.12</v>
      </c>
      <c r="D12" s="95">
        <f>'DOE25'!G13</f>
        <v>59559.16</v>
      </c>
      <c r="E12" s="95">
        <f>'DOE25'!H13</f>
        <v>506287.19</v>
      </c>
      <c r="F12" s="95">
        <f>'DOE25'!I13</f>
        <v>0</v>
      </c>
      <c r="G12" s="95">
        <f>'DOE25'!J13</f>
        <v>0</v>
      </c>
      <c r="H12" s="124"/>
      <c r="I12" s="124"/>
    </row>
    <row r="13" spans="1:9" x14ac:dyDescent="0.2">
      <c r="A13" s="1" t="s">
        <v>144</v>
      </c>
      <c r="B13" s="6">
        <v>150</v>
      </c>
      <c r="C13" s="95">
        <f>'DOE25'!F14</f>
        <v>36912.47</v>
      </c>
      <c r="D13" s="95">
        <f>'DOE25'!G14</f>
        <v>3459.21</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22347.010000000002</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5120507.1399999997</v>
      </c>
      <c r="D18" s="41">
        <f>SUM(D8:D17)</f>
        <v>529786.71</v>
      </c>
      <c r="E18" s="41">
        <f>SUM(E8:E17)</f>
        <v>822725.33000000007</v>
      </c>
      <c r="F18" s="41">
        <f>SUM(F8:F17)</f>
        <v>9007.83</v>
      </c>
      <c r="G18" s="41">
        <f>SUM(G8:G17)</f>
        <v>815958.19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424487.01</v>
      </c>
      <c r="F21" s="95">
        <f>'DOE25'!I22</f>
        <v>0</v>
      </c>
      <c r="G21" s="95">
        <f>'DOE25'!J22</f>
        <v>0</v>
      </c>
      <c r="H21" s="124"/>
      <c r="I21" s="124"/>
    </row>
    <row r="22" spans="1:9" x14ac:dyDescent="0.2">
      <c r="A22" s="1" t="s">
        <v>151</v>
      </c>
      <c r="B22" s="6">
        <v>410</v>
      </c>
      <c r="C22" s="95">
        <f>'DOE25'!F23</f>
        <v>50856.88</v>
      </c>
      <c r="D22" s="95">
        <f>'DOE25'!G23</f>
        <v>0</v>
      </c>
      <c r="E22" s="95">
        <f>'DOE25'!H23</f>
        <v>2479.36</v>
      </c>
      <c r="F22" s="95">
        <f>'DOE25'!I23</f>
        <v>0</v>
      </c>
      <c r="G22" s="95">
        <f>'DOE25'!J23</f>
        <v>0</v>
      </c>
      <c r="H22" s="124"/>
      <c r="I22" s="124"/>
    </row>
    <row r="23" spans="1:9" x14ac:dyDescent="0.2">
      <c r="A23" s="1" t="s">
        <v>152</v>
      </c>
      <c r="B23" s="6">
        <v>420</v>
      </c>
      <c r="C23" s="95">
        <f>'DOE25'!F24</f>
        <v>1023608.01</v>
      </c>
      <c r="D23" s="95">
        <f>'DOE25'!G24</f>
        <v>0</v>
      </c>
      <c r="E23" s="95">
        <f>'DOE25'!H24</f>
        <v>59085.48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286023.96999999997</v>
      </c>
      <c r="D27" s="95">
        <f>'DOE25'!G28</f>
        <v>12176</v>
      </c>
      <c r="E27" s="95">
        <f>'DOE25'!H28</f>
        <v>27901.909999999996</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1402.3</v>
      </c>
      <c r="D29" s="95">
        <f>'DOE25'!G30</f>
        <v>27703.88</v>
      </c>
      <c r="E29" s="95">
        <f>'DOE25'!H30</f>
        <v>48807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1361891.16</v>
      </c>
      <c r="D31" s="41">
        <f>SUM(D21:D30)</f>
        <v>39879.880000000005</v>
      </c>
      <c r="E31" s="41">
        <f>SUM(E21:E30)</f>
        <v>562760.76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18850</v>
      </c>
      <c r="F35" s="95">
        <f>'DOE25'!I36</f>
        <v>0</v>
      </c>
      <c r="G35" s="24" t="s">
        <v>288</v>
      </c>
      <c r="H35" s="124"/>
      <c r="I35" s="124"/>
    </row>
    <row r="36" spans="1:9" x14ac:dyDescent="0.2">
      <c r="A36" s="1" t="s">
        <v>856</v>
      </c>
      <c r="B36" s="6">
        <v>756</v>
      </c>
      <c r="C36" s="95">
        <f>'DOE25'!F37</f>
        <v>0</v>
      </c>
      <c r="D36" s="95">
        <f>'DOE25'!G37</f>
        <v>489906.83</v>
      </c>
      <c r="E36" s="95">
        <f>'DOE25'!H37</f>
        <v>13695.08</v>
      </c>
      <c r="F36" s="95">
        <f>'DOE25'!I37</f>
        <v>9007.83</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139388.65</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'DOE25'!F49</f>
        <v>191140.25</v>
      </c>
      <c r="D44" s="95">
        <f>'DOE25'!G45</f>
        <v>0</v>
      </c>
      <c r="E44" s="95">
        <f>'DOE25'!H45</f>
        <v>0</v>
      </c>
      <c r="F44" s="95">
        <f>'DOE25'!I45</f>
        <v>0</v>
      </c>
      <c r="G44" s="95">
        <f>'DOE25'!J45</f>
        <v>0</v>
      </c>
      <c r="H44" s="124"/>
      <c r="I44" s="124"/>
    </row>
    <row r="45" spans="1:9" x14ac:dyDescent="0.2">
      <c r="A45" s="1" t="s">
        <v>880</v>
      </c>
      <c r="B45" s="6"/>
      <c r="C45" s="95">
        <f>'DOE25'!F46</f>
        <v>855797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86480.84</v>
      </c>
      <c r="F47" s="95">
        <f>'DOE25'!I48</f>
        <v>0</v>
      </c>
      <c r="G47" s="95">
        <f>'DOE25'!J48</f>
        <v>815958.19</v>
      </c>
      <c r="H47" s="124"/>
      <c r="I47" s="124"/>
    </row>
    <row r="48" spans="1:9" x14ac:dyDescent="0.2">
      <c r="A48" s="1" t="s">
        <v>882</v>
      </c>
      <c r="B48" s="6">
        <v>753</v>
      </c>
      <c r="C48" s="95">
        <f>'DOE25'!F49</f>
        <v>191140.25</v>
      </c>
      <c r="D48" s="95">
        <f>'DOE25'!G49</f>
        <v>0</v>
      </c>
      <c r="E48" s="95">
        <f>'DOE25'!H49</f>
        <v>1550</v>
      </c>
      <c r="F48" s="95">
        <f>'DOE25'!I49</f>
        <v>0</v>
      </c>
      <c r="G48" s="95">
        <f>'DOE25'!J49</f>
        <v>0</v>
      </c>
      <c r="H48" s="124"/>
      <c r="I48" s="124"/>
    </row>
    <row r="49" spans="1:9" ht="12" thickBot="1" x14ac:dyDescent="0.25">
      <c r="A49" s="29" t="s">
        <v>883</v>
      </c>
      <c r="B49" s="71">
        <v>770</v>
      </c>
      <c r="C49" s="95">
        <f>'DOE25'!F50</f>
        <v>2611678.73</v>
      </c>
      <c r="D49" s="24" t="s">
        <v>288</v>
      </c>
      <c r="E49" s="24" t="s">
        <v>288</v>
      </c>
      <c r="F49" s="24" t="s">
        <v>288</v>
      </c>
      <c r="G49" s="24" t="s">
        <v>288</v>
      </c>
      <c r="H49" s="124"/>
      <c r="I49" s="124"/>
    </row>
    <row r="50" spans="1:9" ht="12.75" thickTop="1" thickBot="1" x14ac:dyDescent="0.25">
      <c r="A50" s="38" t="s">
        <v>884</v>
      </c>
      <c r="B50" s="48"/>
      <c r="C50" s="41">
        <f>SUM(C34:C49)</f>
        <v>3949756.23</v>
      </c>
      <c r="D50" s="41">
        <f>SUM(D34:D49)</f>
        <v>489906.83</v>
      </c>
      <c r="E50" s="41">
        <f>SUM(E34:E49)</f>
        <v>259964.56999999998</v>
      </c>
      <c r="F50" s="41">
        <f>SUM(F34:F49)</f>
        <v>9007.83</v>
      </c>
      <c r="G50" s="41">
        <f>SUM(G34:G49)</f>
        <v>815958.19</v>
      </c>
      <c r="H50" s="124"/>
      <c r="I50" s="124"/>
    </row>
    <row r="51" spans="1:9" ht="12" thickTop="1" x14ac:dyDescent="0.2">
      <c r="A51" s="38" t="s">
        <v>885</v>
      </c>
      <c r="B51" s="2"/>
      <c r="C51" s="41">
        <f>C50+C31</f>
        <v>5311647.3899999997</v>
      </c>
      <c r="D51" s="41">
        <f>D50+D31</f>
        <v>529786.71</v>
      </c>
      <c r="E51" s="41">
        <f>E50+E31</f>
        <v>822725.33</v>
      </c>
      <c r="F51" s="41">
        <f>F50+F31</f>
        <v>9007.83</v>
      </c>
      <c r="G51" s="41">
        <f>G50+G31</f>
        <v>815958.19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30396719</v>
      </c>
      <c r="D56" s="95">
        <f>'DOE25'!G60</f>
        <v>0</v>
      </c>
      <c r="E56" s="95">
        <f>'DOE25'!H60</f>
        <v>0</v>
      </c>
      <c r="F56" s="95">
        <f>'DOE25'!I60</f>
        <v>0</v>
      </c>
      <c r="G56" s="95">
        <f>'DOE25'!J60</f>
        <v>0</v>
      </c>
      <c r="H56"/>
      <c r="I56"/>
    </row>
    <row r="57" spans="1:9" x14ac:dyDescent="0.2">
      <c r="A57" s="1" t="s">
        <v>164</v>
      </c>
      <c r="B57" s="6" t="s">
        <v>165</v>
      </c>
      <c r="C57" s="95">
        <f>'DOE25'!F79</f>
        <v>12092610.799999999</v>
      </c>
      <c r="D57" s="24" t="s">
        <v>288</v>
      </c>
      <c r="E57" s="95">
        <f>'DOE25'!H79</f>
        <v>486684.31</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83520.210000000006</v>
      </c>
      <c r="D59" s="95">
        <f>'DOE25'!G96</f>
        <v>0</v>
      </c>
      <c r="E59" s="95">
        <f>'DOE25'!H96</f>
        <v>0</v>
      </c>
      <c r="F59" s="95">
        <f>'DOE25'!I96</f>
        <v>0</v>
      </c>
      <c r="G59" s="95">
        <f>'DOE25'!J96</f>
        <v>17271.099999999999</v>
      </c>
      <c r="H59"/>
      <c r="I59"/>
    </row>
    <row r="60" spans="1:9" x14ac:dyDescent="0.2">
      <c r="A60" s="1" t="s">
        <v>170</v>
      </c>
      <c r="B60" s="118" t="s">
        <v>171</v>
      </c>
      <c r="C60" s="24" t="s">
        <v>288</v>
      </c>
      <c r="D60" s="95">
        <f>'DOE25'!G97</f>
        <v>752401.32</v>
      </c>
      <c r="E60" s="24" t="s">
        <v>288</v>
      </c>
      <c r="F60" s="24" t="s">
        <v>288</v>
      </c>
      <c r="G60" s="24" t="s">
        <v>288</v>
      </c>
      <c r="H60"/>
      <c r="I60"/>
    </row>
    <row r="61" spans="1:9" ht="12" thickBot="1" x14ac:dyDescent="0.25">
      <c r="A61" s="1" t="s">
        <v>172</v>
      </c>
      <c r="B61" s="118" t="s">
        <v>173</v>
      </c>
      <c r="C61" s="95">
        <f>SUM('DOE25'!F98:F110)</f>
        <v>488006.41000000003</v>
      </c>
      <c r="D61" s="95">
        <f>SUM('DOE25'!G98:G110)</f>
        <v>21825</v>
      </c>
      <c r="E61" s="95">
        <f>SUM('DOE25'!H98:H110)</f>
        <v>229728.40999999997</v>
      </c>
      <c r="F61" s="95">
        <f>SUM('DOE25'!I98:I110)</f>
        <v>13820</v>
      </c>
      <c r="G61" s="95">
        <f>SUM('DOE25'!J98:J110)</f>
        <v>0</v>
      </c>
      <c r="H61"/>
      <c r="I61"/>
    </row>
    <row r="62" spans="1:9" ht="12.75" thickTop="1" thickBot="1" x14ac:dyDescent="0.25">
      <c r="A62" s="29" t="s">
        <v>174</v>
      </c>
      <c r="B62" s="6"/>
      <c r="C62" s="130">
        <f>SUM(C57:C61)</f>
        <v>12664137.42</v>
      </c>
      <c r="D62" s="130">
        <f>SUM(D57:D61)</f>
        <v>774226.32</v>
      </c>
      <c r="E62" s="130">
        <f>SUM(E57:E61)</f>
        <v>716412.72</v>
      </c>
      <c r="F62" s="130">
        <f>SUM(F57:F61)</f>
        <v>13820</v>
      </c>
      <c r="G62" s="130">
        <f>SUM(G57:G61)</f>
        <v>17271.099999999999</v>
      </c>
      <c r="H62"/>
      <c r="I62"/>
    </row>
    <row r="63" spans="1:9" ht="12" thickTop="1" x14ac:dyDescent="0.2">
      <c r="A63" s="29" t="s">
        <v>175</v>
      </c>
      <c r="B63" s="6"/>
      <c r="C63" s="22">
        <f>C56+C62</f>
        <v>43060856.420000002</v>
      </c>
      <c r="D63" s="22">
        <f>D56+D62</f>
        <v>774226.32</v>
      </c>
      <c r="E63" s="22">
        <f>E56+E62</f>
        <v>716412.72</v>
      </c>
      <c r="F63" s="22">
        <f>F56+F62</f>
        <v>13820</v>
      </c>
      <c r="G63" s="22">
        <f>G56+G62</f>
        <v>17271.099999999999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10904235.57</v>
      </c>
      <c r="D66" s="24" t="s">
        <v>288</v>
      </c>
      <c r="E66" s="24" t="s">
        <v>288</v>
      </c>
      <c r="F66" s="24" t="s">
        <v>288</v>
      </c>
      <c r="G66" s="24" t="s">
        <v>288</v>
      </c>
      <c r="H66"/>
      <c r="I66"/>
    </row>
    <row r="67" spans="1:9" x14ac:dyDescent="0.2">
      <c r="A67" s="1" t="s">
        <v>770</v>
      </c>
      <c r="B67" s="6">
        <v>3112</v>
      </c>
      <c r="C67" s="95">
        <f>'DOE25'!F118</f>
        <v>3835156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21657.040000000001</v>
      </c>
      <c r="D69" s="95">
        <f>'DOE25'!G120</f>
        <v>0</v>
      </c>
      <c r="E69" s="95">
        <f>'DOE25'!H120</f>
        <v>0</v>
      </c>
      <c r="F69" s="95">
        <f>'DOE25'!I120</f>
        <v>0</v>
      </c>
      <c r="G69" s="95">
        <f>'DOE25'!J120</f>
        <v>0</v>
      </c>
      <c r="H69"/>
      <c r="I69"/>
    </row>
    <row r="70" spans="1:9" ht="12" thickTop="1" x14ac:dyDescent="0.2">
      <c r="A70" s="29" t="s">
        <v>252</v>
      </c>
      <c r="B70" s="2"/>
      <c r="C70" s="139">
        <f>SUM(C66:C69)</f>
        <v>14761048.609999999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1442430.21</v>
      </c>
      <c r="D72" s="24" t="s">
        <v>288</v>
      </c>
      <c r="E72" s="24" t="s">
        <v>288</v>
      </c>
      <c r="F72" s="95">
        <f>'DOE25'!I123</f>
        <v>0</v>
      </c>
      <c r="G72" s="24" t="s">
        <v>288</v>
      </c>
      <c r="H72"/>
      <c r="I72"/>
    </row>
    <row r="73" spans="1:9" x14ac:dyDescent="0.2">
      <c r="A73" s="1" t="s">
        <v>254</v>
      </c>
      <c r="B73" s="6">
        <v>3215</v>
      </c>
      <c r="C73" s="95">
        <f>'DOE25'!F124</f>
        <v>193789.31</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712355.61</v>
      </c>
      <c r="D75" s="24" t="s">
        <v>288</v>
      </c>
      <c r="E75" s="24" t="s">
        <v>288</v>
      </c>
      <c r="F75" s="24" t="s">
        <v>288</v>
      </c>
      <c r="G75" s="24" t="s">
        <v>288</v>
      </c>
      <c r="H75"/>
      <c r="I75"/>
    </row>
    <row r="76" spans="1:9" x14ac:dyDescent="0.2">
      <c r="A76" s="1" t="s">
        <v>257</v>
      </c>
      <c r="B76" s="6" t="s">
        <v>179</v>
      </c>
      <c r="C76" s="95">
        <f>SUM('DOE25'!F127:F130)</f>
        <v>241186.75999999998</v>
      </c>
      <c r="D76" s="24" t="s">
        <v>288</v>
      </c>
      <c r="E76" s="95">
        <f>SUM('DOE25'!H127:H130)</f>
        <v>0</v>
      </c>
      <c r="F76" s="95">
        <f>SUM('DOE25'!I127:I130)</f>
        <v>0</v>
      </c>
      <c r="G76" s="24" t="s">
        <v>288</v>
      </c>
      <c r="H76"/>
      <c r="I76"/>
    </row>
    <row r="77" spans="1:9" ht="12" thickBot="1" x14ac:dyDescent="0.25">
      <c r="A77" s="1" t="s">
        <v>258</v>
      </c>
      <c r="B77" s="6" t="s">
        <v>180</v>
      </c>
      <c r="C77" s="95">
        <f>SUM('DOE25'!F131:F135)</f>
        <v>335554.71</v>
      </c>
      <c r="D77" s="95">
        <f>SUM('DOE25'!G131:G135)</f>
        <v>14321.13</v>
      </c>
      <c r="E77" s="95">
        <f>SUM('DOE25'!H131:H135)</f>
        <v>0</v>
      </c>
      <c r="F77" s="95">
        <f>SUM('DOE25'!I131:I135)</f>
        <v>436000</v>
      </c>
      <c r="G77" s="95">
        <f>SUM('DOE25'!J131:J135)</f>
        <v>0</v>
      </c>
      <c r="H77"/>
      <c r="I77"/>
    </row>
    <row r="78" spans="1:9" ht="12.75" thickTop="1" thickBot="1" x14ac:dyDescent="0.25">
      <c r="A78" s="29" t="s">
        <v>259</v>
      </c>
      <c r="B78" s="6"/>
      <c r="C78" s="130">
        <f>SUM(C72:C77)</f>
        <v>2925316.5999999996</v>
      </c>
      <c r="D78" s="130">
        <f>SUM(D72:D77)</f>
        <v>14321.13</v>
      </c>
      <c r="E78" s="130">
        <f>SUM(E72:E77)</f>
        <v>0</v>
      </c>
      <c r="F78" s="130">
        <f>SUM(F72:F77)</f>
        <v>436000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17686365.210000001</v>
      </c>
      <c r="D81" s="130">
        <f>SUM(D79:D80)+D78+D70</f>
        <v>14321.13</v>
      </c>
      <c r="E81" s="130">
        <f>SUM(E79:E80)+E78+E70</f>
        <v>0</v>
      </c>
      <c r="F81" s="130">
        <f>SUM(F79:F80)+F78+F70</f>
        <v>436000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439334.59</v>
      </c>
      <c r="D88" s="95">
        <f>SUM('DOE25'!G153:G161)</f>
        <v>734351.42</v>
      </c>
      <c r="E88" s="95">
        <f>SUM('DOE25'!H153:H161)</f>
        <v>2189775.8200000003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439334.59</v>
      </c>
      <c r="D91" s="131">
        <f>SUM(D85:D90)</f>
        <v>734351.42</v>
      </c>
      <c r="E91" s="131">
        <f>SUM(E85:E90)</f>
        <v>2189775.8200000003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162818.85</v>
      </c>
      <c r="G96" s="95">
        <f>'DOE25'!J179</f>
        <v>100000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1208.3399999999999</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1208.3399999999999</v>
      </c>
      <c r="D103" s="86">
        <f>SUM(D93:D102)</f>
        <v>0</v>
      </c>
      <c r="E103" s="86">
        <f>SUM(E93:E102)</f>
        <v>0</v>
      </c>
      <c r="F103" s="86">
        <f>SUM(F93:F102)</f>
        <v>162818.85</v>
      </c>
      <c r="G103" s="86">
        <f>SUM(G93:G102)</f>
        <v>100000</v>
      </c>
    </row>
    <row r="104" spans="1:7" ht="12.75" thickTop="1" thickBot="1" x14ac:dyDescent="0.25">
      <c r="A104" s="33" t="s">
        <v>761</v>
      </c>
      <c r="C104" s="86">
        <f>C63+C81+C91+C103</f>
        <v>61187764.56000001</v>
      </c>
      <c r="D104" s="86">
        <f>D63+D81+D91+D103</f>
        <v>1522898.87</v>
      </c>
      <c r="E104" s="86">
        <f>E63+E81+E91+E103</f>
        <v>2906188.54</v>
      </c>
      <c r="F104" s="86">
        <f>F63+F81+F91+F103</f>
        <v>612638.85</v>
      </c>
      <c r="G104" s="86">
        <f>G63+G81+G103</f>
        <v>117271.1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20603960.850000001</v>
      </c>
      <c r="D109" s="24" t="s">
        <v>288</v>
      </c>
      <c r="E109" s="95">
        <f>('DOE25'!L276)+('DOE25'!L295)+('DOE25'!L314)</f>
        <v>857544.73</v>
      </c>
      <c r="F109" s="24" t="s">
        <v>288</v>
      </c>
      <c r="G109" s="24" t="s">
        <v>288</v>
      </c>
    </row>
    <row r="110" spans="1:7" x14ac:dyDescent="0.2">
      <c r="A110" t="s">
        <v>198</v>
      </c>
      <c r="B110" s="32" t="s">
        <v>199</v>
      </c>
      <c r="C110" s="95">
        <f>('DOE25'!L198)+('DOE25'!L216)+('DOE25'!L234)</f>
        <v>10808547.32</v>
      </c>
      <c r="D110" s="24" t="s">
        <v>288</v>
      </c>
      <c r="E110" s="95">
        <f>('DOE25'!L277)+('DOE25'!L296)+('DOE25'!L315)</f>
        <v>471365.72</v>
      </c>
      <c r="F110" s="24" t="s">
        <v>288</v>
      </c>
      <c r="G110" s="24" t="s">
        <v>288</v>
      </c>
    </row>
    <row r="111" spans="1:7" x14ac:dyDescent="0.2">
      <c r="A111" t="s">
        <v>200</v>
      </c>
      <c r="B111" s="32" t="s">
        <v>165</v>
      </c>
      <c r="C111" s="95">
        <f>('DOE25'!L199)+('DOE25'!L217)+('DOE25'!L235)</f>
        <v>1416082.47</v>
      </c>
      <c r="D111" s="24" t="s">
        <v>288</v>
      </c>
      <c r="E111" s="95">
        <f>('DOE25'!L278)+('DOE25'!L297)+('DOE25'!L316)</f>
        <v>34439.69</v>
      </c>
      <c r="F111" s="24" t="s">
        <v>288</v>
      </c>
      <c r="G111" s="24" t="s">
        <v>288</v>
      </c>
    </row>
    <row r="112" spans="1:7" x14ac:dyDescent="0.2">
      <c r="A112" t="s">
        <v>201</v>
      </c>
      <c r="B112" s="32" t="s">
        <v>167</v>
      </c>
      <c r="C112" s="95">
        <f>('DOE25'!L200)+('DOE25'!L218)+('DOE25'!L236)</f>
        <v>834123.23</v>
      </c>
      <c r="D112" s="24" t="s">
        <v>288</v>
      </c>
      <c r="E112" s="95">
        <f>+('DOE25'!L279)+('DOE25'!L298)+('DOE25'!L317)</f>
        <v>37524.06</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490221.24</v>
      </c>
      <c r="F114" s="24" t="s">
        <v>288</v>
      </c>
      <c r="G114" s="24" t="s">
        <v>288</v>
      </c>
    </row>
    <row r="115" spans="1:7" ht="12.75" thickTop="1" thickBot="1" x14ac:dyDescent="0.25">
      <c r="A115" s="33" t="s">
        <v>205</v>
      </c>
      <c r="C115" s="86">
        <f>SUM(C109:C114)</f>
        <v>33662713.869999997</v>
      </c>
      <c r="D115" s="86">
        <f>SUM(D109:D114)</f>
        <v>0</v>
      </c>
      <c r="E115" s="86">
        <f>SUM(E109:E114)</f>
        <v>1891095.44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4886892.82</v>
      </c>
      <c r="D118" s="24" t="s">
        <v>288</v>
      </c>
      <c r="E118" s="95">
        <f>+('DOE25'!L281)+('DOE25'!L300)+('DOE25'!L319)</f>
        <v>344775.76</v>
      </c>
      <c r="F118" s="24" t="s">
        <v>288</v>
      </c>
      <c r="G118" s="24" t="s">
        <v>288</v>
      </c>
    </row>
    <row r="119" spans="1:7" x14ac:dyDescent="0.2">
      <c r="A119" t="s">
        <v>208</v>
      </c>
      <c r="B119" s="32" t="s">
        <v>209</v>
      </c>
      <c r="C119" s="95">
        <f>('DOE25'!L203)+('DOE25'!L221)+('DOE25'!L239)</f>
        <v>1095833.29</v>
      </c>
      <c r="D119" s="24" t="s">
        <v>288</v>
      </c>
      <c r="E119" s="95">
        <f>+('DOE25'!L282)+('DOE25'!L301)+('DOE25'!L320)</f>
        <v>392541.96</v>
      </c>
      <c r="F119" s="24" t="s">
        <v>288</v>
      </c>
      <c r="G119" s="24" t="s">
        <v>288</v>
      </c>
    </row>
    <row r="120" spans="1:7" x14ac:dyDescent="0.2">
      <c r="A120" t="s">
        <v>210</v>
      </c>
      <c r="B120" s="32" t="s">
        <v>211</v>
      </c>
      <c r="C120" s="95">
        <f>('DOE25'!L204)+('DOE25'!L222)+('DOE25'!L240)</f>
        <v>3005558.5700000003</v>
      </c>
      <c r="D120" s="24" t="s">
        <v>288</v>
      </c>
      <c r="E120" s="95">
        <f>+('DOE25'!L283)+('DOE25'!L302)+('DOE25'!L321)</f>
        <v>123102.25000000001</v>
      </c>
      <c r="F120" s="24" t="s">
        <v>288</v>
      </c>
      <c r="G120" s="24" t="s">
        <v>288</v>
      </c>
    </row>
    <row r="121" spans="1:7" x14ac:dyDescent="0.2">
      <c r="A121" t="s">
        <v>212</v>
      </c>
      <c r="B121" s="32" t="s">
        <v>213</v>
      </c>
      <c r="C121" s="95">
        <f>('DOE25'!L205)+('DOE25'!L223)+('DOE25'!L241)</f>
        <v>2994286.4899999998</v>
      </c>
      <c r="D121" s="24" t="s">
        <v>288</v>
      </c>
      <c r="E121" s="95">
        <f>+('DOE25'!L284)+('DOE25'!L303)+('DOE25'!L322)</f>
        <v>0</v>
      </c>
      <c r="F121" s="24" t="s">
        <v>288</v>
      </c>
      <c r="G121" s="24" t="s">
        <v>288</v>
      </c>
    </row>
    <row r="122" spans="1:7" x14ac:dyDescent="0.2">
      <c r="A122" t="s">
        <v>214</v>
      </c>
      <c r="B122" s="32" t="s">
        <v>215</v>
      </c>
      <c r="C122" s="95">
        <f>('DOE25'!L206)+('DOE25'!L224)+('DOE25'!L242)</f>
        <v>15258.35</v>
      </c>
      <c r="D122" s="24" t="s">
        <v>288</v>
      </c>
      <c r="E122" s="95">
        <f>+('DOE25'!L285)+('DOE25'!L304)+('DOE25'!L323)</f>
        <v>123857.85</v>
      </c>
      <c r="F122" s="24" t="s">
        <v>288</v>
      </c>
      <c r="G122" s="24" t="s">
        <v>288</v>
      </c>
    </row>
    <row r="123" spans="1:7" x14ac:dyDescent="0.2">
      <c r="A123" t="s">
        <v>216</v>
      </c>
      <c r="B123" s="32" t="s">
        <v>217</v>
      </c>
      <c r="C123" s="95">
        <f>('DOE25'!L207)+('DOE25'!L225)+('DOE25'!L243)</f>
        <v>5025167</v>
      </c>
      <c r="D123" s="24" t="s">
        <v>288</v>
      </c>
      <c r="E123" s="95">
        <f>+('DOE25'!L286)+('DOE25'!L305)+('DOE25'!L324)</f>
        <v>34777.64</v>
      </c>
      <c r="F123" s="24" t="s">
        <v>288</v>
      </c>
      <c r="G123" s="24" t="s">
        <v>288</v>
      </c>
    </row>
    <row r="124" spans="1:7" x14ac:dyDescent="0.2">
      <c r="A124" t="s">
        <v>218</v>
      </c>
      <c r="B124" s="32" t="s">
        <v>219</v>
      </c>
      <c r="C124" s="95">
        <f>('DOE25'!L208)+('DOE25'!L226)+('DOE25'!L244+'DOE25'!L254)</f>
        <v>2083002.69</v>
      </c>
      <c r="D124" s="24" t="s">
        <v>288</v>
      </c>
      <c r="E124" s="95">
        <f>+('DOE25'!L287)+('DOE25'!L306)+('DOE25'!L325)</f>
        <v>4430</v>
      </c>
      <c r="F124" s="24" t="s">
        <v>288</v>
      </c>
      <c r="G124" s="24" t="s">
        <v>288</v>
      </c>
    </row>
    <row r="125" spans="1:7" x14ac:dyDescent="0.2">
      <c r="A125" t="s">
        <v>220</v>
      </c>
      <c r="B125" s="32" t="s">
        <v>221</v>
      </c>
      <c r="C125" s="95">
        <f>('DOE25'!L209)+('DOE25'!L227)+('DOE25'!L245)</f>
        <v>866567.94000000006</v>
      </c>
      <c r="D125" s="24" t="s">
        <v>288</v>
      </c>
      <c r="E125" s="95">
        <f>+('DOE25'!L288)+('DOE25'!L307)+('DOE25'!L326)</f>
        <v>2400.19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1537082.85</v>
      </c>
      <c r="E127" s="24" t="s">
        <v>288</v>
      </c>
      <c r="F127" s="24" t="s">
        <v>288</v>
      </c>
      <c r="G127" s="24" t="s">
        <v>288</v>
      </c>
    </row>
    <row r="128" spans="1:7" ht="12.75" thickTop="1" thickBot="1" x14ac:dyDescent="0.25">
      <c r="A128" s="33" t="s">
        <v>226</v>
      </c>
      <c r="C128" s="86">
        <f>SUM(C118:C127)</f>
        <v>19972567.150000002</v>
      </c>
      <c r="D128" s="86">
        <f>SUM(D118:D127)</f>
        <v>1537082.85</v>
      </c>
      <c r="E128" s="86">
        <f>SUM(E118:E127)</f>
        <v>1025885.6499999999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2646901.7400000002</v>
      </c>
      <c r="D130" s="24" t="s">
        <v>288</v>
      </c>
      <c r="E130" s="129">
        <f>'DOE25'!L336</f>
        <v>0</v>
      </c>
      <c r="F130" s="129">
        <f>SUM('DOE25'!L374:'DOE25'!L380)</f>
        <v>651622.67999999993</v>
      </c>
      <c r="G130" s="24" t="s">
        <v>288</v>
      </c>
    </row>
    <row r="131" spans="1:7" x14ac:dyDescent="0.2">
      <c r="A131" t="s">
        <v>229</v>
      </c>
      <c r="B131" s="32">
        <v>5110</v>
      </c>
      <c r="C131" s="95">
        <f>'DOE25'!L260</f>
        <v>2479260.37</v>
      </c>
      <c r="D131" s="24" t="s">
        <v>288</v>
      </c>
      <c r="E131" s="129">
        <f>'DOE25'!L341</f>
        <v>0</v>
      </c>
      <c r="F131" s="24" t="s">
        <v>288</v>
      </c>
      <c r="G131" s="24" t="s">
        <v>288</v>
      </c>
    </row>
    <row r="132" spans="1:7" x14ac:dyDescent="0.2">
      <c r="A132" t="s">
        <v>230</v>
      </c>
      <c r="B132" s="32">
        <v>5120</v>
      </c>
      <c r="C132" s="95">
        <f>'DOE25'!L261</f>
        <v>834058.38</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1208.3399999999999</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162818.85</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117271.1</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-17271.100000000006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6223039.3399999999</v>
      </c>
      <c r="D144" s="141">
        <f>SUM(D130:D143)</f>
        <v>0</v>
      </c>
      <c r="E144" s="141">
        <f>SUM(E130:E143)</f>
        <v>0</v>
      </c>
      <c r="F144" s="141">
        <f>SUM(F130:F143)</f>
        <v>652831.0199999999</v>
      </c>
      <c r="G144" s="141">
        <f>SUM(G130:G143)</f>
        <v>0</v>
      </c>
    </row>
    <row r="145" spans="1:9" ht="12.75" thickTop="1" thickBot="1" x14ac:dyDescent="0.25">
      <c r="A145" s="33" t="s">
        <v>244</v>
      </c>
      <c r="C145" s="86">
        <f>(C115+C128+C144)</f>
        <v>59858320.359999999</v>
      </c>
      <c r="D145" s="86">
        <f>(D115+D128+D144)</f>
        <v>1537082.85</v>
      </c>
      <c r="E145" s="86">
        <f>(E115+E128+E144)</f>
        <v>2916981.09</v>
      </c>
      <c r="F145" s="86">
        <f>(F115+F128+F144)</f>
        <v>652831.0199999999</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29</v>
      </c>
      <c r="D151" s="153">
        <f>'DOE25'!H490</f>
        <v>29</v>
      </c>
      <c r="E151" s="153">
        <f>'DOE25'!I490</f>
        <v>0</v>
      </c>
      <c r="F151" s="153">
        <f>'DOE25'!J490</f>
        <v>0</v>
      </c>
      <c r="G151" s="24" t="s">
        <v>288</v>
      </c>
    </row>
    <row r="152" spans="1:9" x14ac:dyDescent="0.2">
      <c r="A152" s="136" t="s">
        <v>28</v>
      </c>
      <c r="B152" s="152" t="str">
        <f>'DOE25'!F491</f>
        <v>07/99</v>
      </c>
      <c r="C152" s="152" t="str">
        <f>'DOE25'!G491</f>
        <v>07/10</v>
      </c>
      <c r="D152" s="152" t="str">
        <f>'DOE25'!H491</f>
        <v>07/10</v>
      </c>
      <c r="E152" s="152">
        <f>'DOE25'!I491</f>
        <v>0</v>
      </c>
      <c r="F152" s="152">
        <f>'DOE25'!J491</f>
        <v>0</v>
      </c>
      <c r="G152" s="24" t="s">
        <v>288</v>
      </c>
    </row>
    <row r="153" spans="1:9" x14ac:dyDescent="0.2">
      <c r="A153" s="136" t="s">
        <v>29</v>
      </c>
      <c r="B153" s="152" t="str">
        <f>'DOE25'!F492</f>
        <v>08/19</v>
      </c>
      <c r="C153" s="152" t="str">
        <f>'DOE25'!G492</f>
        <v>08/39</v>
      </c>
      <c r="D153" s="152" t="str">
        <f>'DOE25'!H492</f>
        <v>08/39</v>
      </c>
      <c r="E153" s="152">
        <f>'DOE25'!I492</f>
        <v>0</v>
      </c>
      <c r="F153" s="152">
        <f>'DOE25'!J492</f>
        <v>0</v>
      </c>
      <c r="G153" s="24" t="s">
        <v>288</v>
      </c>
    </row>
    <row r="154" spans="1:9" x14ac:dyDescent="0.2">
      <c r="A154" s="136" t="s">
        <v>30</v>
      </c>
      <c r="B154" s="137">
        <f>'DOE25'!F493</f>
        <v>17500000</v>
      </c>
      <c r="C154" s="137">
        <f>'DOE25'!G493</f>
        <v>35115529.659999996</v>
      </c>
      <c r="D154" s="137">
        <f>'DOE25'!H493</f>
        <v>1817970.34</v>
      </c>
      <c r="E154" s="137">
        <f>'DOE25'!I493</f>
        <v>0</v>
      </c>
      <c r="F154" s="137">
        <f>'DOE25'!J493</f>
        <v>0</v>
      </c>
      <c r="G154" s="24" t="s">
        <v>288</v>
      </c>
    </row>
    <row r="155" spans="1:9" x14ac:dyDescent="0.2">
      <c r="A155" s="136" t="s">
        <v>31</v>
      </c>
      <c r="B155" s="137">
        <f>'DOE25'!F494</f>
        <v>5.2</v>
      </c>
      <c r="C155" s="137">
        <f>'DOE25'!G494</f>
        <v>4.4400000000000004</v>
      </c>
      <c r="D155" s="137">
        <f>'DOE25'!H494</f>
        <v>4.4400000000000004</v>
      </c>
      <c r="E155" s="137">
        <f>'DOE25'!I494</f>
        <v>0</v>
      </c>
      <c r="F155" s="137">
        <f>'DOE25'!J494</f>
        <v>0</v>
      </c>
      <c r="G155" s="24" t="s">
        <v>288</v>
      </c>
    </row>
    <row r="156" spans="1:9" x14ac:dyDescent="0.2">
      <c r="A156" s="22" t="s">
        <v>32</v>
      </c>
      <c r="B156" s="137">
        <f>'DOE25'!F495</f>
        <v>1750000</v>
      </c>
      <c r="C156" s="137">
        <f>'DOE25'!G495</f>
        <v>21259026.449999999</v>
      </c>
      <c r="D156" s="137">
        <f>'DOE25'!H495</f>
        <v>1100603.6200000001</v>
      </c>
      <c r="E156" s="137">
        <f>'DOE25'!I495</f>
        <v>0</v>
      </c>
      <c r="F156" s="137">
        <f>'DOE25'!J495</f>
        <v>0</v>
      </c>
      <c r="G156" s="138">
        <f>SUM(B156:F156)</f>
        <v>24109630.07</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875000</v>
      </c>
      <c r="C158" s="137">
        <f>'DOE25'!G497</f>
        <v>1524047.35</v>
      </c>
      <c r="D158" s="137">
        <f>'DOE25'!H497</f>
        <v>80213.02</v>
      </c>
      <c r="E158" s="137">
        <f>'DOE25'!I497</f>
        <v>0</v>
      </c>
      <c r="F158" s="137">
        <f>'DOE25'!J497</f>
        <v>0</v>
      </c>
      <c r="G158" s="138">
        <f t="shared" si="0"/>
        <v>2479260.37</v>
      </c>
    </row>
    <row r="159" spans="1:9" x14ac:dyDescent="0.2">
      <c r="A159" s="22" t="s">
        <v>35</v>
      </c>
      <c r="B159" s="137">
        <f>'DOE25'!F498</f>
        <v>875000</v>
      </c>
      <c r="C159" s="137">
        <f>'DOE25'!G498</f>
        <v>19734979.099999998</v>
      </c>
      <c r="D159" s="137">
        <f>'DOE25'!H498</f>
        <v>1020390.6000000001</v>
      </c>
      <c r="E159" s="137">
        <f>'DOE25'!I498</f>
        <v>0</v>
      </c>
      <c r="F159" s="137">
        <f>'DOE25'!J498</f>
        <v>0</v>
      </c>
      <c r="G159" s="138">
        <f t="shared" si="0"/>
        <v>21630369.699999999</v>
      </c>
    </row>
    <row r="160" spans="1:9" x14ac:dyDescent="0.2">
      <c r="A160" s="22" t="s">
        <v>36</v>
      </c>
      <c r="B160" s="137">
        <f>'DOE25'!F499</f>
        <v>22968.75</v>
      </c>
      <c r="C160" s="137">
        <f>'DOE25'!G499</f>
        <v>23218104.760000002</v>
      </c>
      <c r="D160" s="137">
        <f>'DOE25'!H499</f>
        <v>3805918.27</v>
      </c>
      <c r="E160" s="137">
        <f>'DOE25'!I499</f>
        <v>0</v>
      </c>
      <c r="F160" s="137">
        <f>'DOE25'!J499</f>
        <v>0</v>
      </c>
      <c r="G160" s="138">
        <f t="shared" si="0"/>
        <v>27046991.780000001</v>
      </c>
    </row>
    <row r="161" spans="1:7" x14ac:dyDescent="0.2">
      <c r="A161" s="22" t="s">
        <v>37</v>
      </c>
      <c r="B161" s="137">
        <f>'DOE25'!F500</f>
        <v>897968.75</v>
      </c>
      <c r="C161" s="137">
        <f>'DOE25'!G500</f>
        <v>42953083.859999999</v>
      </c>
      <c r="D161" s="137">
        <f>'DOE25'!H500</f>
        <v>4826308.87</v>
      </c>
      <c r="E161" s="137">
        <f>'DOE25'!I500</f>
        <v>0</v>
      </c>
      <c r="F161" s="137">
        <f>'DOE25'!J500</f>
        <v>0</v>
      </c>
      <c r="G161" s="138">
        <f t="shared" si="0"/>
        <v>48677361.479999997</v>
      </c>
    </row>
    <row r="162" spans="1:7" x14ac:dyDescent="0.2">
      <c r="A162" s="22" t="s">
        <v>38</v>
      </c>
      <c r="B162" s="137">
        <f>'DOE25'!F501</f>
        <v>875000</v>
      </c>
      <c r="C162" s="137">
        <f>'DOE25'!G501</f>
        <v>1452963.78</v>
      </c>
      <c r="D162" s="137">
        <f>'DOE25'!H501</f>
        <v>76471.78</v>
      </c>
      <c r="E162" s="137">
        <f>'DOE25'!I501</f>
        <v>0</v>
      </c>
      <c r="F162" s="137">
        <f>'DOE25'!J501</f>
        <v>0</v>
      </c>
      <c r="G162" s="138">
        <f t="shared" si="0"/>
        <v>2404435.56</v>
      </c>
    </row>
    <row r="163" spans="1:7" x14ac:dyDescent="0.2">
      <c r="A163" s="22" t="s">
        <v>39</v>
      </c>
      <c r="B163" s="137">
        <f>'DOE25'!F502</f>
        <v>22968.75</v>
      </c>
      <c r="C163" s="137">
        <f>'DOE25'!G502</f>
        <v>674677.59</v>
      </c>
      <c r="D163" s="137">
        <f>'DOE25'!H502</f>
        <v>35509.35</v>
      </c>
      <c r="E163" s="137">
        <f>'DOE25'!I502</f>
        <v>0</v>
      </c>
      <c r="F163" s="137">
        <f>'DOE25'!J502</f>
        <v>0</v>
      </c>
      <c r="G163" s="138">
        <f t="shared" si="0"/>
        <v>733155.69</v>
      </c>
    </row>
    <row r="164" spans="1:7" x14ac:dyDescent="0.2">
      <c r="A164" s="22" t="s">
        <v>246</v>
      </c>
      <c r="B164" s="137">
        <f>'DOE25'!F503</f>
        <v>897968.75</v>
      </c>
      <c r="C164" s="137">
        <f>'DOE25'!G503</f>
        <v>2127641.37</v>
      </c>
      <c r="D164" s="137">
        <f>'DOE25'!H503</f>
        <v>111981.13</v>
      </c>
      <c r="E164" s="137">
        <f>'DOE25'!I503</f>
        <v>0</v>
      </c>
      <c r="F164" s="137">
        <f>'DOE25'!J503</f>
        <v>0</v>
      </c>
      <c r="G164" s="138">
        <f t="shared" si="0"/>
        <v>3137591.25</v>
      </c>
    </row>
  </sheetData>
  <sheetProtection algorithmName="SHA-512" hashValue="FytqSiBVr1imVTlB2Yv9cBLV/rRarHZllYxkXMHGcYZ/z0axYllm9pvmjEJ9oNeIh6Ky2ZV+Dl5WurxeSTfVJw==" saltValue="UxqCWEKt/hThEkx3efwzkA==" spinCount="100000"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F28" sqref="F28"/>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Keene</v>
      </c>
    </row>
    <row r="3" spans="1:4" x14ac:dyDescent="0.2">
      <c r="B3" s="188" t="s">
        <v>1602</v>
      </c>
    </row>
    <row r="4" spans="1:4" x14ac:dyDescent="0.2">
      <c r="B4" t="s">
        <v>61</v>
      </c>
      <c r="C4" s="179">
        <f>IF('DOE25'!F665+'DOE25'!F670=0,0,ROUND('DOE25'!F672,0))</f>
        <v>17654</v>
      </c>
    </row>
    <row r="5" spans="1:4" x14ac:dyDescent="0.2">
      <c r="B5" t="s">
        <v>700</v>
      </c>
      <c r="C5" s="179">
        <f>IF('DOE25'!G665+'DOE25'!G670=0,0,ROUND('DOE25'!G672,0))</f>
        <v>13188</v>
      </c>
    </row>
    <row r="6" spans="1:4" x14ac:dyDescent="0.2">
      <c r="B6" t="s">
        <v>62</v>
      </c>
      <c r="C6" s="179">
        <f>IF('DOE25'!H665+'DOE25'!H670=0,0,ROUND('DOE25'!H672,0))</f>
        <v>15214</v>
      </c>
    </row>
    <row r="7" spans="1:4" x14ac:dyDescent="0.2">
      <c r="B7" t="s">
        <v>701</v>
      </c>
      <c r="C7" s="179">
        <f>IF('DOE25'!I665+'DOE25'!I670=0,0,ROUND('DOE25'!I672,0))</f>
        <v>15655</v>
      </c>
    </row>
    <row r="9" spans="1:4" x14ac:dyDescent="0.2">
      <c r="A9" s="187" t="s">
        <v>94</v>
      </c>
      <c r="B9" s="188" t="s">
        <v>1603</v>
      </c>
      <c r="C9" s="181" t="s">
        <v>720</v>
      </c>
      <c r="D9" s="181" t="s">
        <v>721</v>
      </c>
    </row>
    <row r="10" spans="1:4" x14ac:dyDescent="0.2">
      <c r="A10">
        <v>1100</v>
      </c>
      <c r="B10" t="s">
        <v>702</v>
      </c>
      <c r="C10" s="179">
        <f>ROUND('DOE25'!L197+'DOE25'!L215+'DOE25'!L233+'DOE25'!L276+'DOE25'!L295+'DOE25'!L314,0)</f>
        <v>21461506</v>
      </c>
      <c r="D10" s="182">
        <f>ROUND((C10/$C$28)*100,1)</f>
        <v>36.9</v>
      </c>
    </row>
    <row r="11" spans="1:4" x14ac:dyDescent="0.2">
      <c r="A11">
        <v>1200</v>
      </c>
      <c r="B11" t="s">
        <v>703</v>
      </c>
      <c r="C11" s="179">
        <f>ROUND('DOE25'!L198+'DOE25'!L216+'DOE25'!L234+'DOE25'!L277+'DOE25'!L296+'DOE25'!L315,0)</f>
        <v>11279913</v>
      </c>
      <c r="D11" s="182">
        <f>ROUND((C11/$C$28)*100,1)</f>
        <v>19.399999999999999</v>
      </c>
    </row>
    <row r="12" spans="1:4" x14ac:dyDescent="0.2">
      <c r="A12">
        <v>1300</v>
      </c>
      <c r="B12" t="s">
        <v>704</v>
      </c>
      <c r="C12" s="179">
        <f>ROUND('DOE25'!L199+'DOE25'!L217+'DOE25'!L235+'DOE25'!L278+'DOE25'!L297+'DOE25'!L316,0)</f>
        <v>1450522</v>
      </c>
      <c r="D12" s="182">
        <f>ROUND((C12/$C$28)*100,1)</f>
        <v>2.5</v>
      </c>
    </row>
    <row r="13" spans="1:4" x14ac:dyDescent="0.2">
      <c r="A13">
        <v>1400</v>
      </c>
      <c r="B13" t="s">
        <v>705</v>
      </c>
      <c r="C13" s="179">
        <f>ROUND('DOE25'!L200+'DOE25'!L218+'DOE25'!L236+'DOE25'!L279+'DOE25'!L298+'DOE25'!L317,0)</f>
        <v>871647</v>
      </c>
      <c r="D13" s="182">
        <f>ROUND((C13/$C$28)*100,1)</f>
        <v>1.5</v>
      </c>
    </row>
    <row r="14" spans="1:4" x14ac:dyDescent="0.2">
      <c r="D14" s="182"/>
    </row>
    <row r="15" spans="1:4" x14ac:dyDescent="0.2">
      <c r="A15">
        <v>2100</v>
      </c>
      <c r="B15" t="s">
        <v>706</v>
      </c>
      <c r="C15" s="179">
        <f>ROUND('DOE25'!L202+'DOE25'!L220+'DOE25'!L238+'DOE25'!L281+'DOE25'!L300+'DOE25'!L319,0)</f>
        <v>5231669</v>
      </c>
      <c r="D15" s="182">
        <f t="shared" ref="D15:D27" si="0">ROUND((C15/$C$28)*100,1)</f>
        <v>9</v>
      </c>
    </row>
    <row r="16" spans="1:4" x14ac:dyDescent="0.2">
      <c r="A16">
        <v>2200</v>
      </c>
      <c r="B16" t="s">
        <v>707</v>
      </c>
      <c r="C16" s="179">
        <f>ROUND('DOE25'!L203+'DOE25'!L221+'DOE25'!L239+'DOE25'!L282+'DOE25'!L301+'DOE25'!L320,0)</f>
        <v>1488375</v>
      </c>
      <c r="D16" s="182">
        <f t="shared" si="0"/>
        <v>2.6</v>
      </c>
    </row>
    <row r="17" spans="1:4" x14ac:dyDescent="0.2">
      <c r="A17" s="183" t="s">
        <v>723</v>
      </c>
      <c r="B17" t="s">
        <v>738</v>
      </c>
      <c r="C17" s="179">
        <f>ROUND('DOE25'!L204+'DOE25'!L209+'DOE25'!L222+'DOE25'!L227+'DOE25'!L240+'DOE25'!L245+'DOE25'!L283+'DOE25'!L288+'DOE25'!L302+'DOE25'!L307+'DOE25'!L321+'DOE25'!L326,0)</f>
        <v>3997629</v>
      </c>
      <c r="D17" s="182">
        <f t="shared" si="0"/>
        <v>6.9</v>
      </c>
    </row>
    <row r="18" spans="1:4" x14ac:dyDescent="0.2">
      <c r="A18">
        <v>2400</v>
      </c>
      <c r="B18" t="s">
        <v>711</v>
      </c>
      <c r="C18" s="179">
        <f>ROUND('DOE25'!L205+'DOE25'!L223+'DOE25'!L241+'DOE25'!L284+'DOE25'!L303+'DOE25'!L322,0)</f>
        <v>2994286</v>
      </c>
      <c r="D18" s="182">
        <f t="shared" si="0"/>
        <v>5.0999999999999996</v>
      </c>
    </row>
    <row r="19" spans="1:4" x14ac:dyDescent="0.2">
      <c r="A19">
        <v>2500</v>
      </c>
      <c r="B19" t="s">
        <v>708</v>
      </c>
      <c r="C19" s="179">
        <f>ROUND('DOE25'!L206+'DOE25'!L224+'DOE25'!L242+'DOE25'!L285+'DOE25'!L304+'DOE25'!L323,0)</f>
        <v>139116</v>
      </c>
      <c r="D19" s="182">
        <f t="shared" si="0"/>
        <v>0.2</v>
      </c>
    </row>
    <row r="20" spans="1:4" x14ac:dyDescent="0.2">
      <c r="A20">
        <v>2600</v>
      </c>
      <c r="B20" t="s">
        <v>709</v>
      </c>
      <c r="C20" s="179">
        <f>ROUND('DOE25'!L207+'DOE25'!L225+'DOE25'!L243+'DOE25'!L286+'DOE25'!L305+'DOE25'!L324,0)</f>
        <v>5059945</v>
      </c>
      <c r="D20" s="182">
        <f t="shared" si="0"/>
        <v>8.6999999999999993</v>
      </c>
    </row>
    <row r="21" spans="1:4" x14ac:dyDescent="0.2">
      <c r="A21">
        <v>2700</v>
      </c>
      <c r="B21" t="s">
        <v>710</v>
      </c>
      <c r="C21" s="179">
        <f>ROUND('DOE25'!L208+'DOE25'!L226+'DOE25'!L244+'DOE25'!L287+'DOE25'!L306+'DOE25'!L325,0)</f>
        <v>2087433</v>
      </c>
      <c r="D21" s="182">
        <f t="shared" si="0"/>
        <v>3.6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490221</v>
      </c>
      <c r="D24" s="182">
        <f t="shared" si="0"/>
        <v>0.8</v>
      </c>
    </row>
    <row r="25" spans="1:4" x14ac:dyDescent="0.2">
      <c r="A25">
        <v>5120</v>
      </c>
      <c r="B25" t="s">
        <v>716</v>
      </c>
      <c r="C25" s="179">
        <f>ROUND('DOE25'!L261+'DOE25'!L342,0)</f>
        <v>834058</v>
      </c>
      <c r="D25" s="182">
        <f t="shared" si="0"/>
        <v>1.4</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762856.68</v>
      </c>
      <c r="D27" s="182">
        <f t="shared" si="0"/>
        <v>1.3</v>
      </c>
    </row>
    <row r="28" spans="1:4" x14ac:dyDescent="0.2">
      <c r="B28" s="187" t="s">
        <v>719</v>
      </c>
      <c r="C28" s="180">
        <f>SUM(C10:C27)</f>
        <v>58149176.68</v>
      </c>
      <c r="D28" s="184">
        <f>ROUND(SUM(D10:D27),0)</f>
        <v>100</v>
      </c>
    </row>
    <row r="29" spans="1:4" x14ac:dyDescent="0.2">
      <c r="A29">
        <v>4000</v>
      </c>
      <c r="B29" t="s">
        <v>724</v>
      </c>
      <c r="C29" s="179">
        <f>ROUND('DOE25'!L255+'DOE25'!L336+'DOE25'!L374+'DOE25'!L375+'DOE25'!L376+'DOE25'!L377+'DOE25'!L378+'DOE25'!L379+'DOE25'!L380,0)</f>
        <v>3298524</v>
      </c>
    </row>
    <row r="30" spans="1:4" x14ac:dyDescent="0.2">
      <c r="B30" s="187" t="s">
        <v>725</v>
      </c>
      <c r="C30" s="180">
        <f>SUM(C28:C29)</f>
        <v>61447700.68</v>
      </c>
    </row>
    <row r="31" spans="1:4" x14ac:dyDescent="0.2">
      <c r="B31" s="33"/>
      <c r="C31" s="180"/>
    </row>
    <row r="32" spans="1:4" x14ac:dyDescent="0.2">
      <c r="A32">
        <v>5100</v>
      </c>
      <c r="B32" s="33" t="s">
        <v>726</v>
      </c>
      <c r="C32" s="180">
        <f>ROUND('DOE25'!L260+'DOE25'!L341,0)</f>
        <v>2479260</v>
      </c>
    </row>
    <row r="34" spans="1:4" x14ac:dyDescent="0.2">
      <c r="A34" s="187" t="s">
        <v>94</v>
      </c>
      <c r="B34" s="188" t="s">
        <v>1604</v>
      </c>
      <c r="C34" s="181" t="s">
        <v>720</v>
      </c>
      <c r="D34" s="181" t="s">
        <v>721</v>
      </c>
    </row>
    <row r="35" spans="1:4" x14ac:dyDescent="0.2">
      <c r="A35">
        <v>1100</v>
      </c>
      <c r="B35" s="185" t="s">
        <v>727</v>
      </c>
      <c r="C35" s="179">
        <f>ROUND('DOE25'!F60+'DOE25'!G60+'DOE25'!H60+'DOE25'!I60+'DOE25'!J60,0)</f>
        <v>30396719</v>
      </c>
      <c r="D35" s="182">
        <f t="shared" ref="D35:D40" si="1">ROUND((C35/$C$41)*100,1)</f>
        <v>46.5</v>
      </c>
    </row>
    <row r="36" spans="1:4" x14ac:dyDescent="0.2">
      <c r="B36" s="185" t="s">
        <v>739</v>
      </c>
      <c r="C36" s="179">
        <f>SUM('DOE25'!F112:J112)-SUM('DOE25'!G97:G110)+('DOE25'!F174+'DOE25'!F175+'DOE25'!I174+'DOE25'!I175)-C35</f>
        <v>13411641.239999995</v>
      </c>
      <c r="D36" s="182">
        <f t="shared" si="1"/>
        <v>20.5</v>
      </c>
    </row>
    <row r="37" spans="1:4" x14ac:dyDescent="0.2">
      <c r="A37" s="183" t="s">
        <v>835</v>
      </c>
      <c r="B37" s="185" t="s">
        <v>728</v>
      </c>
      <c r="C37" s="179">
        <f>ROUND('DOE25'!F117+'DOE25'!F118,0)</f>
        <v>14739392</v>
      </c>
      <c r="D37" s="182">
        <f t="shared" si="1"/>
        <v>22.6</v>
      </c>
    </row>
    <row r="38" spans="1:4" x14ac:dyDescent="0.2">
      <c r="A38" s="183" t="s">
        <v>734</v>
      </c>
      <c r="B38" s="185" t="s">
        <v>729</v>
      </c>
      <c r="C38" s="179">
        <f>ROUND(SUM('DOE25'!F140:J140)-SUM('DOE25'!F117:F119),0)</f>
        <v>3397295</v>
      </c>
      <c r="D38" s="182">
        <f t="shared" si="1"/>
        <v>5.2</v>
      </c>
    </row>
    <row r="39" spans="1:4" x14ac:dyDescent="0.2">
      <c r="A39">
        <v>4000</v>
      </c>
      <c r="B39" s="185" t="s">
        <v>730</v>
      </c>
      <c r="C39" s="179">
        <f>ROUND('DOE25'!F169+'DOE25'!G169+'DOE25'!H169+'DOE25'!I169,0)</f>
        <v>3363462</v>
      </c>
      <c r="D39" s="182">
        <f t="shared" si="1"/>
        <v>5.2</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65308509.239999995</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Keene</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v>4</v>
      </c>
      <c r="B4" s="219">
        <v>10</v>
      </c>
      <c r="C4" s="334" t="s">
        <v>1613</v>
      </c>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2019-09-05T15:45:37Z</cp:lastPrinted>
  <dcterms:created xsi:type="dcterms:W3CDTF">1997-12-04T19:04:30Z</dcterms:created>
  <dcterms:modified xsi:type="dcterms:W3CDTF">2019-11-22T15:56:27Z</dcterms:modified>
</cp:coreProperties>
</file>