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13" i="1" l="1"/>
  <c r="B28" i="12"/>
  <c r="J591" i="1"/>
  <c r="H244" i="1"/>
  <c r="G251" i="1"/>
  <c r="F251" i="1"/>
  <c r="I243" i="1"/>
  <c r="H243" i="1"/>
  <c r="G243" i="1"/>
  <c r="F243" i="1"/>
  <c r="G241" i="1"/>
  <c r="I241" i="1"/>
  <c r="H241" i="1"/>
  <c r="F241" i="1"/>
  <c r="I239" i="1"/>
  <c r="H239" i="1"/>
  <c r="G238" i="1"/>
  <c r="F238" i="1"/>
  <c r="G236" i="1"/>
  <c r="F236" i="1"/>
  <c r="G97" i="1" l="1"/>
  <c r="F11" i="1"/>
  <c r="F57" i="1"/>
  <c r="F12" i="1" l="1"/>
  <c r="F24"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C13" i="10" s="1"/>
  <c r="G6" i="13"/>
  <c r="H6" i="13"/>
  <c r="L202" i="1"/>
  <c r="L220" i="1"/>
  <c r="L238" i="1"/>
  <c r="G7" i="13"/>
  <c r="H7" i="13"/>
  <c r="L203" i="1"/>
  <c r="L221" i="1"/>
  <c r="L239" i="1"/>
  <c r="G12" i="13"/>
  <c r="H12" i="13"/>
  <c r="L205" i="1"/>
  <c r="L223" i="1"/>
  <c r="L241" i="1"/>
  <c r="C121" i="2" s="1"/>
  <c r="G14" i="13"/>
  <c r="H14" i="13"/>
  <c r="L207" i="1"/>
  <c r="L225" i="1"/>
  <c r="L243" i="1"/>
  <c r="G15" i="13"/>
  <c r="H15" i="13"/>
  <c r="L208" i="1"/>
  <c r="L226" i="1"/>
  <c r="G650" i="1" s="1"/>
  <c r="L244" i="1"/>
  <c r="H662"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E120" i="2" s="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C113" i="2" s="1"/>
  <c r="L332" i="1"/>
  <c r="E113" i="2" s="1"/>
  <c r="L254" i="1"/>
  <c r="L268" i="1"/>
  <c r="L269" i="1"/>
  <c r="C143" i="2" s="1"/>
  <c r="L349" i="1"/>
  <c r="E142" i="2" s="1"/>
  <c r="L350" i="1"/>
  <c r="I665" i="1"/>
  <c r="I670" i="1"/>
  <c r="G662" i="1"/>
  <c r="I669" i="1"/>
  <c r="C42" i="10"/>
  <c r="C32" i="10"/>
  <c r="L374" i="1"/>
  <c r="L375" i="1"/>
  <c r="L376" i="1"/>
  <c r="L377" i="1"/>
  <c r="L378" i="1"/>
  <c r="L379" i="1"/>
  <c r="L380" i="1"/>
  <c r="B2" i="10"/>
  <c r="L344" i="1"/>
  <c r="E134" i="2"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D34" i="2"/>
  <c r="E34" i="2"/>
  <c r="F34"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1" i="2"/>
  <c r="E123" i="2"/>
  <c r="E124" i="2"/>
  <c r="C125" i="2"/>
  <c r="E125" i="2"/>
  <c r="F128" i="2"/>
  <c r="G128" i="2"/>
  <c r="D134" i="2"/>
  <c r="D144" i="2" s="1"/>
  <c r="F134" i="2"/>
  <c r="K419" i="1"/>
  <c r="K427" i="1"/>
  <c r="K433" i="1"/>
  <c r="L263" i="1"/>
  <c r="C135" i="2" s="1"/>
  <c r="E135" i="2"/>
  <c r="L264" i="1"/>
  <c r="C136" i="2" s="1"/>
  <c r="L265" i="1"/>
  <c r="C137" i="2" s="1"/>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G32" i="1"/>
  <c r="G52" i="1" s="1"/>
  <c r="H618" i="1" s="1"/>
  <c r="H32" i="1"/>
  <c r="I32" i="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F408" i="1" s="1"/>
  <c r="H643" i="1" s="1"/>
  <c r="G407" i="1"/>
  <c r="H407" i="1"/>
  <c r="H408" i="1" s="1"/>
  <c r="H644" i="1" s="1"/>
  <c r="I407"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H460" i="1"/>
  <c r="H461" i="1" s="1"/>
  <c r="H641" i="1" s="1"/>
  <c r="I470" i="1"/>
  <c r="J470" i="1"/>
  <c r="J476" i="1" s="1"/>
  <c r="H626"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3" i="1"/>
  <c r="G624" i="1"/>
  <c r="H630" i="1"/>
  <c r="H631" i="1"/>
  <c r="G634" i="1"/>
  <c r="H636" i="1"/>
  <c r="H637" i="1"/>
  <c r="H638" i="1"/>
  <c r="G640" i="1"/>
  <c r="G643" i="1"/>
  <c r="G644" i="1"/>
  <c r="G645" i="1"/>
  <c r="H645" i="1"/>
  <c r="G651" i="1"/>
  <c r="G652" i="1"/>
  <c r="H652" i="1"/>
  <c r="G653" i="1"/>
  <c r="H653" i="1"/>
  <c r="G654" i="1"/>
  <c r="H654" i="1"/>
  <c r="H655" i="1"/>
  <c r="J655" i="1" s="1"/>
  <c r="D18" i="2"/>
  <c r="D50" i="2"/>
  <c r="G62" i="2"/>
  <c r="I169" i="1"/>
  <c r="J140" i="1"/>
  <c r="G22" i="2"/>
  <c r="H140" i="1"/>
  <c r="L560" i="1"/>
  <c r="H192" i="1"/>
  <c r="G552" i="1" l="1"/>
  <c r="H552" i="1"/>
  <c r="K352" i="1"/>
  <c r="E103" i="2"/>
  <c r="C12" i="10"/>
  <c r="J571" i="1"/>
  <c r="I52" i="1"/>
  <c r="H620" i="1" s="1"/>
  <c r="I408" i="1"/>
  <c r="L270" i="1"/>
  <c r="G545" i="1"/>
  <c r="C91" i="2"/>
  <c r="F18" i="2"/>
  <c r="J643" i="1"/>
  <c r="J634" i="1"/>
  <c r="J641" i="1"/>
  <c r="C11" i="10"/>
  <c r="I545" i="1"/>
  <c r="J645" i="1"/>
  <c r="K605" i="1"/>
  <c r="G648" i="1" s="1"/>
  <c r="F571" i="1"/>
  <c r="G461" i="1"/>
  <c r="H640" i="1" s="1"/>
  <c r="J640" i="1" s="1"/>
  <c r="L256" i="1"/>
  <c r="J651" i="1"/>
  <c r="F461" i="1"/>
  <c r="H639" i="1" s="1"/>
  <c r="L419" i="1"/>
  <c r="D91" i="2"/>
  <c r="E78" i="2"/>
  <c r="C112" i="2"/>
  <c r="C18" i="2"/>
  <c r="E31" i="2"/>
  <c r="J257" i="1"/>
  <c r="J271" i="1" s="1"/>
  <c r="A31" i="12"/>
  <c r="C20" i="10"/>
  <c r="F338" i="1"/>
  <c r="F352" i="1" s="1"/>
  <c r="C120" i="2"/>
  <c r="D15" i="13"/>
  <c r="C15" i="13" s="1"/>
  <c r="G338" i="1"/>
  <c r="G352" i="1" s="1"/>
  <c r="H112" i="1"/>
  <c r="F257" i="1"/>
  <c r="F271" i="1" s="1"/>
  <c r="C119" i="2"/>
  <c r="H257" i="1"/>
  <c r="H271" i="1" s="1"/>
  <c r="E13" i="13"/>
  <c r="C13" i="13" s="1"/>
  <c r="D6" i="13"/>
  <c r="C6" i="13" s="1"/>
  <c r="C110" i="2"/>
  <c r="F661" i="1"/>
  <c r="D81" i="2"/>
  <c r="L362" i="1"/>
  <c r="F112" i="1"/>
  <c r="E122" i="2"/>
  <c r="E118" i="2"/>
  <c r="L290" i="1"/>
  <c r="L247" i="1"/>
  <c r="L211" i="1"/>
  <c r="L614" i="1"/>
  <c r="K598" i="1"/>
  <c r="G647" i="1" s="1"/>
  <c r="K571" i="1"/>
  <c r="L570" i="1"/>
  <c r="H571" i="1"/>
  <c r="L565" i="1"/>
  <c r="I571" i="1"/>
  <c r="K545" i="1"/>
  <c r="H52" i="1"/>
  <c r="H619" i="1" s="1"/>
  <c r="J619" i="1" s="1"/>
  <c r="C114" i="2"/>
  <c r="G112" i="1"/>
  <c r="L328" i="1"/>
  <c r="L309" i="1"/>
  <c r="H647" i="1"/>
  <c r="J644" i="1"/>
  <c r="G625" i="1"/>
  <c r="L529" i="1"/>
  <c r="H545" i="1"/>
  <c r="G164" i="2"/>
  <c r="G161" i="2"/>
  <c r="G157" i="2"/>
  <c r="G156" i="2"/>
  <c r="G81" i="2"/>
  <c r="C78" i="2"/>
  <c r="F78" i="2"/>
  <c r="F81" i="2" s="1"/>
  <c r="C70" i="2"/>
  <c r="D62" i="2"/>
  <c r="D63" i="2" s="1"/>
  <c r="E57" i="2"/>
  <c r="E62" i="2" s="1"/>
  <c r="E63" i="2" s="1"/>
  <c r="C26" i="10"/>
  <c r="C18" i="10"/>
  <c r="L393" i="1"/>
  <c r="C138" i="2" s="1"/>
  <c r="J545" i="1"/>
  <c r="I476" i="1"/>
  <c r="H625" i="1" s="1"/>
  <c r="L433" i="1"/>
  <c r="L427" i="1"/>
  <c r="I257" i="1"/>
  <c r="I271" i="1" s="1"/>
  <c r="K257" i="1"/>
  <c r="K271" i="1" s="1"/>
  <c r="G192" i="1"/>
  <c r="F192" i="1"/>
  <c r="J552" i="1"/>
  <c r="I552" i="1"/>
  <c r="K549" i="1"/>
  <c r="F552" i="1"/>
  <c r="L351" i="1"/>
  <c r="F130" i="2"/>
  <c r="F144" i="2" s="1"/>
  <c r="F145" i="2" s="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L337" i="1"/>
  <c r="F62" i="2"/>
  <c r="F63" i="2" s="1"/>
  <c r="C23" i="10"/>
  <c r="G163" i="2"/>
  <c r="G162" i="2"/>
  <c r="G160" i="2"/>
  <c r="G159" i="2"/>
  <c r="G158" i="2"/>
  <c r="G103" i="2"/>
  <c r="F103" i="2"/>
  <c r="C103" i="2"/>
  <c r="F91" i="2"/>
  <c r="E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H193" i="1"/>
  <c r="G169" i="1"/>
  <c r="C39" i="10" s="1"/>
  <c r="G140" i="1"/>
  <c r="F140" i="1"/>
  <c r="G63" i="2"/>
  <c r="J618" i="1"/>
  <c r="G42" i="2"/>
  <c r="G50" i="2" s="1"/>
  <c r="J51" i="1"/>
  <c r="G16" i="2"/>
  <c r="G18" i="2" s="1"/>
  <c r="J19" i="1"/>
  <c r="G621" i="1" s="1"/>
  <c r="F545" i="1"/>
  <c r="H434" i="1"/>
  <c r="J620" i="1"/>
  <c r="D103" i="2"/>
  <c r="I140" i="1"/>
  <c r="I193" i="1" s="1"/>
  <c r="G630" i="1" s="1"/>
  <c r="J630" i="1" s="1"/>
  <c r="A22" i="12"/>
  <c r="H646" i="1"/>
  <c r="J652" i="1"/>
  <c r="G571" i="1"/>
  <c r="I434" i="1"/>
  <c r="G434" i="1"/>
  <c r="I663" i="1"/>
  <c r="E128" i="2" l="1"/>
  <c r="C63" i="2"/>
  <c r="F104" i="2"/>
  <c r="G635" i="1"/>
  <c r="G472" i="1"/>
  <c r="G104" i="2"/>
  <c r="G629" i="1"/>
  <c r="H468" i="1"/>
  <c r="C144" i="2"/>
  <c r="C35" i="2"/>
  <c r="C34" i="2"/>
  <c r="E51" i="2"/>
  <c r="F193" i="1"/>
  <c r="G33" i="13"/>
  <c r="C36" i="10"/>
  <c r="E104" i="2"/>
  <c r="H648" i="1"/>
  <c r="J648" i="1" s="1"/>
  <c r="I661" i="1"/>
  <c r="C81" i="2"/>
  <c r="C104" i="2" s="1"/>
  <c r="C27" i="10"/>
  <c r="C28" i="10" s="1"/>
  <c r="D23" i="10" s="1"/>
  <c r="H660" i="1"/>
  <c r="H664" i="1" s="1"/>
  <c r="H667" i="1" s="1"/>
  <c r="C115" i="2"/>
  <c r="G4" i="14"/>
  <c r="H4" i="14" s="1"/>
  <c r="I4" i="14" s="1"/>
  <c r="L257" i="1"/>
  <c r="L271" i="1" s="1"/>
  <c r="E33" i="13"/>
  <c r="D35" i="13" s="1"/>
  <c r="E145" i="2"/>
  <c r="D104" i="2"/>
  <c r="G24" i="14"/>
  <c r="H24" i="14" s="1"/>
  <c r="I24" i="14" s="1"/>
  <c r="F660" i="1"/>
  <c r="F664" i="1" s="1"/>
  <c r="F667" i="1" s="1"/>
  <c r="C128" i="2"/>
  <c r="L338" i="1"/>
  <c r="L352" i="1" s="1"/>
  <c r="C16" i="13"/>
  <c r="G36" i="14"/>
  <c r="H36" i="14" s="1"/>
  <c r="I36" i="14" s="1"/>
  <c r="L545" i="1"/>
  <c r="G51" i="2"/>
  <c r="J625" i="1"/>
  <c r="J647" i="1"/>
  <c r="D31" i="13"/>
  <c r="C31" i="13" s="1"/>
  <c r="I461" i="1"/>
  <c r="H642" i="1" s="1"/>
  <c r="J642" i="1" s="1"/>
  <c r="G660" i="1"/>
  <c r="G664" i="1" s="1"/>
  <c r="G667" i="1" s="1"/>
  <c r="C25" i="13"/>
  <c r="I33" i="13"/>
  <c r="K552" i="1"/>
  <c r="G631" i="1"/>
  <c r="J631" i="1" s="1"/>
  <c r="J646" i="1"/>
  <c r="G193" i="1"/>
  <c r="G626" i="1"/>
  <c r="J626" i="1" s="1"/>
  <c r="J52" i="1"/>
  <c r="H621" i="1" s="1"/>
  <c r="J621" i="1" s="1"/>
  <c r="C38" i="10"/>
  <c r="G628" i="1" l="1"/>
  <c r="G468" i="1"/>
  <c r="G627" i="1"/>
  <c r="F468" i="1"/>
  <c r="H635" i="1"/>
  <c r="G474" i="1"/>
  <c r="G632" i="1"/>
  <c r="F472" i="1"/>
  <c r="H470" i="1"/>
  <c r="H629" i="1"/>
  <c r="J629" i="1" s="1"/>
  <c r="J635" i="1"/>
  <c r="G633" i="1"/>
  <c r="H472" i="1"/>
  <c r="C50" i="2"/>
  <c r="C51" i="2" s="1"/>
  <c r="F51" i="1"/>
  <c r="C145" i="2"/>
  <c r="H672" i="1"/>
  <c r="C6" i="10" s="1"/>
  <c r="F672" i="1"/>
  <c r="C4" i="10" s="1"/>
  <c r="I660" i="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C41" i="10"/>
  <c r="D38" i="10" s="1"/>
  <c r="F474" i="1" l="1"/>
  <c r="H632" i="1"/>
  <c r="J632" i="1" s="1"/>
  <c r="F470" i="1"/>
  <c r="H627" i="1"/>
  <c r="J627" i="1" s="1"/>
  <c r="G470" i="1"/>
  <c r="G476" i="1" s="1"/>
  <c r="H623" i="1" s="1"/>
  <c r="J623" i="1" s="1"/>
  <c r="H628" i="1"/>
  <c r="J628" i="1" s="1"/>
  <c r="H633" i="1"/>
  <c r="J633" i="1" s="1"/>
  <c r="H474" i="1"/>
  <c r="H476" i="1" s="1"/>
  <c r="H624" i="1" s="1"/>
  <c r="J624" i="1" s="1"/>
  <c r="G622" i="1"/>
  <c r="F52" i="1"/>
  <c r="H617" i="1" s="1"/>
  <c r="J617" i="1" s="1"/>
  <c r="I667" i="1"/>
  <c r="D28" i="10"/>
  <c r="D37" i="10"/>
  <c r="D36" i="10"/>
  <c r="D35" i="10"/>
  <c r="D40" i="10"/>
  <c r="D39" i="10"/>
  <c r="F476" i="1" l="1"/>
  <c r="H622" i="1" s="1"/>
  <c r="J622" i="1" s="1"/>
  <c r="D41" i="10"/>
  <c r="H656" i="1" l="1"/>
  <c r="B40" i="12"/>
  <c r="A40" i="12"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<sst xmlns="http://schemas.openxmlformats.org/spreadsheetml/2006/main" count="5511" uniqueCount="1611">
  <si>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</si>
  <si>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</si>
  <si>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</si>
  <si>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</si>
  <si>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</si>
  <si>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</si>
  <si>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</si>
  <si>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</si>
  <si>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</si>
  <si>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</si>
  <si>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</si>
  <si>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</si>
  <si>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</si>
  <si>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</si>
  <si>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</si>
  <si>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</si>
  <si>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</si>
  <si>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</si>
  <si>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</si>
  <si>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</si>
  <si>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</si>
  <si>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</si>
  <si>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</si>
  <si>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</si>
  <si>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</si>
  <si>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</si>
  <si>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</si>
  <si>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</si>
  <si>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</si>
  <si>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</si>
  <si>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</si>
  <si>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</si>
  <si>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</si>
  <si>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</si>
  <si>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</si>
  <si>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</si>
  <si>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</si>
  <si>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</si>
  <si>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</si>
  <si>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</si>
  <si>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</si>
  <si>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</si>
  <si>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</si>
  <si>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</si>
  <si>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</si>
  <si>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</si>
  <si>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</si>
  <si>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</si>
  <si>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</si>
  <si>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</si>
  <si>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</si>
  <si>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</si>
  <si>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</si>
  <si>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</si>
  <si>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</si>
  <si>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</si>
  <si>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</si>
  <si>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</si>
  <si>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</si>
  <si>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</si>
  <si>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</si>
  <si>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</si>
  <si>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</si>
  <si>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</si>
  <si>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</si>
  <si>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</si>
  <si>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</si>
  <si>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</si>
  <si>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</si>
  <si>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</si>
  <si>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</si>
  <si>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</si>
  <si>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</si>
  <si>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</si>
  <si>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</si>
  <si>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</si>
  <si>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</si>
  <si>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</si>
  <si>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</si>
  <si>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</si>
  <si>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</si>
  <si>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</si>
  <si>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</si>
  <si>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</si>
  <si>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</si>
  <si>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</si>
  <si>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</si>
  <si>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</si>
  <si>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</si>
  <si>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</si>
  <si>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</si>
  <si>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</si>
  <si>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</si>
  <si>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</si>
  <si>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</si>
  <si>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</si>
  <si>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</si>
  <si>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</si>
  <si>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</si>
  <si>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</si>
  <si>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</si>
  <si>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</si>
  <si>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</si>
  <si>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</si>
  <si>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</si>
  <si>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</si>
  <si>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</si>
  <si>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</si>
  <si>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</si>
  <si>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</si>
  <si>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</si>
  <si>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</si>
  <si>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</si>
  <si>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</si>
  <si>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</si>
  <si>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</si>
  <si>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</si>
  <si>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</si>
  <si>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</si>
  <si>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</si>
  <si>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</si>
  <si>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</si>
  <si>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</si>
  <si>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</si>
  <si>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</si>
  <si>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</si>
  <si>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</si>
  <si>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</si>
  <si>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</si>
  <si>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</si>
  <si>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</si>
  <si>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</si>
  <si>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</si>
  <si>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</si>
  <si>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</si>
  <si>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</si>
  <si>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</si>
  <si>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</si>
  <si>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</si>
  <si>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</si>
  <si>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</si>
  <si>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</si>
  <si>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</si>
  <si>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</si>
  <si>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</si>
  <si>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</si>
  <si>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</si>
  <si>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</si>
  <si>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</si>
  <si>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</si>
  <si>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</si>
  <si>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</si>
  <si>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</si>
  <si>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</si>
  <si>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</si>
  <si>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</si>
  <si>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</si>
  <si>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</si>
  <si>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</si>
  <si>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</si>
  <si>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</si>
  <si>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</si>
  <si>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</si>
  <si>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</si>
  <si>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</si>
  <si>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</si>
  <si>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</si>
  <si>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</si>
  <si>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</si>
  <si>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</si>
  <si>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</si>
  <si>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</si>
  <si>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</si>
  <si>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</si>
  <si>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</si>
  <si>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</si>
  <si>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</si>
  <si>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</si>
  <si>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</si>
  <si>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</si>
  <si>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</si>
  <si>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</si>
  <si>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</si>
  <si>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</si>
  <si>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</si>
  <si>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</si>
  <si>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</si>
  <si>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</si>
  <si>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</si>
  <si>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</si>
  <si>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</si>
  <si>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</si>
  <si>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</si>
  <si>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</si>
  <si>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</si>
  <si>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</si>
  <si>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</si>
  <si>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</si>
  <si>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</si>
  <si>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</si>
  <si>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</si>
  <si>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</si>
  <si>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</si>
  <si>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</si>
  <si>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</si>
  <si>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</si>
  <si>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</si>
  <si>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</si>
  <si>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</si>
  <si>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</si>
  <si>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</si>
  <si>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</si>
  <si>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</si>
  <si>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</si>
  <si>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</si>
  <si>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</si>
  <si>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</si>
  <si>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</si>
  <si>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</si>
  <si>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</si>
  <si>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</si>
  <si>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</si>
  <si>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</si>
  <si>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</si>
  <si>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</si>
  <si>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</si>
  <si>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</si>
  <si>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</si>
  <si>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</si>
  <si>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</si>
  <si>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</si>
  <si>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</si>
  <si>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</si>
  <si>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</si>
  <si>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</si>
  <si>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</si>
  <si>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</si>
  <si>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</si>
  <si>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</si>
  <si>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</si>
  <si>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</si>
  <si>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</si>
  <si>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</si>
  <si>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</si>
  <si>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</si>
  <si>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</si>
  <si>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</si>
  <si>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</si>
  <si>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</si>
  <si>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</si>
  <si>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</si>
  <si>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</si>
  <si>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</si>
  <si>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</si>
  <si>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</si>
  <si>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</si>
  <si>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</si>
  <si>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</si>
  <si>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</si>
  <si>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</si>
  <si>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</si>
  <si>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</si>
  <si>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</si>
  <si>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</si>
  <si>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</si>
  <si>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</si>
  <si>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</si>
  <si>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</si>
  <si>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</si>
  <si>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</si>
  <si>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</si>
  <si>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</si>
  <si>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</si>
  <si>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</si>
  <si>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</si>
  <si>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</si>
  <si>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</si>
  <si>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</si>
  <si>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</si>
  <si>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</si>
  <si>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</si>
  <si>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</si>
  <si>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</si>
  <si>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</si>
  <si>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</si>
  <si>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</si>
  <si>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</si>
  <si>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</si>
  <si>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</si>
  <si>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</si>
  <si>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</si>
  <si>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</si>
  <si>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</si>
  <si>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</si>
  <si>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</si>
  <si>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</si>
  <si>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</si>
  <si>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</si>
  <si>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</si>
  <si>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</si>
  <si>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</si>
  <si>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</si>
  <si>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</si>
  <si>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</si>
  <si>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</si>
  <si>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</si>
  <si>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</si>
  <si>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</si>
  <si>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</si>
  <si>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</si>
  <si>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</si>
  <si>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</si>
  <si>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</si>
  <si>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</si>
  <si>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</si>
  <si>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</si>
  <si>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</si>
  <si>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</si>
  <si>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</si>
  <si>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</si>
  <si>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</si>
  <si>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</si>
  <si>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</si>
  <si>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</si>
  <si>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</si>
  <si>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</si>
  <si>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</si>
  <si>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</si>
  <si>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</si>
  <si>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</si>
  <si>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</si>
  <si>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</si>
  <si>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</si>
  <si>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</si>
  <si>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</si>
  <si>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</si>
  <si>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</si>
  <si>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</si>
  <si>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</si>
  <si>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</si>
  <si>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</si>
  <si>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</si>
  <si>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</si>
  <si>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</si>
  <si>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</si>
  <si>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</si>
  <si>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</si>
  <si>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</si>
  <si>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</si>
  <si>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</si>
  <si>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</si>
  <si>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</si>
  <si>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</si>
  <si>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</si>
  <si>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</si>
  <si>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</si>
  <si>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</si>
  <si>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</si>
  <si>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</si>
  <si>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</si>
  <si>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</si>
  <si>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</si>
  <si>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</si>
  <si>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</si>
  <si>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</si>
  <si>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</si>
  <si>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</si>
  <si>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</si>
  <si>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</si>
  <si>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</si>
  <si>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</si>
  <si>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</si>
  <si>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</si>
  <si>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</si>
  <si>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</si>
  <si>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</si>
  <si>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</si>
  <si>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</si>
  <si>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</si>
  <si>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</si>
  <si>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</si>
  <si>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</si>
  <si>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</si>
  <si>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</si>
  <si>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</si>
  <si>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</si>
  <si>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</si>
  <si>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</si>
  <si>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</si>
  <si>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</si>
  <si>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</si>
  <si>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</si>
  <si>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</si>
  <si>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</si>
  <si>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</si>
  <si>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</si>
  <si>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</si>
  <si>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</si>
  <si>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</si>
  <si>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</si>
  <si>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</si>
  <si>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</si>
  <si>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</si>
  <si>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</si>
  <si>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</si>
  <si>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</si>
  <si>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</si>
  <si>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</si>
  <si>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</si>
  <si>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</si>
  <si>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</si>
  <si>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</si>
  <si>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</si>
  <si>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</si>
  <si>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</si>
  <si>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</si>
  <si>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</si>
  <si>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</si>
  <si>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</si>
  <si>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</si>
  <si>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</si>
  <si>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</si>
  <si>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</si>
  <si>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</si>
  <si>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</si>
  <si>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</si>
  <si>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</si>
  <si>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</si>
  <si>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</si>
  <si>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</si>
  <si>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</si>
  <si>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</si>
  <si>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</si>
  <si>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</si>
  <si>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</si>
  <si>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</si>
  <si>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</si>
  <si>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</si>
  <si>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</si>
  <si>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</si>
  <si>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</si>
  <si>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</si>
  <si>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</si>
  <si>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</si>
  <si>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</si>
  <si>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</si>
  <si>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</si>
  <si>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</si>
  <si>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</si>
  <si>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</si>
  <si>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</si>
  <si>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</si>
  <si>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</si>
  <si>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</si>
  <si>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</si>
  <si>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</si>
  <si>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</si>
  <si>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</si>
  <si>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</si>
  <si>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</si>
  <si>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</si>
  <si>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</si>
  <si>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</si>
  <si>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</si>
  <si>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</si>
  <si>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</si>
  <si>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</si>
  <si>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</si>
  <si>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</si>
  <si>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</si>
  <si>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</si>
  <si>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</si>
  <si>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</si>
  <si>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</si>
  <si>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</si>
  <si>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</si>
  <si>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</si>
  <si>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</si>
  <si>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</si>
  <si>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</si>
  <si>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</si>
  <si>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</si>
  <si>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</si>
  <si>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</si>
  <si>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</si>
  <si>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</si>
  <si>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</si>
  <si>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</si>
  <si>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</si>
  <si>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</si>
  <si>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</si>
  <si>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</si>
  <si>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</si>
  <si>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</si>
  <si>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</si>
  <si>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</si>
  <si>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</si>
  <si>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</si>
  <si>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</si>
  <si>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</si>
  <si>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</si>
  <si>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</si>
  <si>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</si>
  <si>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</si>
  <si>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</si>
  <si>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</si>
  <si>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</si>
  <si>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</si>
  <si>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</si>
  <si>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</si>
  <si>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</si>
  <si>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</si>
  <si>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</si>
  <si>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</si>
  <si>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</si>
  <si>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</si>
  <si>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</si>
  <si>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</si>
  <si>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</si>
  <si>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</si>
  <si>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</si>
  <si>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</si>
  <si>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</si>
  <si>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</si>
  <si>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</si>
  <si>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</si>
  <si>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</si>
  <si>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</si>
  <si>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</si>
  <si>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</si>
  <si>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</si>
  <si>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</si>
  <si>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</si>
  <si>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</si>
  <si>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</si>
  <si>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</si>
  <si>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</si>
  <si>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</si>
  <si>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</si>
  <si>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</si>
  <si>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</si>
  <si>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</si>
  <si>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</si>
  <si>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</si>
  <si>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</si>
  <si>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</si>
  <si>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</si>
  <si>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</si>
  <si>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</si>
  <si>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</si>
  <si>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</si>
  <si>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</si>
  <si>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</si>
  <si>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</si>
  <si>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</si>
  <si>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</si>
  <si>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</si>
  <si>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</si>
  <si>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</si>
  <si>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</si>
  <si>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</si>
  <si>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</si>
  <si>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</si>
  <si>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</si>
  <si>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</si>
  <si>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</si>
  <si>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</si>
  <si>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</si>
  <si>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</si>
  <si>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</si>
  <si>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</si>
  <si>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</si>
  <si>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</si>
  <si>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</si>
  <si>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</si>
  <si>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</si>
  <si>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</si>
  <si>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</si>
  <si>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</si>
  <si>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</si>
  <si>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</si>
  <si>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</si>
  <si>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</si>
  <si>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</si>
  <si>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</si>
  <si>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</si>
  <si>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</si>
  <si>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</si>
  <si>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</si>
  <si>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</si>
  <si>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</si>
  <si>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</si>
  <si>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</si>
  <si>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</si>
  <si>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</si>
  <si>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</si>
  <si>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</si>
  <si>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</si>
  <si>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</si>
  <si>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</si>
  <si>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</si>
  <si>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</si>
  <si>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</si>
  <si>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</si>
  <si>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</si>
  <si>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</si>
  <si>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</si>
  <si>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</si>
  <si>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</si>
  <si>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</si>
  <si>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</si>
  <si>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</si>
  <si>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</si>
  <si>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</si>
  <si>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</si>
  <si>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</si>
  <si>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</si>
  <si>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</si>
  <si>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</si>
  <si>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</si>
  <si>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</si>
  <si>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</si>
  <si>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</si>
  <si>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</si>
  <si>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</si>
  <si>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</si>
  <si>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</si>
  <si>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</si>
  <si>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</si>
  <si>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</si>
  <si>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</si>
  <si>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</si>
  <si>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</si>
  <si>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</si>
  <si>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</si>
  <si>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</si>
  <si>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</si>
  <si>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</si>
  <si>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</si>
  <si>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</si>
  <si>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</si>
  <si>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</si>
  <si>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</si>
  <si>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</si>
  <si>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</si>
  <si>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</si>
  <si>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</si>
  <si>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</si>
  <si>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</si>
  <si>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</si>
  <si>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</si>
  <si>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</si>
  <si>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</si>
  <si>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</si>
  <si>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</si>
  <si>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</si>
  <si>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</si>
  <si>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</si>
  <si>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</si>
  <si>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</si>
  <si>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</si>
  <si>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</si>
  <si>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</si>
  <si>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</si>
  <si>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</si>
  <si>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</si>
  <si>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</si>
  <si>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</si>
  <si>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</si>
  <si>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</si>
  <si>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</si>
  <si>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</si>
  <si>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</si>
  <si>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</si>
  <si>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</si>
  <si>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</si>
  <si>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</si>
  <si>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</si>
  <si>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</si>
  <si>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</si>
  <si>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</si>
  <si>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</si>
  <si>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</si>
  <si>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</si>
  <si>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</si>
  <si>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</si>
  <si>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</si>
  <si>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</si>
  <si>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</si>
  <si>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</si>
  <si>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</si>
  <si>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</si>
  <si>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</si>
  <si>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</si>
  <si>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</si>
  <si>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</si>
  <si>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</si>
  <si>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</si>
  <si>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</si>
  <si>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</si>
  <si>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</si>
  <si>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</si>
  <si>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</si>
  <si>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</si>
  <si>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</si>
  <si>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</si>
  <si>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</si>
  <si>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</si>
  <si>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</si>
  <si>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</si>
  <si>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</si>
  <si>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</si>
  <si>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</si>
  <si>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</si>
  <si>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</si>
  <si>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</si>
  <si>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</si>
  <si>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</si>
  <si>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</si>
  <si>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</si>
  <si>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</si>
  <si>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</si>
  <si>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</si>
  <si>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</si>
  <si>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</si>
  <si>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</si>
  <si>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</si>
  <si>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</si>
  <si>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</si>
  <si>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</si>
  <si>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</si>
  <si>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</si>
  <si>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</si>
  <si>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</si>
  <si>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</si>
  <si>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</si>
  <si>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</si>
  <si>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</si>
  <si>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</si>
  <si>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</si>
  <si>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</si>
  <si>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</si>
  <si>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</si>
  <si>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</si>
  <si>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</si>
  <si>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</si>
  <si>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</si>
  <si>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</si>
  <si>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</si>
  <si>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</si>
  <si>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</si>
  <si>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</si>
  <si>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</si>
  <si>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</si>
  <si>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</si>
  <si>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</si>
  <si>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</si>
  <si>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</si>
  <si>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</si>
  <si>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</si>
  <si>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</si>
  <si>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</si>
  <si>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</si>
  <si>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</si>
  <si>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</si>
  <si>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</si>
  <si>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</si>
  <si>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</si>
  <si>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</si>
  <si>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</si>
  <si>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</si>
  <si>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</si>
  <si>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</si>
  <si>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</si>
  <si>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</si>
  <si>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</si>
  <si>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</si>
  <si>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</si>
  <si>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</si>
  <si>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</si>
  <si>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</si>
  <si>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</si>
  <si>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</si>
  <si>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</si>
  <si>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</si>
  <si>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</si>
  <si>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</si>
  <si>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</si>
  <si>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</si>
  <si>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</si>
  <si>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</si>
  <si>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</si>
  <si>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</si>
  <si>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</si>
  <si>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</si>
  <si>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</si>
  <si>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</si>
  <si>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</si>
  <si>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</si>
  <si>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</si>
  <si>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</si>
  <si>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</si>
  <si>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</si>
  <si>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</si>
  <si>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</si>
  <si>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</si>
  <si>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</si>
  <si>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</si>
  <si>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</si>
  <si>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</si>
  <si>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</si>
  <si>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</si>
  <si>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</si>
  <si>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</si>
  <si>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</si>
  <si>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</si>
  <si>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</si>
  <si>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</si>
  <si>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</si>
  <si>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</si>
  <si>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</si>
  <si>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</si>
  <si>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</si>
  <si>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</si>
  <si>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</si>
  <si>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</si>
  <si>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</si>
  <si>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</si>
  <si>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</si>
  <si>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</si>
  <si>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</si>
  <si>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</si>
  <si>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</si>
  <si>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</si>
  <si>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</si>
  <si>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</si>
  <si>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</si>
  <si>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</si>
  <si>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</si>
  <si>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</si>
  <si>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</si>
  <si>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</si>
  <si>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</si>
  <si>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</si>
  <si>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</si>
  <si>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</si>
  <si>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</si>
  <si>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</si>
  <si>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</si>
  <si>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</si>
  <si>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</si>
  <si>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</si>
  <si>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</si>
  <si>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</si>
  <si>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</si>
  <si>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</si>
  <si>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</si>
  <si>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</si>
  <si>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</si>
  <si>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</si>
  <si>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</si>
  <si>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</si>
  <si>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</si>
  <si>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</si>
  <si>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</si>
  <si>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</si>
  <si>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</si>
  <si>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</si>
  <si>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</si>
  <si>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</si>
  <si>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</si>
  <si>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</si>
  <si>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</si>
  <si>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</si>
  <si>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</si>
  <si>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</si>
  <si>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</si>
  <si>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</si>
  <si>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</si>
  <si>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</si>
  <si>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</si>
  <si>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</si>
  <si>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</si>
  <si>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</si>
  <si>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</si>
  <si>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</si>
  <si>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</si>
  <si>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</si>
  <si>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</si>
  <si>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</si>
  <si>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</si>
  <si>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</si>
  <si>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</si>
  <si>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</si>
  <si>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</si>
  <si>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</si>
  <si>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</si>
  <si>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</si>
  <si>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</si>
  <si>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</si>
  <si>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</si>
  <si>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</si>
  <si>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</si>
  <si>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</si>
  <si>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</si>
  <si>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</si>
  <si>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</si>
  <si>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</si>
  <si>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</si>
  <si>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</si>
  <si>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</si>
  <si>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</si>
  <si>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</si>
  <si>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</si>
  <si>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</si>
  <si>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</si>
  <si>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</si>
  <si>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</si>
  <si>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</si>
  <si>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</si>
  <si>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</si>
  <si>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</si>
  <si>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</si>
  <si>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</si>
  <si>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</si>
  <si>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</si>
  <si>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</si>
  <si>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</si>
  <si>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</si>
  <si>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</si>
  <si>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</si>
  <si>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</si>
  <si>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</si>
  <si>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</si>
  <si>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</si>
  <si>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</si>
  <si>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</si>
  <si>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</si>
  <si>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</si>
  <si>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</si>
  <si>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</si>
  <si>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</si>
  <si>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</si>
  <si>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</si>
  <si>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</si>
  <si>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</si>
  <si>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</si>
  <si>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</si>
  <si>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</si>
  <si>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</si>
  <si>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</si>
  <si>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</si>
  <si>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</si>
  <si>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</si>
  <si>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</si>
  <si>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</si>
  <si>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</si>
  <si>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</si>
  <si>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</si>
  <si>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</si>
  <si>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</si>
  <si>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</si>
  <si>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</si>
  <si>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</si>
  <si>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</si>
  <si>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</si>
  <si>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</si>
  <si>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</si>
  <si>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</si>
  <si>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</si>
  <si>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</si>
  <si>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</si>
  <si>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</si>
  <si>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</si>
  <si>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</si>
  <si>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</si>
  <si>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</si>
  <si>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</si>
  <si>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</si>
  <si>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</si>
  <si>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</si>
  <si>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</si>
  <si>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</si>
  <si>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</si>
  <si>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</si>
  <si>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</si>
  <si>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</si>
  <si>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</si>
  <si>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</si>
  <si>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</si>
  <si>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</si>
  <si>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</si>
  <si>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</si>
  <si>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</si>
  <si>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</si>
  <si>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</si>
  <si>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</si>
  <si>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</si>
  <si>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</si>
  <si>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</si>
  <si>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</si>
  <si>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</si>
  <si>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</si>
  <si>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</si>
  <si>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</si>
  <si>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</si>
  <si>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</si>
  <si>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</si>
  <si>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</si>
  <si>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</si>
  <si>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</si>
  <si>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</si>
  <si>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</si>
  <si>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</si>
  <si>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</si>
  <si>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</si>
  <si>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</si>
  <si>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</si>
  <si>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</si>
  <si>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</si>
  <si>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</si>
  <si>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</si>
  <si>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</si>
  <si>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</si>
  <si>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</si>
  <si>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</si>
  <si>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</si>
  <si>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</si>
  <si>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</si>
  <si>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</si>
  <si>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</si>
  <si>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</si>
  <si>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</si>
  <si>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</si>
  <si>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</si>
  <si>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</si>
  <si>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</si>
  <si>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</si>
  <si>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</si>
  <si>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</si>
  <si>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</si>
  <si>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</si>
  <si>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</si>
  <si>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</si>
  <si>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</si>
  <si>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</si>
  <si>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</si>
  <si>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</si>
  <si>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</si>
  <si>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</si>
  <si>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</si>
  <si>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</si>
  <si>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</si>
  <si>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</si>
  <si>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</si>
  <si>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</si>
  <si>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</si>
  <si>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</si>
  <si>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</si>
  <si>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</si>
  <si>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</si>
  <si>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</si>
  <si>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</si>
  <si>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</si>
  <si>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</si>
  <si>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</si>
  <si>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</si>
  <si>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</si>
  <si>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</si>
  <si>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</si>
  <si>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</si>
  <si>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</si>
  <si>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</si>
  <si>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</si>
  <si>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</si>
  <si>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</si>
  <si>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</si>
  <si>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</si>
  <si>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</si>
  <si>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</si>
  <si>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</si>
  <si>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</si>
  <si>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</si>
  <si>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</si>
  <si>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</si>
  <si>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</si>
  <si>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</si>
  <si>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</si>
  <si>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</si>
  <si>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</si>
  <si>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</si>
  <si>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</si>
  <si>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</si>
  <si>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</si>
  <si>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</si>
  <si>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</si>
  <si>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</si>
  <si>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</si>
  <si>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</si>
  <si>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</si>
  <si>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</si>
  <si>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</si>
  <si>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</si>
  <si>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</si>
  <si>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</si>
  <si>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</si>
  <si>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</si>
  <si>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</si>
  <si>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</si>
  <si>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</si>
  <si>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</si>
  <si>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</si>
  <si>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</si>
  <si>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</si>
  <si>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</si>
  <si>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</si>
  <si>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</si>
  <si>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</si>
  <si>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</si>
  <si>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</si>
  <si>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</si>
  <si>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</si>
  <si>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</si>
  <si>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</si>
  <si>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</si>
  <si>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</si>
  <si>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</si>
  <si>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</si>
  <si>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</si>
  <si>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</si>
  <si>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</si>
  <si>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</si>
  <si>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</si>
  <si>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</si>
  <si>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</si>
  <si>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</si>
  <si>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</si>
  <si>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</si>
  <si>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</si>
  <si>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</si>
  <si>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</si>
  <si>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</si>
  <si>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</si>
  <si>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</si>
  <si>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</si>
  <si>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</si>
  <si>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</si>
  <si>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</si>
  <si>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</si>
  <si>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</si>
  <si>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</si>
  <si>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</si>
  <si>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</si>
  <si>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</si>
  <si>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</si>
  <si>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</si>
  <si>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</si>
  <si>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</si>
  <si>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</si>
  <si>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</si>
  <si>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</si>
  <si>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</si>
  <si>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</si>
  <si>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</si>
  <si>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</si>
  <si>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</si>
  <si>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</si>
  <si>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</si>
  <si>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</si>
  <si>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</si>
  <si>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</si>
  <si>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</si>
  <si>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</si>
  <si>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</si>
  <si>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</si>
  <si>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</si>
  <si>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</si>
  <si>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</si>
  <si>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</si>
  <si>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</si>
  <si>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</si>
  <si>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</si>
  <si>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</si>
  <si>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</si>
  <si>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</si>
  <si>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</si>
  <si>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</si>
  <si>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</si>
  <si>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</si>
  <si>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</si>
  <si>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</si>
  <si>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</si>
  <si>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</si>
  <si>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</si>
  <si>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</si>
  <si>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</si>
  <si>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</si>
  <si>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</si>
  <si>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</si>
  <si>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</si>
  <si>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</si>
  <si>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</si>
  <si>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</si>
  <si>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</si>
  <si>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</si>
  <si>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</si>
  <si>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</si>
  <si>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</si>
  <si>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</si>
  <si>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</si>
  <si>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</si>
  <si>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</si>
  <si>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</si>
  <si>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</si>
  <si>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</si>
  <si>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</si>
  <si>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</si>
  <si>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</si>
  <si>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</si>
  <si>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</si>
  <si>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</si>
  <si>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</si>
  <si>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</si>
  <si>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</si>
  <si>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</si>
  <si>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</si>
  <si>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</si>
  <si>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</si>
  <si>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</si>
  <si>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</si>
  <si>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</si>
  <si>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</si>
  <si>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</si>
  <si>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</si>
  <si>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</si>
  <si>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</si>
  <si>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</si>
  <si>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</si>
  <si>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</si>
  <si>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</si>
  <si>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</si>
  <si>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</si>
  <si>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</si>
  <si>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</si>
  <si>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</si>
  <si>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</si>
  <si>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</si>
  <si>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</si>
  <si>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</si>
  <si>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</si>
  <si>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</si>
  <si>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</si>
  <si>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</si>
  <si>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</si>
  <si>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</si>
  <si>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</si>
  <si>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</si>
  <si>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</si>
  <si>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</si>
  <si>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</si>
  <si>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</si>
  <si>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</si>
  <si>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</si>
  <si>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</si>
  <si>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</si>
  <si>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</si>
  <si>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</si>
  <si>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</si>
  <si>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</si>
  <si>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</si>
  <si>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</si>
  <si>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</si>
  <si>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</si>
  <si>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</si>
  <si>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</si>
  <si>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</si>
  <si>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</si>
  <si>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</si>
  <si>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</si>
  <si>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</si>
  <si>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</si>
  <si>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</si>
  <si>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</si>
  <si>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</si>
  <si>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</si>
  <si>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</si>
  <si>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</si>
  <si>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</si>
  <si>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</si>
  <si>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</si>
  <si>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</si>
  <si>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</si>
  <si>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</si>
  <si>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</si>
  <si>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</si>
  <si>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</si>
  <si>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</si>
  <si>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</si>
  <si>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</si>
  <si>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</si>
  <si>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</si>
  <si>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</si>
  <si>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</si>
  <si>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</si>
  <si>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</si>
  <si>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</si>
  <si>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</si>
  <si>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</si>
  <si>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</si>
  <si>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</si>
  <si>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</si>
  <si>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</si>
  <si>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</si>
  <si>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</si>
  <si>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</si>
  <si>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</si>
  <si>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</si>
  <si>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</si>
  <si>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</si>
  <si>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</si>
  <si>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</si>
  <si>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</si>
  <si>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</si>
  <si>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</si>
  <si>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</si>
  <si>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</si>
  <si>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</si>
  <si>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</si>
  <si>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</si>
  <si>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</si>
  <si>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</si>
  <si>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</si>
  <si>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</si>
  <si>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</si>
  <si>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</si>
  <si>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</si>
  <si>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</si>
  <si>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</si>
  <si>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</si>
  <si>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</si>
  <si>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</si>
  <si>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</si>
  <si>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</si>
  <si>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</si>
  <si>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</si>
  <si>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</si>
  <si>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</si>
  <si>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</si>
  <si>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</si>
  <si>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</si>
  <si>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</si>
  <si>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</si>
  <si>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</si>
  <si>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</si>
  <si>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</si>
  <si>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</si>
  <si>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</si>
  <si>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</si>
  <si>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</si>
  <si>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</si>
  <si>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</si>
  <si>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</si>
  <si>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</si>
  <si>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</si>
  <si>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</si>
  <si>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</si>
  <si>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</si>
  <si>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</si>
  <si>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</si>
  <si>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</si>
  <si>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</si>
  <si>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</si>
  <si>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</si>
  <si>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</si>
  <si>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</si>
  <si>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</si>
  <si>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</si>
  <si>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</si>
  <si>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</si>
  <si>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</si>
  <si>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</si>
  <si>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</si>
  <si>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</si>
  <si>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</si>
  <si>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</si>
  <si>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</si>
  <si>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</si>
  <si>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</si>
  <si>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</si>
  <si>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</si>
  <si>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</si>
  <si>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</si>
  <si>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</si>
  <si>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</si>
  <si>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</si>
  <si>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</si>
  <si>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</si>
  <si>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</si>
  <si>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</si>
  <si>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</si>
  <si>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</si>
  <si>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</si>
  <si>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</si>
  <si>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</si>
  <si>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</si>
  <si>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</si>
  <si>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</si>
  <si>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</si>
  <si>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</si>
  <si>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</si>
  <si>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</si>
  <si>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</si>
  <si>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</si>
  <si>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</si>
  <si>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</si>
  <si>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</si>
  <si>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</si>
  <si>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</si>
  <si>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</si>
  <si>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</si>
  <si>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</si>
  <si>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</si>
  <si>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</si>
  <si>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</si>
  <si>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</si>
  <si>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</si>
  <si>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</si>
  <si>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</si>
  <si>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</si>
  <si>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</si>
  <si>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</si>
  <si>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</si>
  <si>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</si>
  <si>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</si>
  <si>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</si>
  <si>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</si>
  <si>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</si>
  <si>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</si>
  <si>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</si>
  <si>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</si>
  <si>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</si>
  <si>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</si>
  <si>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</si>
  <si>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</si>
  <si>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</si>
  <si>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</si>
  <si>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</si>
  <si>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</si>
  <si>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</si>
  <si>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</si>
  <si>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</si>
  <si>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</si>
  <si>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</si>
  <si>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</si>
  <si>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</si>
  <si>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</si>
  <si>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</si>
  <si>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</si>
  <si>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</si>
  <si>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</si>
  <si>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</si>
  <si>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</si>
  <si>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</si>
  <si>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</si>
  <si>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</si>
  <si>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</si>
  <si>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</si>
  <si>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</si>
  <si>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</si>
  <si>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</si>
  <si>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</si>
  <si>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</si>
  <si>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</si>
  <si>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</si>
  <si>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</si>
  <si>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</si>
  <si>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</si>
  <si>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</si>
  <si>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</si>
  <si>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</si>
  <si>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</si>
  <si>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</si>
  <si>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</si>
  <si>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</si>
  <si>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</si>
  <si>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</si>
  <si>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</si>
  <si>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</si>
  <si>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</si>
  <si>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</si>
  <si>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</si>
  <si>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</si>
  <si>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</si>
  <si>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</si>
  <si>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</si>
  <si>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</si>
  <si>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</si>
  <si>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</si>
  <si>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</si>
  <si>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</si>
  <si>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</si>
  <si>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</si>
  <si>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</si>
  <si>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</si>
  <si>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</si>
  <si>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</si>
  <si>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</si>
  <si>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</si>
  <si>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</si>
  <si>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</si>
  <si>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</si>
  <si>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</si>
  <si>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</si>
  <si>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</si>
  <si>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</si>
  <si>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</si>
  <si>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</si>
  <si>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</si>
  <si>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</si>
  <si>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</si>
  <si>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</si>
  <si>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</si>
  <si>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</si>
  <si>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</si>
  <si>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</si>
  <si>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</si>
  <si>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</si>
  <si>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</si>
  <si>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</si>
  <si>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</si>
  <si>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</si>
  <si>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</si>
  <si>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</si>
  <si>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</si>
  <si>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</si>
  <si>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</si>
  <si>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</si>
  <si>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</si>
  <si>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</si>
  <si>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</si>
  <si>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</si>
  <si>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</si>
  <si>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</si>
  <si>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</si>
  <si>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</si>
  <si>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</si>
  <si>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</si>
  <si>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</si>
  <si>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</si>
  <si>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</si>
  <si>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</si>
  <si>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</si>
  <si>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</si>
  <si>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</si>
  <si>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</si>
  <si>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</si>
  <si>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</si>
  <si>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</si>
  <si>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</si>
  <si>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</si>
  <si>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</si>
  <si>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</si>
  <si>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</si>
  <si>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</si>
  <si>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</si>
  <si>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</si>
  <si>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</si>
  <si>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</si>
  <si>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</si>
  <si>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</si>
  <si>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</si>
  <si>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</si>
  <si>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</si>
  <si>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</si>
  <si>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</si>
  <si>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</si>
  <si>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</si>
  <si>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</si>
  <si>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</si>
  <si>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</si>
  <si>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</si>
  <si>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</si>
  <si>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</si>
  <si>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</si>
  <si>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</si>
  <si>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</si>
  <si>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</si>
  <si>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</si>
  <si>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</si>
  <si>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</si>
  <si>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</si>
  <si>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</si>
  <si>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</si>
  <si>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</si>
  <si>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</si>
  <si>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</si>
  <si>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</si>
  <si>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</si>
  <si>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</si>
  <si>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</si>
  <si>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</si>
  <si>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</si>
  <si>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</si>
  <si>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</si>
  <si>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</si>
  <si>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</si>
  <si>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</si>
  <si>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</si>
  <si>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</si>
  <si>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</si>
  <si>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Laconia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</si>
</sst>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11" fillId="0" borderId="0" xfId="0"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285</v>
      </c>
      <c r="C2" s="21">
        <v>285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2265.02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f>1710849.2-8883.6</f>
        <v>1701965.5999999999</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76544+813405.6</f>
        <v>889949.6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237372.58</v>
      </c>
      <c r="G13" s="18">
        <v>67097.039999999994</v>
      </c>
      <c r="H13" s="18">
        <v>1048501.79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21036.94</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22756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5731</v>
      </c>
      <c r="G17" s="18"/>
      <c r="H17" s="18">
        <v>5500</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10000</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2868320.7399999998</v>
      </c>
      <c r="G19" s="41">
        <f>SUM(G9:G18)</f>
        <v>89853.04</v>
      </c>
      <c r="H19" s="41">
        <f>SUM(H9:H18)</f>
        <v>1054001.79</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76544</v>
      </c>
      <c r="H22" s="18">
        <v>813405.6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325000</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10064.82+2046756.17</f>
        <v>2056820.99</v>
      </c>
      <c r="G24" s="18">
        <v>12954.54</v>
      </c>
      <c r="H24" s="18">
        <v>62245.919999999998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84233.06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42596.31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178350.27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359670.38</v>
      </c>
      <c r="G31" s="18">
        <v>354.5</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2868320.74</v>
      </c>
      <c r="G32" s="41">
        <f>SUM(G22:G31)</f>
        <v>89853.040000000008</v>
      </c>
      <c r="H32" s="41">
        <f>SUM(H22:H31)</f>
        <v>1054001.79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2868320.74</v>
      </c>
      <c r="G52" s="41">
        <f>G51+G32</f>
        <v>89853.040000000008</v>
      </c>
      <c r="H52" s="41">
        <f>H51+H32</f>
        <v>1054001.79</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-8883.6+19896058</f>
        <v>19887174.399999999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19887174.399999999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2150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78605.710000000006</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24349.919999999998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661158.19000000006</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91928.5</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858192.32000000007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522050.95-70.18</f>
        <v>521980.77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4463</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v>12324.37</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8860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127211.87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69504.240000000005</v>
      </c>
      <c r="G110" s="18"/>
      <c r="H110" s="18">
        <v>34387.57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82827.240000000005</v>
      </c>
      <c r="G111" s="41">
        <f>SUM(G96:G110)</f>
        <v>521980.77</v>
      </c>
      <c r="H111" s="41">
        <f>SUM(H96:H110)</f>
        <v>173923.81</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20828193.959999997</v>
      </c>
      <c r="G112" s="41">
        <f>G60+G111</f>
        <v>521980.77</v>
      </c>
      <c r="H112" s="41">
        <f>H60+H79+H94+H111</f>
        <v>173923.81</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5788914.9800000004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4458870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v>58604.26</v>
      </c>
      <c r="H120" s="18">
        <v>110387.71</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10247784.98</v>
      </c>
      <c r="G121" s="41">
        <f>SUM(G117:G120)</f>
        <v>58604.26</v>
      </c>
      <c r="H121" s="41">
        <f>SUM(H117:H120)</f>
        <v>110387.71</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787039.39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155603.79999999999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26568.31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689108.11</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695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14671.3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451595.88</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2110610.4899999998</v>
      </c>
      <c r="G136" s="41">
        <f>SUM(G123:G135)</f>
        <v>14671.3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12358395.470000001</v>
      </c>
      <c r="G140" s="41">
        <f>G121+SUM(G136:G137)</f>
        <v>73275.56</v>
      </c>
      <c r="H140" s="41">
        <f>H121+SUM(H136:H139)</f>
        <v>110387.71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165093.89000000001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1080539.8700000001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290935.88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172344.73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248764.32</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787558.8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551825.71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536768.01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958487.34</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536768.01</v>
      </c>
      <c r="G162" s="41">
        <f>SUM(G150:G161)</f>
        <v>787558.8</v>
      </c>
      <c r="H162" s="41">
        <f>SUM(H150:H161)</f>
        <v>3467991.74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536768.01</v>
      </c>
      <c r="G169" s="41">
        <f>G147+G162+SUM(G163:G168)</f>
        <v>787558.8</v>
      </c>
      <c r="H169" s="41">
        <f>H147+H162+SUM(H163:H168)</f>
        <v>3467991.74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v>325000</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325000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325000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33723357.439999998</v>
      </c>
      <c r="G193" s="47">
        <f>G112+G140+G169+G192</f>
        <v>1382815.1300000001</v>
      </c>
      <c r="H193" s="47">
        <f>H112+H140+H169+H192</f>
        <v>4077303.2600000002</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2897193.03</v>
      </c>
      <c r="G197" s="18">
        <v>1650811.81</v>
      </c>
      <c r="H197" s="18">
        <v>41761.42</v>
      </c>
      <c r="I197" s="18">
        <v>89762.98</v>
      </c>
      <c r="J197" s="18">
        <v>72177.03</v>
      </c>
      <c r="K197" s="18"/>
      <c r="L197" s="19">
        <f>SUM(F197:K197)</f>
        <v>4751706.2700000005</v>
      </c>
      <c r="M197" s="8"/>
      <c r="N197" s="266"/>
    </row>
    <row r="198" spans="1:14" s="3" customFormat="1" ht="12.2" customHeight="1" x14ac:dyDescent="0.15">
      <c r="A198" s="1" t="s">
        <v>439</v>
      </c>
      <c r="B198" s="2" t="s">
        <v>341</v>
      </c>
      <c r="C198" s="2" t="s">
        <v>291</v>
      </c>
      <c r="D198" s="2" t="s">
        <v>431</v>
      </c>
      <c r="E198" s="6">
        <v>1200</v>
      </c>
      <c r="F198" s="18">
        <v>1674919.98</v>
      </c>
      <c r="G198" s="18">
        <v>954364.32</v>
      </c>
      <c r="H198" s="18">
        <v>864010.8</v>
      </c>
      <c r="I198" s="18">
        <v>8791.4500000000007</v>
      </c>
      <c r="J198" s="18">
        <v>5150</v>
      </c>
      <c r="K198" s="18">
        <v>1060</v>
      </c>
      <c r="L198" s="19">
        <f>SUM(F198:K198)</f>
        <v>3508296.55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646082.44999999995</v>
      </c>
      <c r="G202" s="18">
        <v>368135.82</v>
      </c>
      <c r="H202" s="18">
        <v>95945.95</v>
      </c>
      <c r="I202" s="18">
        <v>11462.59</v>
      </c>
      <c r="J202" s="18">
        <v>1378.72</v>
      </c>
      <c r="K202" s="18"/>
      <c r="L202" s="19">
        <f t="shared" ref="L202:L208" si="0">SUM(F202:K202)</f>
        <v>1123005.53</v>
      </c>
      <c r="M202" s="8"/>
      <c r="N202" s="266"/>
    </row>
    <row r="203" spans="1:14" s="3" customFormat="1" ht="12.2" customHeight="1" x14ac:dyDescent="0.15">
      <c r="A203" s="1" t="s">
        <v>443</v>
      </c>
      <c r="B203" s="2" t="s">
        <v>341</v>
      </c>
      <c r="C203" s="2" t="s">
        <v>295</v>
      </c>
      <c r="D203" s="2" t="s">
        <v>431</v>
      </c>
      <c r="E203" s="6">
        <v>2200</v>
      </c>
      <c r="F203" s="18">
        <v>191659.37</v>
      </c>
      <c r="G203" s="18">
        <v>147667.76</v>
      </c>
      <c r="H203" s="18">
        <v>67545.97</v>
      </c>
      <c r="I203" s="18">
        <v>89143.66</v>
      </c>
      <c r="J203" s="18">
        <v>63988.82</v>
      </c>
      <c r="K203" s="18">
        <v>60.78</v>
      </c>
      <c r="L203" s="19">
        <f t="shared" si="0"/>
        <v>560066.36</v>
      </c>
      <c r="M203" s="8"/>
      <c r="N203" s="266"/>
    </row>
    <row r="204" spans="1:14" s="3" customFormat="1" ht="12.2" customHeight="1" x14ac:dyDescent="0.15">
      <c r="A204" s="1" t="s">
        <v>444</v>
      </c>
      <c r="B204" s="2" t="s">
        <v>341</v>
      </c>
      <c r="C204" s="2" t="s">
        <v>296</v>
      </c>
      <c r="D204" s="2" t="s">
        <v>431</v>
      </c>
      <c r="E204" s="6">
        <v>2300</v>
      </c>
      <c r="F204" s="18">
        <v>229891.08</v>
      </c>
      <c r="G204" s="18">
        <v>130991.24</v>
      </c>
      <c r="H204" s="18">
        <v>84126.38</v>
      </c>
      <c r="I204" s="18">
        <v>4772.53</v>
      </c>
      <c r="J204" s="18">
        <v>0</v>
      </c>
      <c r="K204" s="18">
        <v>13441.17</v>
      </c>
      <c r="L204" s="19">
        <f t="shared" si="0"/>
        <v>463222.4</v>
      </c>
      <c r="M204" s="8"/>
      <c r="N204" s="266"/>
    </row>
    <row r="205" spans="1:14" s="3" customFormat="1" ht="12.2" customHeight="1" x14ac:dyDescent="0.15">
      <c r="A205" s="1" t="s">
        <v>445</v>
      </c>
      <c r="B205" s="2" t="s">
        <v>341</v>
      </c>
      <c r="C205" s="2" t="s">
        <v>297</v>
      </c>
      <c r="D205" s="2" t="s">
        <v>431</v>
      </c>
      <c r="E205" s="6">
        <v>2400</v>
      </c>
      <c r="F205" s="18">
        <v>488041.17</v>
      </c>
      <c r="G205" s="18">
        <v>278084.38</v>
      </c>
      <c r="H205" s="18">
        <v>8383.5</v>
      </c>
      <c r="I205" s="18">
        <v>5198.84</v>
      </c>
      <c r="J205" s="18"/>
      <c r="K205" s="18">
        <v>2588.7199999999998</v>
      </c>
      <c r="L205" s="19">
        <f t="shared" si="0"/>
        <v>782296.61</v>
      </c>
      <c r="M205" s="8"/>
      <c r="N205" s="266"/>
    </row>
    <row r="206" spans="1:14" s="3" customFormat="1" ht="12.2" customHeight="1" x14ac:dyDescent="0.15">
      <c r="A206" s="1" t="s">
        <v>446</v>
      </c>
      <c r="B206" s="2" t="s">
        <v>341</v>
      </c>
      <c r="C206" s="2" t="s">
        <v>298</v>
      </c>
      <c r="D206" s="2" t="s">
        <v>431</v>
      </c>
      <c r="E206" s="6">
        <v>2500</v>
      </c>
      <c r="F206" s="18">
        <v>127627.23</v>
      </c>
      <c r="G206" s="18">
        <v>72721.61</v>
      </c>
      <c r="H206" s="18">
        <v>7077.17</v>
      </c>
      <c r="I206" s="18">
        <v>589.9</v>
      </c>
      <c r="J206" s="18"/>
      <c r="K206" s="18"/>
      <c r="L206" s="19">
        <f t="shared" si="0"/>
        <v>208015.91</v>
      </c>
      <c r="M206" s="8"/>
      <c r="N206" s="266"/>
    </row>
    <row r="207" spans="1:14" s="3" customFormat="1" ht="12.2" customHeight="1" x14ac:dyDescent="0.15">
      <c r="A207" s="1" t="s">
        <v>447</v>
      </c>
      <c r="B207" s="2" t="s">
        <v>341</v>
      </c>
      <c r="C207" s="2" t="s">
        <v>299</v>
      </c>
      <c r="D207" s="2" t="s">
        <v>431</v>
      </c>
      <c r="E207" s="6">
        <v>2600</v>
      </c>
      <c r="F207" s="18">
        <v>289987.07</v>
      </c>
      <c r="G207" s="18">
        <v>165233.76</v>
      </c>
      <c r="H207" s="18">
        <v>571252.18000000005</v>
      </c>
      <c r="I207" s="18">
        <v>328349.02</v>
      </c>
      <c r="J207" s="18">
        <v>1113.8800000000001</v>
      </c>
      <c r="K207" s="18"/>
      <c r="L207" s="19">
        <f t="shared" si="0"/>
        <v>1355935.91</v>
      </c>
      <c r="M207" s="8"/>
      <c r="N207" s="266"/>
    </row>
    <row r="208" spans="1:14" s="3" customFormat="1" ht="12.2" customHeight="1" x14ac:dyDescent="0.15">
      <c r="A208" s="1" t="s">
        <v>448</v>
      </c>
      <c r="B208" s="2" t="s">
        <v>341</v>
      </c>
      <c r="C208" s="2" t="s">
        <v>300</v>
      </c>
      <c r="D208" s="2" t="s">
        <v>431</v>
      </c>
      <c r="E208" s="6">
        <v>2700</v>
      </c>
      <c r="F208" s="18"/>
      <c r="G208" s="18"/>
      <c r="H208" s="18">
        <v>335153.67</v>
      </c>
      <c r="I208" s="18">
        <v>0</v>
      </c>
      <c r="J208" s="18"/>
      <c r="K208" s="18"/>
      <c r="L208" s="19">
        <f t="shared" si="0"/>
        <v>335153.67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6545401.3800000008</v>
      </c>
      <c r="G211" s="41">
        <f t="shared" si="1"/>
        <v>3768010.7</v>
      </c>
      <c r="H211" s="41">
        <f t="shared" si="1"/>
        <v>2075257.04</v>
      </c>
      <c r="I211" s="41">
        <f t="shared" si="1"/>
        <v>538070.97</v>
      </c>
      <c r="J211" s="41">
        <f t="shared" si="1"/>
        <v>143808.45000000001</v>
      </c>
      <c r="K211" s="41">
        <f t="shared" si="1"/>
        <v>17150.670000000002</v>
      </c>
      <c r="L211" s="41">
        <f t="shared" si="1"/>
        <v>13087699.209999999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1761321</v>
      </c>
      <c r="G215" s="18">
        <v>1003595.37</v>
      </c>
      <c r="H215" s="18">
        <v>16603.43</v>
      </c>
      <c r="I215" s="18">
        <v>47929.82</v>
      </c>
      <c r="J215" s="18">
        <v>9070.1299999999992</v>
      </c>
      <c r="K215" s="18"/>
      <c r="L215" s="19">
        <f>SUM(F215:K215)</f>
        <v>2838519.75</v>
      </c>
      <c r="M215" s="8"/>
      <c r="N215" s="266"/>
    </row>
    <row r="216" spans="1:14" s="3" customFormat="1" ht="12.2" customHeight="1" x14ac:dyDescent="0.15">
      <c r="A216" s="1" t="s">
        <v>439</v>
      </c>
      <c r="B216" s="2" t="s">
        <v>346</v>
      </c>
      <c r="C216" s="2" t="s">
        <v>291</v>
      </c>
      <c r="D216" s="2" t="s">
        <v>431</v>
      </c>
      <c r="E216" s="6">
        <v>1200</v>
      </c>
      <c r="F216" s="18">
        <v>927694.87</v>
      </c>
      <c r="G216" s="18">
        <v>528597.73</v>
      </c>
      <c r="H216" s="18">
        <v>605111.41</v>
      </c>
      <c r="I216" s="18">
        <v>4557.2700000000004</v>
      </c>
      <c r="J216" s="18">
        <v>800</v>
      </c>
      <c r="K216" s="18"/>
      <c r="L216" s="19">
        <f>SUM(F216:K216)</f>
        <v>2066761.2800000003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28070.240000000002</v>
      </c>
      <c r="G218" s="18">
        <v>15994.34</v>
      </c>
      <c r="H218" s="18">
        <v>8550.7999999999993</v>
      </c>
      <c r="I218" s="18">
        <v>5952.51</v>
      </c>
      <c r="J218" s="18"/>
      <c r="K218" s="18"/>
      <c r="L218" s="19">
        <f>SUM(F218:K218)</f>
        <v>58567.890000000007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224253.72</v>
      </c>
      <c r="G220" s="18">
        <v>127779.09</v>
      </c>
      <c r="H220" s="18">
        <v>42435.35</v>
      </c>
      <c r="I220" s="18">
        <v>2831.35</v>
      </c>
      <c r="J220" s="18"/>
      <c r="K220" s="18"/>
      <c r="L220" s="19">
        <f t="shared" ref="L220:L226" si="2">SUM(F220:K220)</f>
        <v>397299.50999999995</v>
      </c>
      <c r="M220" s="8"/>
      <c r="N220" s="266"/>
    </row>
    <row r="221" spans="1:14" s="3" customFormat="1" ht="12.2" customHeight="1" x14ac:dyDescent="0.15">
      <c r="A221" s="1" t="s">
        <v>443</v>
      </c>
      <c r="B221" s="2" t="s">
        <v>346</v>
      </c>
      <c r="C221" s="2" t="s">
        <v>295</v>
      </c>
      <c r="D221" s="2" t="s">
        <v>431</v>
      </c>
      <c r="E221" s="6">
        <v>2200</v>
      </c>
      <c r="F221" s="18">
        <v>85151.94</v>
      </c>
      <c r="G221" s="18">
        <v>66798.240000000005</v>
      </c>
      <c r="H221" s="18">
        <v>35172.42</v>
      </c>
      <c r="I221" s="18">
        <v>49450.22</v>
      </c>
      <c r="J221" s="18">
        <v>69105.5</v>
      </c>
      <c r="K221" s="18">
        <v>28.9</v>
      </c>
      <c r="L221" s="19">
        <f t="shared" si="2"/>
        <v>305707.21999999997</v>
      </c>
      <c r="M221" s="8"/>
      <c r="N221" s="266"/>
    </row>
    <row r="222" spans="1:14" s="3" customFormat="1" ht="12.2" customHeight="1" x14ac:dyDescent="0.15">
      <c r="A222" s="1" t="s">
        <v>444</v>
      </c>
      <c r="B222" s="2" t="s">
        <v>346</v>
      </c>
      <c r="C222" s="2" t="s">
        <v>296</v>
      </c>
      <c r="D222" s="2" t="s">
        <v>431</v>
      </c>
      <c r="E222" s="6">
        <v>2300</v>
      </c>
      <c r="F222" s="18">
        <v>108785.23</v>
      </c>
      <c r="G222" s="18">
        <v>61985.5</v>
      </c>
      <c r="H222" s="18">
        <v>39235.56</v>
      </c>
      <c r="I222" s="18">
        <v>2268.19</v>
      </c>
      <c r="J222" s="18"/>
      <c r="K222" s="18">
        <v>6388.06</v>
      </c>
      <c r="L222" s="19">
        <f t="shared" si="2"/>
        <v>218662.53999999998</v>
      </c>
      <c r="M222" s="8"/>
      <c r="N222" s="266"/>
    </row>
    <row r="223" spans="1:14" s="3" customFormat="1" ht="12.2" customHeight="1" x14ac:dyDescent="0.15">
      <c r="A223" s="1" t="s">
        <v>445</v>
      </c>
      <c r="B223" s="2" t="s">
        <v>346</v>
      </c>
      <c r="C223" s="2" t="s">
        <v>297</v>
      </c>
      <c r="D223" s="2" t="s">
        <v>431</v>
      </c>
      <c r="E223" s="6">
        <v>2400</v>
      </c>
      <c r="F223" s="18">
        <v>261413.8</v>
      </c>
      <c r="G223" s="18">
        <v>148952.79</v>
      </c>
      <c r="H223" s="18">
        <v>5957.55</v>
      </c>
      <c r="I223" s="18">
        <v>1868.04</v>
      </c>
      <c r="J223" s="18"/>
      <c r="K223" s="18">
        <v>2189</v>
      </c>
      <c r="L223" s="19">
        <f t="shared" si="2"/>
        <v>420381.17999999993</v>
      </c>
      <c r="M223" s="8"/>
      <c r="N223" s="266"/>
    </row>
    <row r="224" spans="1:14" s="3" customFormat="1" ht="12.2" customHeight="1" x14ac:dyDescent="0.15">
      <c r="A224" s="1" t="s">
        <v>446</v>
      </c>
      <c r="B224" s="2" t="s">
        <v>346</v>
      </c>
      <c r="C224" s="2" t="s">
        <v>298</v>
      </c>
      <c r="D224" s="2" t="s">
        <v>431</v>
      </c>
      <c r="E224" s="6">
        <v>2500</v>
      </c>
      <c r="F224" s="18">
        <v>60656.21</v>
      </c>
      <c r="G224" s="18">
        <v>34561.730000000003</v>
      </c>
      <c r="H224" s="18">
        <v>3363.5</v>
      </c>
      <c r="I224" s="18">
        <v>280.36</v>
      </c>
      <c r="J224" s="18"/>
      <c r="K224" s="18"/>
      <c r="L224" s="19">
        <f t="shared" si="2"/>
        <v>98861.8</v>
      </c>
      <c r="M224" s="8"/>
      <c r="N224" s="266"/>
    </row>
    <row r="225" spans="1:14" s="3" customFormat="1" ht="12.2" customHeight="1" x14ac:dyDescent="0.15">
      <c r="A225" s="1" t="s">
        <v>447</v>
      </c>
      <c r="B225" s="2" t="s">
        <v>346</v>
      </c>
      <c r="C225" s="2" t="s">
        <v>299</v>
      </c>
      <c r="D225" s="2" t="s">
        <v>431</v>
      </c>
      <c r="E225" s="6">
        <v>2600</v>
      </c>
      <c r="F225" s="18">
        <v>185989.08</v>
      </c>
      <c r="G225" s="18">
        <v>105976.01</v>
      </c>
      <c r="H225" s="18">
        <v>142528.29</v>
      </c>
      <c r="I225" s="18">
        <v>278563.68</v>
      </c>
      <c r="J225" s="18">
        <v>1758.2</v>
      </c>
      <c r="K225" s="18"/>
      <c r="L225" s="19">
        <f t="shared" si="2"/>
        <v>714815.26</v>
      </c>
      <c r="M225" s="8"/>
      <c r="N225" s="266"/>
    </row>
    <row r="226" spans="1:14" s="3" customFormat="1" ht="12.2" customHeight="1" x14ac:dyDescent="0.15">
      <c r="A226" s="1" t="s">
        <v>448</v>
      </c>
      <c r="B226" s="2" t="s">
        <v>346</v>
      </c>
      <c r="C226" s="2" t="s">
        <v>300</v>
      </c>
      <c r="D226" s="2" t="s">
        <v>431</v>
      </c>
      <c r="E226" s="6">
        <v>2700</v>
      </c>
      <c r="F226" s="18"/>
      <c r="G226" s="18"/>
      <c r="H226" s="18">
        <v>186715.36</v>
      </c>
      <c r="I226" s="18"/>
      <c r="J226" s="18"/>
      <c r="K226" s="18"/>
      <c r="L226" s="19">
        <f t="shared" si="2"/>
        <v>186715.36</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3643336.0900000003</v>
      </c>
      <c r="G229" s="41">
        <f>SUM(G215:G228)</f>
        <v>2094240.8000000003</v>
      </c>
      <c r="H229" s="41">
        <f>SUM(H215:H228)</f>
        <v>1085673.6700000004</v>
      </c>
      <c r="I229" s="41">
        <f>SUM(I215:I228)</f>
        <v>393701.44</v>
      </c>
      <c r="J229" s="41">
        <f>SUM(J215:J228)</f>
        <v>80733.83</v>
      </c>
      <c r="K229" s="41">
        <f t="shared" si="3"/>
        <v>8605.9599999999991</v>
      </c>
      <c r="L229" s="41">
        <f t="shared" si="3"/>
        <v>7306291.7899999991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2143035.25</v>
      </c>
      <c r="G233" s="18">
        <v>1221094.99</v>
      </c>
      <c r="H233" s="18">
        <v>30773.02</v>
      </c>
      <c r="I233" s="18">
        <v>87447.58</v>
      </c>
      <c r="J233" s="18">
        <v>18668.650000000001</v>
      </c>
      <c r="K233" s="18">
        <v>996</v>
      </c>
      <c r="L233" s="19">
        <f>SUM(F233:K233)</f>
        <v>3502015.49</v>
      </c>
      <c r="M233" s="8"/>
      <c r="N233" s="266"/>
    </row>
    <row r="234" spans="1:14" s="3" customFormat="1" ht="12.2" customHeight="1" x14ac:dyDescent="0.15">
      <c r="A234" s="1" t="s">
        <v>439</v>
      </c>
      <c r="B234" s="2" t="s">
        <v>350</v>
      </c>
      <c r="C234" s="2" t="s">
        <v>291</v>
      </c>
      <c r="D234" s="2" t="s">
        <v>431</v>
      </c>
      <c r="E234" s="6">
        <v>1200</v>
      </c>
      <c r="F234" s="18">
        <v>734835.98</v>
      </c>
      <c r="G234" s="18">
        <v>418707.31</v>
      </c>
      <c r="H234" s="18">
        <v>401426</v>
      </c>
      <c r="I234" s="18">
        <v>3889.73</v>
      </c>
      <c r="J234" s="18"/>
      <c r="K234" s="18">
        <v>530</v>
      </c>
      <c r="L234" s="19">
        <f>SUM(F234:K234)</f>
        <v>1559389.02</v>
      </c>
      <c r="M234" s="8"/>
      <c r="N234" s="266"/>
    </row>
    <row r="235" spans="1:14" s="3" customFormat="1" ht="12.2" customHeight="1" x14ac:dyDescent="0.15">
      <c r="A235" s="1" t="s">
        <v>440</v>
      </c>
      <c r="B235" s="2" t="s">
        <v>350</v>
      </c>
      <c r="C235" s="2" t="s">
        <v>292</v>
      </c>
      <c r="D235" s="2" t="s">
        <v>431</v>
      </c>
      <c r="E235" s="6">
        <v>1300</v>
      </c>
      <c r="F235" s="18">
        <v>695741.34</v>
      </c>
      <c r="G235" s="18">
        <v>396431.31</v>
      </c>
      <c r="H235" s="18">
        <v>88626.16</v>
      </c>
      <c r="I235" s="18">
        <v>48328.17</v>
      </c>
      <c r="J235" s="18">
        <v>1758.4</v>
      </c>
      <c r="K235" s="18">
        <v>0</v>
      </c>
      <c r="L235" s="19">
        <f>SUM(F235:K235)</f>
        <v>1230885.3799999997</v>
      </c>
      <c r="M235" s="8"/>
      <c r="N235" s="266"/>
    </row>
    <row r="236" spans="1:14" s="3" customFormat="1" ht="12.2" customHeight="1" x14ac:dyDescent="0.15">
      <c r="A236" s="1" t="s">
        <v>441</v>
      </c>
      <c r="B236" s="2" t="s">
        <v>350</v>
      </c>
      <c r="C236" s="2" t="s">
        <v>293</v>
      </c>
      <c r="D236" s="2" t="s">
        <v>431</v>
      </c>
      <c r="E236" s="6">
        <v>1400</v>
      </c>
      <c r="F236" s="18">
        <f>137066.57+7150</f>
        <v>144216.57</v>
      </c>
      <c r="G236" s="18">
        <f>4074.05+78100.12</f>
        <v>82174.17</v>
      </c>
      <c r="H236" s="18">
        <v>84748.73</v>
      </c>
      <c r="I236" s="18">
        <v>26596.6</v>
      </c>
      <c r="J236" s="18"/>
      <c r="K236" s="18"/>
      <c r="L236" s="19">
        <f>SUM(F236:K236)</f>
        <v>337736.06999999995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311554.18+75479</f>
        <v>387033.18</v>
      </c>
      <c r="G238" s="18">
        <f>177522.63+43007.71</f>
        <v>220530.34</v>
      </c>
      <c r="H238" s="18">
        <v>39975.24</v>
      </c>
      <c r="I238" s="18">
        <v>4035.94</v>
      </c>
      <c r="J238" s="18"/>
      <c r="K238" s="18"/>
      <c r="L238" s="19">
        <f t="shared" ref="L238:L244" si="4">SUM(F238:K238)</f>
        <v>651574.69999999995</v>
      </c>
      <c r="M238" s="8"/>
      <c r="N238" s="266"/>
    </row>
    <row r="239" spans="1:14" s="3" customFormat="1" ht="12.2" customHeight="1" x14ac:dyDescent="0.15">
      <c r="A239" s="1" t="s">
        <v>443</v>
      </c>
      <c r="B239" s="2" t="s">
        <v>350</v>
      </c>
      <c r="C239" s="2" t="s">
        <v>295</v>
      </c>
      <c r="D239" s="2" t="s">
        <v>431</v>
      </c>
      <c r="E239" s="6">
        <v>2200</v>
      </c>
      <c r="F239" s="18">
        <v>117205.48</v>
      </c>
      <c r="G239" s="18">
        <v>89139.66</v>
      </c>
      <c r="H239" s="18">
        <f>60339.52+850</f>
        <v>61189.52</v>
      </c>
      <c r="I239" s="18">
        <f>68652.14+2139</f>
        <v>70791.14</v>
      </c>
      <c r="J239" s="18">
        <v>46523.6</v>
      </c>
      <c r="K239" s="18">
        <v>35.340000000000003</v>
      </c>
      <c r="L239" s="19">
        <f t="shared" si="4"/>
        <v>384884.74000000005</v>
      </c>
      <c r="M239" s="8"/>
      <c r="N239" s="266"/>
    </row>
    <row r="240" spans="1:14" s="3" customFormat="1" ht="12.2" customHeight="1" x14ac:dyDescent="0.15">
      <c r="A240" s="1" t="s">
        <v>444</v>
      </c>
      <c r="B240" s="2" t="s">
        <v>350</v>
      </c>
      <c r="C240" s="2" t="s">
        <v>296</v>
      </c>
      <c r="D240" s="2" t="s">
        <v>431</v>
      </c>
      <c r="E240" s="6">
        <v>2300</v>
      </c>
      <c r="F240" s="18">
        <v>129230.5</v>
      </c>
      <c r="G240" s="18">
        <v>73635.149999999994</v>
      </c>
      <c r="H240" s="18">
        <v>47987.68</v>
      </c>
      <c r="I240" s="18">
        <v>2774.15</v>
      </c>
      <c r="J240" s="18"/>
      <c r="K240" s="18">
        <v>7813.02</v>
      </c>
      <c r="L240" s="19">
        <f t="shared" si="4"/>
        <v>261440.49999999997</v>
      </c>
      <c r="M240" s="8"/>
      <c r="N240" s="266"/>
    </row>
    <row r="241" spans="1:14" s="3" customFormat="1" ht="12.2" customHeight="1" x14ac:dyDescent="0.15">
      <c r="A241" s="1" t="s">
        <v>445</v>
      </c>
      <c r="B241" s="2" t="s">
        <v>350</v>
      </c>
      <c r="C241" s="2" t="s">
        <v>297</v>
      </c>
      <c r="D241" s="2" t="s">
        <v>431</v>
      </c>
      <c r="E241" s="6">
        <v>2400</v>
      </c>
      <c r="F241" s="18">
        <f>356377.67+139156.2</f>
        <v>495533.87</v>
      </c>
      <c r="G241" s="18">
        <f>203062.92+79290.78</f>
        <v>282353.7</v>
      </c>
      <c r="H241" s="18">
        <f>16847.47+2688.93</f>
        <v>19536.400000000001</v>
      </c>
      <c r="I241" s="18">
        <f>1497.91+1521.45</f>
        <v>3019.36</v>
      </c>
      <c r="J241" s="18"/>
      <c r="K241" s="18">
        <v>8690.34</v>
      </c>
      <c r="L241" s="19">
        <f t="shared" si="4"/>
        <v>809133.67</v>
      </c>
      <c r="M241" s="8"/>
      <c r="N241" s="266"/>
    </row>
    <row r="242" spans="1:14" s="3" customFormat="1" ht="12.2" customHeight="1" x14ac:dyDescent="0.15">
      <c r="A242" s="1" t="s">
        <v>446</v>
      </c>
      <c r="B242" s="2" t="s">
        <v>350</v>
      </c>
      <c r="C242" s="2" t="s">
        <v>298</v>
      </c>
      <c r="D242" s="2" t="s">
        <v>431</v>
      </c>
      <c r="E242" s="6">
        <v>2500</v>
      </c>
      <c r="F242" s="18">
        <v>74186.559999999998</v>
      </c>
      <c r="G242" s="18">
        <v>42271.28</v>
      </c>
      <c r="H242" s="18">
        <v>4113.78</v>
      </c>
      <c r="I242" s="18">
        <v>342.9</v>
      </c>
      <c r="J242" s="18"/>
      <c r="K242" s="18"/>
      <c r="L242" s="19">
        <f t="shared" si="4"/>
        <v>120914.51999999999</v>
      </c>
      <c r="M242" s="8"/>
      <c r="N242" s="266"/>
    </row>
    <row r="243" spans="1:14" s="3" customFormat="1" ht="12.2" customHeight="1" x14ac:dyDescent="0.15">
      <c r="A243" s="1" t="s">
        <v>447</v>
      </c>
      <c r="B243" s="2" t="s">
        <v>350</v>
      </c>
      <c r="C243" s="2" t="s">
        <v>299</v>
      </c>
      <c r="D243" s="2" t="s">
        <v>431</v>
      </c>
      <c r="E243" s="6">
        <v>2600</v>
      </c>
      <c r="F243" s="18">
        <f>223076.07+33439.53</f>
        <v>256515.6</v>
      </c>
      <c r="G243" s="18">
        <f>127108.07+19053.74</f>
        <v>146161.81</v>
      </c>
      <c r="H243" s="18">
        <f>284765.83+7396.4</f>
        <v>292162.23000000004</v>
      </c>
      <c r="I243" s="18">
        <f>309363.26+157.71</f>
        <v>309520.97000000003</v>
      </c>
      <c r="J243" s="18">
        <v>4393.1099999999997</v>
      </c>
      <c r="K243" s="18"/>
      <c r="L243" s="19">
        <f t="shared" si="4"/>
        <v>1008753.7200000001</v>
      </c>
      <c r="M243" s="8"/>
      <c r="N243" s="266"/>
    </row>
    <row r="244" spans="1:14" s="3" customFormat="1" ht="12.2" customHeight="1" x14ac:dyDescent="0.15">
      <c r="A244" s="1" t="s">
        <v>448</v>
      </c>
      <c r="B244" s="2" t="s">
        <v>350</v>
      </c>
      <c r="C244" s="2" t="s">
        <v>300</v>
      </c>
      <c r="D244" s="2" t="s">
        <v>431</v>
      </c>
      <c r="E244" s="6">
        <v>2700</v>
      </c>
      <c r="F244" s="18"/>
      <c r="G244" s="18"/>
      <c r="H244" s="18">
        <f>238788.19+22168.05</f>
        <v>260956.24</v>
      </c>
      <c r="I244" s="18"/>
      <c r="J244" s="18"/>
      <c r="K244" s="18"/>
      <c r="L244" s="19">
        <f t="shared" si="4"/>
        <v>260956.24</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5177534.3299999991</v>
      </c>
      <c r="G247" s="41">
        <f t="shared" si="5"/>
        <v>2972499.72</v>
      </c>
      <c r="H247" s="41">
        <f t="shared" si="5"/>
        <v>1331495.0000000002</v>
      </c>
      <c r="I247" s="41">
        <f t="shared" si="5"/>
        <v>556746.54</v>
      </c>
      <c r="J247" s="41">
        <f t="shared" si="5"/>
        <v>71343.759999999995</v>
      </c>
      <c r="K247" s="41">
        <f t="shared" si="5"/>
        <v>18064.7</v>
      </c>
      <c r="L247" s="41">
        <f t="shared" si="5"/>
        <v>10127684.050000001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f>60237.29+98225.34+19229.6</f>
        <v>177692.23</v>
      </c>
      <c r="G251" s="18">
        <f>34323.03+55968.5+10956.97</f>
        <v>101248.5</v>
      </c>
      <c r="H251" s="18">
        <v>6718.7</v>
      </c>
      <c r="I251" s="18">
        <v>14476.66</v>
      </c>
      <c r="J251" s="18">
        <v>2000</v>
      </c>
      <c r="K251" s="18">
        <v>2835.24</v>
      </c>
      <c r="L251" s="19">
        <f t="shared" si="6"/>
        <v>304971.32999999996</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50000</v>
      </c>
      <c r="I255" s="18"/>
      <c r="J255" s="18"/>
      <c r="K255" s="18"/>
      <c r="L255" s="19">
        <f t="shared" si="6"/>
        <v>50000</v>
      </c>
      <c r="M255" s="8"/>
      <c r="N255" s="266"/>
    </row>
    <row r="256" spans="1:14" s="3" customFormat="1" ht="12.2" customHeight="1" thickTop="1" thickBot="1" x14ac:dyDescent="0.2">
      <c r="A256" s="38" t="s">
        <v>461</v>
      </c>
      <c r="B256" s="40">
        <v>10</v>
      </c>
      <c r="C256" s="40">
        <v>7</v>
      </c>
      <c r="D256" s="39" t="s">
        <v>431</v>
      </c>
      <c r="E256" s="40"/>
      <c r="F256" s="41">
        <f t="shared" ref="F256:K256" si="7">SUM(F250:F255)</f>
        <v>177692.23</v>
      </c>
      <c r="G256" s="41">
        <f t="shared" si="7"/>
        <v>101248.5</v>
      </c>
      <c r="H256" s="41">
        <f t="shared" si="7"/>
        <v>56718.7</v>
      </c>
      <c r="I256" s="41">
        <f t="shared" si="7"/>
        <v>14476.66</v>
      </c>
      <c r="J256" s="41">
        <f t="shared" si="7"/>
        <v>2000</v>
      </c>
      <c r="K256" s="41">
        <f t="shared" si="7"/>
        <v>2835.24</v>
      </c>
      <c r="L256" s="41">
        <f>SUM(F256:K256)</f>
        <v>354971.32999999996</v>
      </c>
      <c r="M256" s="8"/>
      <c r="N256" s="266"/>
    </row>
    <row r="257" spans="1:14" s="3" customFormat="1" ht="12.2" customHeight="1" thickTop="1" x14ac:dyDescent="0.15">
      <c r="A257" s="38" t="s">
        <v>462</v>
      </c>
      <c r="B257" s="40">
        <v>10</v>
      </c>
      <c r="C257" s="40">
        <v>8</v>
      </c>
      <c r="D257" s="39" t="s">
        <v>431</v>
      </c>
      <c r="E257" s="40"/>
      <c r="F257" s="41">
        <f t="shared" ref="F257:L257" si="8">F211+F229+F247+F256</f>
        <v>15543964.030000001</v>
      </c>
      <c r="G257" s="41">
        <f t="shared" si="8"/>
        <v>8935999.7200000007</v>
      </c>
      <c r="H257" s="41">
        <f t="shared" si="8"/>
        <v>4549144.4100000011</v>
      </c>
      <c r="I257" s="41">
        <f t="shared" si="8"/>
        <v>1502995.6099999999</v>
      </c>
      <c r="J257" s="41">
        <f t="shared" si="8"/>
        <v>297886.04000000004</v>
      </c>
      <c r="K257" s="41">
        <f t="shared" si="8"/>
        <v>46656.57</v>
      </c>
      <c r="L257" s="41">
        <f t="shared" si="8"/>
        <v>30876646.379999999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1794504.97</v>
      </c>
      <c r="L260" s="19">
        <f>SUM(F260:K260)</f>
        <v>1794504.97</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727206.09</v>
      </c>
      <c r="L261" s="19">
        <f>SUM(F261:K261)</f>
        <v>727206.09</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325000</v>
      </c>
      <c r="L264" s="19">
        <f t="shared" ref="L264:L270" si="9">SUM(F264:K264)</f>
        <v>325000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2846711.06</v>
      </c>
      <c r="L270" s="41">
        <f t="shared" si="9"/>
        <v>2846711.06</v>
      </c>
      <c r="N270" s="264"/>
    </row>
    <row r="271" spans="1:14" s="3" customFormat="1" ht="12.2" customHeight="1" thickTop="1" x14ac:dyDescent="0.2">
      <c r="A271" s="43" t="s">
        <v>464</v>
      </c>
      <c r="B271" s="40">
        <v>10</v>
      </c>
      <c r="C271" s="40">
        <v>18</v>
      </c>
      <c r="D271" s="39" t="s">
        <v>431</v>
      </c>
      <c r="E271" s="40"/>
      <c r="F271" s="42">
        <f t="shared" ref="F271:L271" si="11">F257+F270</f>
        <v>15543964.030000001</v>
      </c>
      <c r="G271" s="42">
        <f t="shared" si="11"/>
        <v>8935999.7200000007</v>
      </c>
      <c r="H271" s="42">
        <f t="shared" si="11"/>
        <v>4549144.4100000011</v>
      </c>
      <c r="I271" s="42">
        <f t="shared" si="11"/>
        <v>1502995.6099999999</v>
      </c>
      <c r="J271" s="42">
        <f t="shared" si="11"/>
        <v>297886.04000000004</v>
      </c>
      <c r="K271" s="42">
        <f t="shared" si="11"/>
        <v>2893367.63</v>
      </c>
      <c r="L271" s="42">
        <f t="shared" si="11"/>
        <v>33723357.439999998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939537.27</v>
      </c>
      <c r="G276" s="18">
        <v>301572.59000000003</v>
      </c>
      <c r="H276" s="18">
        <v>95718.43</v>
      </c>
      <c r="I276" s="18">
        <v>53781.279999999999</v>
      </c>
      <c r="J276" s="18">
        <v>48575.05</v>
      </c>
      <c r="K276" s="18"/>
      <c r="L276" s="19">
        <f>SUM(F276:K276)</f>
        <v>1439184.62</v>
      </c>
      <c r="M276" s="8"/>
      <c r="N276" s="266"/>
    </row>
    <row r="277" spans="1:14" s="3" customFormat="1" ht="12.2" customHeight="1" x14ac:dyDescent="0.15">
      <c r="A277" s="1" t="s">
        <v>439</v>
      </c>
      <c r="B277" s="2" t="s">
        <v>357</v>
      </c>
      <c r="C277" s="2" t="s">
        <v>291</v>
      </c>
      <c r="D277" s="2" t="s">
        <v>431</v>
      </c>
      <c r="E277" s="6">
        <v>1200</v>
      </c>
      <c r="F277" s="18">
        <v>235560.16</v>
      </c>
      <c r="G277" s="18">
        <v>60205.09</v>
      </c>
      <c r="H277" s="18">
        <v>900</v>
      </c>
      <c r="I277" s="18">
        <v>1026.8800000000001</v>
      </c>
      <c r="J277" s="18"/>
      <c r="K277" s="18"/>
      <c r="L277" s="19">
        <f>SUM(F277:K277)</f>
        <v>297692.13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34573.879999999997</v>
      </c>
      <c r="G279" s="18">
        <v>29747.85</v>
      </c>
      <c r="H279" s="18"/>
      <c r="I279" s="18"/>
      <c r="J279" s="18"/>
      <c r="K279" s="18"/>
      <c r="L279" s="19">
        <f>SUM(F279:K279)</f>
        <v>64321.729999999996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83466.289999999994</v>
      </c>
      <c r="G281" s="18">
        <v>34530.47</v>
      </c>
      <c r="H281" s="18">
        <v>76841.8</v>
      </c>
      <c r="I281" s="18">
        <v>19560.11</v>
      </c>
      <c r="J281" s="18"/>
      <c r="K281" s="18">
        <v>1597.38</v>
      </c>
      <c r="L281" s="19">
        <f t="shared" ref="L281:L287" si="12">SUM(F281:K281)</f>
        <v>215996.05</v>
      </c>
      <c r="M281" s="8"/>
      <c r="N281" s="266"/>
    </row>
    <row r="282" spans="1:14" s="3" customFormat="1" ht="12.2" customHeight="1" x14ac:dyDescent="0.15">
      <c r="A282" s="1" t="s">
        <v>443</v>
      </c>
      <c r="B282" s="2" t="s">
        <v>357</v>
      </c>
      <c r="C282" s="2" t="s">
        <v>295</v>
      </c>
      <c r="D282" s="2" t="s">
        <v>431</v>
      </c>
      <c r="E282" s="6">
        <v>2200</v>
      </c>
      <c r="F282" s="18">
        <v>15301.9</v>
      </c>
      <c r="G282" s="18">
        <v>169547.83</v>
      </c>
      <c r="H282" s="18">
        <v>100791.48</v>
      </c>
      <c r="I282" s="18">
        <v>6144.33</v>
      </c>
      <c r="J282" s="18"/>
      <c r="K282" s="18"/>
      <c r="L282" s="19">
        <f t="shared" si="12"/>
        <v>291785.53999999998</v>
      </c>
      <c r="M282" s="8"/>
      <c r="N282" s="266"/>
    </row>
    <row r="283" spans="1:14" s="3" customFormat="1" ht="12.2" customHeight="1" x14ac:dyDescent="0.15">
      <c r="A283" s="1" t="s">
        <v>444</v>
      </c>
      <c r="B283" s="2" t="s">
        <v>357</v>
      </c>
      <c r="C283" s="2" t="s">
        <v>296</v>
      </c>
      <c r="D283" s="2" t="s">
        <v>431</v>
      </c>
      <c r="E283" s="6">
        <v>2300</v>
      </c>
      <c r="F283" s="18">
        <v>14689.65</v>
      </c>
      <c r="G283" s="18">
        <v>1901.58</v>
      </c>
      <c r="H283" s="18">
        <v>11985.29</v>
      </c>
      <c r="I283" s="18"/>
      <c r="J283" s="18"/>
      <c r="K283" s="18"/>
      <c r="L283" s="19">
        <f t="shared" si="12"/>
        <v>28576.52</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1377.69</v>
      </c>
      <c r="I287" s="18"/>
      <c r="J287" s="18"/>
      <c r="K287" s="18"/>
      <c r="L287" s="19">
        <f t="shared" si="12"/>
        <v>1377.69</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1323129.1499999997</v>
      </c>
      <c r="G290" s="42">
        <f t="shared" si="13"/>
        <v>597505.40999999992</v>
      </c>
      <c r="H290" s="42">
        <f t="shared" si="13"/>
        <v>287614.68999999994</v>
      </c>
      <c r="I290" s="42">
        <f t="shared" si="13"/>
        <v>80512.599999999991</v>
      </c>
      <c r="J290" s="42">
        <f t="shared" si="13"/>
        <v>48575.05</v>
      </c>
      <c r="K290" s="42">
        <f t="shared" si="13"/>
        <v>1597.38</v>
      </c>
      <c r="L290" s="41">
        <f t="shared" si="13"/>
        <v>2338934.2799999998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47811.14</v>
      </c>
      <c r="G295" s="18">
        <v>16264.54</v>
      </c>
      <c r="H295" s="18">
        <v>7481.79</v>
      </c>
      <c r="I295" s="18">
        <v>24114.93</v>
      </c>
      <c r="J295" s="18">
        <v>3.47</v>
      </c>
      <c r="K295" s="18"/>
      <c r="L295" s="19">
        <f>SUM(F295:K295)</f>
        <v>95675.87</v>
      </c>
      <c r="M295" s="8"/>
      <c r="N295" s="266"/>
    </row>
    <row r="296" spans="1:14" s="3" customFormat="1" ht="12.2" customHeight="1" x14ac:dyDescent="0.15">
      <c r="A296" s="1" t="s">
        <v>439</v>
      </c>
      <c r="B296" s="2" t="s">
        <v>358</v>
      </c>
      <c r="C296" s="2" t="s">
        <v>291</v>
      </c>
      <c r="D296" s="2" t="s">
        <v>431</v>
      </c>
      <c r="E296" s="6">
        <v>1200</v>
      </c>
      <c r="F296" s="18">
        <v>115295.15</v>
      </c>
      <c r="G296" s="18">
        <v>28805.200000000001</v>
      </c>
      <c r="H296" s="18">
        <v>450</v>
      </c>
      <c r="I296" s="18">
        <v>488.45</v>
      </c>
      <c r="J296" s="18"/>
      <c r="K296" s="18"/>
      <c r="L296" s="19">
        <f>SUM(F296:K296)</f>
        <v>145038.80000000002</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v>3351.02</v>
      </c>
      <c r="H298" s="18"/>
      <c r="I298" s="18"/>
      <c r="J298" s="18"/>
      <c r="K298" s="18"/>
      <c r="L298" s="19">
        <f>SUM(F298:K298)</f>
        <v>3351.02</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52287.62</v>
      </c>
      <c r="G300" s="18">
        <v>24879.01</v>
      </c>
      <c r="H300" s="18">
        <v>38826.480000000003</v>
      </c>
      <c r="I300" s="18">
        <v>7706.33</v>
      </c>
      <c r="J300" s="18"/>
      <c r="K300" s="18">
        <v>798.68</v>
      </c>
      <c r="L300" s="19">
        <f t="shared" ref="L300:L306" si="14">SUM(F300:K300)</f>
        <v>124498.12000000001</v>
      </c>
      <c r="M300" s="8"/>
      <c r="N300" s="266"/>
    </row>
    <row r="301" spans="1:14" s="3" customFormat="1" ht="12.2" customHeight="1" x14ac:dyDescent="0.15">
      <c r="A301" s="1" t="s">
        <v>443</v>
      </c>
      <c r="B301" s="2" t="s">
        <v>358</v>
      </c>
      <c r="C301" s="2" t="s">
        <v>295</v>
      </c>
      <c r="D301" s="2" t="s">
        <v>431</v>
      </c>
      <c r="E301" s="6">
        <v>2200</v>
      </c>
      <c r="F301" s="18">
        <v>1532.75</v>
      </c>
      <c r="G301" s="18">
        <v>8015.07</v>
      </c>
      <c r="H301" s="18">
        <v>42855.57</v>
      </c>
      <c r="I301" s="18">
        <v>3693.56</v>
      </c>
      <c r="J301" s="18"/>
      <c r="K301" s="18"/>
      <c r="L301" s="19">
        <f t="shared" si="14"/>
        <v>56096.95</v>
      </c>
      <c r="M301" s="8"/>
      <c r="N301" s="266"/>
    </row>
    <row r="302" spans="1:14" s="3" customFormat="1" ht="12.2" customHeight="1" x14ac:dyDescent="0.15">
      <c r="A302" s="1" t="s">
        <v>444</v>
      </c>
      <c r="B302" s="2" t="s">
        <v>358</v>
      </c>
      <c r="C302" s="2" t="s">
        <v>296</v>
      </c>
      <c r="D302" s="2" t="s">
        <v>431</v>
      </c>
      <c r="E302" s="6">
        <v>2300</v>
      </c>
      <c r="F302" s="18">
        <v>7808.07</v>
      </c>
      <c r="G302" s="18">
        <v>1119.46</v>
      </c>
      <c r="H302" s="18">
        <v>6411.22</v>
      </c>
      <c r="I302" s="18"/>
      <c r="J302" s="18"/>
      <c r="K302" s="18"/>
      <c r="L302" s="19">
        <f t="shared" si="14"/>
        <v>15338.75</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v>688.84</v>
      </c>
      <c r="I306" s="18"/>
      <c r="J306" s="18"/>
      <c r="K306" s="18"/>
      <c r="L306" s="19">
        <f t="shared" si="14"/>
        <v>688.84</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224734.72999999998</v>
      </c>
      <c r="G309" s="42">
        <f t="shared" si="15"/>
        <v>82434.3</v>
      </c>
      <c r="H309" s="42">
        <f t="shared" si="15"/>
        <v>96713.9</v>
      </c>
      <c r="I309" s="42">
        <f t="shared" si="15"/>
        <v>36003.269999999997</v>
      </c>
      <c r="J309" s="42">
        <f t="shared" si="15"/>
        <v>3.47</v>
      </c>
      <c r="K309" s="42">
        <f t="shared" si="15"/>
        <v>798.68</v>
      </c>
      <c r="L309" s="41">
        <f t="shared" si="15"/>
        <v>440688.35000000003</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110775.11</v>
      </c>
      <c r="G314" s="18">
        <v>28154.78</v>
      </c>
      <c r="H314" s="18">
        <v>7797.22</v>
      </c>
      <c r="I314" s="18">
        <v>22380.53</v>
      </c>
      <c r="J314" s="18"/>
      <c r="K314" s="18"/>
      <c r="L314" s="19">
        <f>SUM(F314:K314)</f>
        <v>169107.64</v>
      </c>
      <c r="M314" s="8"/>
      <c r="N314" s="266"/>
    </row>
    <row r="315" spans="1:14" s="3" customFormat="1" ht="12.2" customHeight="1" x14ac:dyDescent="0.15">
      <c r="A315" s="1" t="s">
        <v>439</v>
      </c>
      <c r="B315" s="2" t="s">
        <v>359</v>
      </c>
      <c r="C315" s="2" t="s">
        <v>291</v>
      </c>
      <c r="D315" s="2" t="s">
        <v>431</v>
      </c>
      <c r="E315" s="6">
        <v>1200</v>
      </c>
      <c r="F315" s="18">
        <v>113321.61</v>
      </c>
      <c r="G315" s="18">
        <v>45735.99</v>
      </c>
      <c r="H315" s="18">
        <v>12475</v>
      </c>
      <c r="I315" s="18">
        <v>488.46</v>
      </c>
      <c r="J315" s="18"/>
      <c r="K315" s="18"/>
      <c r="L315" s="19">
        <f>SUM(F315:K315)</f>
        <v>172021.06</v>
      </c>
      <c r="M315" s="8"/>
      <c r="N315" s="266"/>
    </row>
    <row r="316" spans="1:14" s="3" customFormat="1" ht="12.2" customHeight="1" x14ac:dyDescent="0.15">
      <c r="A316" s="1" t="s">
        <v>440</v>
      </c>
      <c r="B316" s="2" t="s">
        <v>359</v>
      </c>
      <c r="C316" s="2" t="s">
        <v>292</v>
      </c>
      <c r="D316" s="2" t="s">
        <v>431</v>
      </c>
      <c r="E316" s="6">
        <v>1300</v>
      </c>
      <c r="F316" s="18">
        <v>83453.17</v>
      </c>
      <c r="G316" s="18">
        <v>23152.23</v>
      </c>
      <c r="H316" s="18">
        <v>9757.4</v>
      </c>
      <c r="I316" s="18">
        <v>19910.75</v>
      </c>
      <c r="J316" s="18">
        <v>46915.54</v>
      </c>
      <c r="K316" s="18"/>
      <c r="L316" s="19">
        <f>SUM(F316:K316)</f>
        <v>183189.09</v>
      </c>
      <c r="M316" s="8"/>
      <c r="N316" s="266"/>
    </row>
    <row r="317" spans="1:14" s="3" customFormat="1" ht="12.2" customHeight="1" x14ac:dyDescent="0.15">
      <c r="A317" s="1" t="s">
        <v>441</v>
      </c>
      <c r="B317" s="2" t="s">
        <v>359</v>
      </c>
      <c r="C317" s="2" t="s">
        <v>293</v>
      </c>
      <c r="D317" s="2" t="s">
        <v>431</v>
      </c>
      <c r="E317" s="6">
        <v>1400</v>
      </c>
      <c r="F317" s="18">
        <v>67392</v>
      </c>
      <c r="G317" s="18">
        <v>7478.94</v>
      </c>
      <c r="H317" s="18">
        <v>21060</v>
      </c>
      <c r="I317" s="18">
        <v>34720.32</v>
      </c>
      <c r="J317" s="18"/>
      <c r="K317" s="18"/>
      <c r="L317" s="19">
        <f>SUM(F317:K317)</f>
        <v>130651.26000000001</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72729</v>
      </c>
      <c r="G319" s="18">
        <v>32511.38</v>
      </c>
      <c r="H319" s="18">
        <v>34320.879999999997</v>
      </c>
      <c r="I319" s="18">
        <v>6956.35</v>
      </c>
      <c r="J319" s="18"/>
      <c r="K319" s="18">
        <v>798.69</v>
      </c>
      <c r="L319" s="19">
        <f t="shared" ref="L319:L325" si="16">SUM(F319:K319)</f>
        <v>147316.30000000002</v>
      </c>
      <c r="M319" s="8"/>
      <c r="N319" s="266"/>
    </row>
    <row r="320" spans="1:14" s="3" customFormat="1" ht="12.2" customHeight="1" x14ac:dyDescent="0.15">
      <c r="A320" s="1" t="s">
        <v>443</v>
      </c>
      <c r="B320" s="2" t="s">
        <v>359</v>
      </c>
      <c r="C320" s="2" t="s">
        <v>295</v>
      </c>
      <c r="D320" s="2" t="s">
        <v>431</v>
      </c>
      <c r="E320" s="6">
        <v>2200</v>
      </c>
      <c r="F320" s="18">
        <v>17614.09</v>
      </c>
      <c r="G320" s="18">
        <v>10131.34</v>
      </c>
      <c r="H320" s="18">
        <v>74110.95</v>
      </c>
      <c r="I320" s="18">
        <v>3693.56</v>
      </c>
      <c r="J320" s="18"/>
      <c r="K320" s="18"/>
      <c r="L320" s="19">
        <f t="shared" si="16"/>
        <v>105549.94</v>
      </c>
      <c r="M320" s="8"/>
      <c r="N320" s="266"/>
    </row>
    <row r="321" spans="1:14" s="3" customFormat="1" ht="12.2" customHeight="1" x14ac:dyDescent="0.15">
      <c r="A321" s="1" t="s">
        <v>444</v>
      </c>
      <c r="B321" s="2" t="s">
        <v>359</v>
      </c>
      <c r="C321" s="2" t="s">
        <v>296</v>
      </c>
      <c r="D321" s="2" t="s">
        <v>431</v>
      </c>
      <c r="E321" s="6">
        <v>2300</v>
      </c>
      <c r="F321" s="18">
        <v>27032.07</v>
      </c>
      <c r="G321" s="18">
        <v>5954.41</v>
      </c>
      <c r="H321" s="18">
        <v>21029.45</v>
      </c>
      <c r="I321" s="18"/>
      <c r="J321" s="18"/>
      <c r="K321" s="18">
        <v>6639.66</v>
      </c>
      <c r="L321" s="19">
        <f t="shared" si="16"/>
        <v>60655.59</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v>688.84</v>
      </c>
      <c r="I325" s="18">
        <v>111</v>
      </c>
      <c r="J325" s="18"/>
      <c r="K325" s="18"/>
      <c r="L325" s="19">
        <f t="shared" si="16"/>
        <v>799.84</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492317.05000000005</v>
      </c>
      <c r="G328" s="42">
        <f t="shared" si="17"/>
        <v>153119.06999999998</v>
      </c>
      <c r="H328" s="42">
        <f t="shared" si="17"/>
        <v>181239.74000000002</v>
      </c>
      <c r="I328" s="42">
        <f t="shared" si="17"/>
        <v>88260.97</v>
      </c>
      <c r="J328" s="42">
        <f t="shared" si="17"/>
        <v>46915.54</v>
      </c>
      <c r="K328" s="42">
        <f t="shared" si="17"/>
        <v>7438.35</v>
      </c>
      <c r="L328" s="41">
        <f t="shared" si="17"/>
        <v>969290.72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2940</v>
      </c>
      <c r="G332" s="18">
        <v>224.91</v>
      </c>
      <c r="H332" s="18"/>
      <c r="I332" s="18"/>
      <c r="J332" s="18"/>
      <c r="K332" s="18"/>
      <c r="L332" s="19">
        <f t="shared" ref="L332:L337" si="18">SUM(F332:K332)</f>
        <v>3164.91</v>
      </c>
      <c r="M332" s="8"/>
      <c r="N332" s="266"/>
    </row>
    <row r="333" spans="1:14" s="3" customFormat="1" ht="12.2" customHeight="1" x14ac:dyDescent="0.15">
      <c r="A333" s="1" t="s">
        <v>353</v>
      </c>
      <c r="B333" s="6">
        <v>14</v>
      </c>
      <c r="C333" s="2" t="s">
        <v>309</v>
      </c>
      <c r="D333" s="2" t="s">
        <v>431</v>
      </c>
      <c r="E333" s="6">
        <v>1600</v>
      </c>
      <c r="F333" s="18"/>
      <c r="G333" s="18"/>
      <c r="H333" s="18"/>
      <c r="I333" s="18">
        <v>225</v>
      </c>
      <c r="J333" s="18"/>
      <c r="K333" s="18"/>
      <c r="L333" s="19">
        <f t="shared" si="18"/>
        <v>225</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2940</v>
      </c>
      <c r="G337" s="41">
        <f t="shared" si="19"/>
        <v>224.91</v>
      </c>
      <c r="H337" s="41">
        <f t="shared" si="19"/>
        <v>0</v>
      </c>
      <c r="I337" s="41">
        <f t="shared" si="19"/>
        <v>225</v>
      </c>
      <c r="J337" s="41">
        <f t="shared" si="19"/>
        <v>0</v>
      </c>
      <c r="K337" s="41">
        <f t="shared" si="19"/>
        <v>0</v>
      </c>
      <c r="L337" s="41">
        <f t="shared" si="18"/>
        <v>3389.91</v>
      </c>
      <c r="M337" s="8"/>
      <c r="N337" s="266"/>
    </row>
    <row r="338" spans="1:43" s="3" customFormat="1" ht="12.2" customHeight="1" thickTop="1" x14ac:dyDescent="0.15">
      <c r="A338" s="38" t="s">
        <v>468</v>
      </c>
      <c r="B338" s="40">
        <v>14</v>
      </c>
      <c r="C338" s="40">
        <v>7</v>
      </c>
      <c r="D338" s="39" t="s">
        <v>431</v>
      </c>
      <c r="E338" s="40"/>
      <c r="F338" s="41">
        <f t="shared" ref="F338:L338" si="20">F290+F309+F328+F337</f>
        <v>2043120.9299999997</v>
      </c>
      <c r="G338" s="41">
        <f t="shared" si="20"/>
        <v>833283.69</v>
      </c>
      <c r="H338" s="41">
        <f t="shared" si="20"/>
        <v>565568.32999999996</v>
      </c>
      <c r="I338" s="41">
        <f t="shared" si="20"/>
        <v>205001.84</v>
      </c>
      <c r="J338" s="41">
        <f t="shared" si="20"/>
        <v>95494.06</v>
      </c>
      <c r="K338" s="41">
        <f t="shared" si="20"/>
        <v>9834.41</v>
      </c>
      <c r="L338" s="41">
        <f t="shared" si="20"/>
        <v>3752303.26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325000</v>
      </c>
      <c r="L344" s="19">
        <f t="shared" ref="L344:L350" si="21">SUM(F344:K344)</f>
        <v>325000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325000</v>
      </c>
      <c r="L351" s="41">
        <f>SUM(L341:L350)</f>
        <v>325000</v>
      </c>
      <c r="M351" s="8"/>
      <c r="N351" s="266"/>
    </row>
    <row r="352" spans="1:43" s="12" customFormat="1" ht="12.2" customHeight="1" thickTop="1" thickBot="1" x14ac:dyDescent="0.25">
      <c r="A352" s="38" t="s">
        <v>469</v>
      </c>
      <c r="B352" s="40">
        <v>14</v>
      </c>
      <c r="C352" s="40">
        <v>17</v>
      </c>
      <c r="D352" s="39" t="s">
        <v>431</v>
      </c>
      <c r="E352" s="40"/>
      <c r="F352" s="41">
        <f>F338</f>
        <v>2043120.9299999997</v>
      </c>
      <c r="G352" s="41">
        <f>G338</f>
        <v>833283.69</v>
      </c>
      <c r="H352" s="41">
        <f>H338</f>
        <v>565568.32999999996</v>
      </c>
      <c r="I352" s="41">
        <f>I338</f>
        <v>205001.84</v>
      </c>
      <c r="J352" s="41">
        <f>J338</f>
        <v>95494.06</v>
      </c>
      <c r="K352" s="47">
        <f>K338+K351</f>
        <v>334834.40999999997</v>
      </c>
      <c r="L352" s="41">
        <f>L338+L351</f>
        <v>4077303.26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259604.39</v>
      </c>
      <c r="G358" s="18">
        <v>81638.990000000005</v>
      </c>
      <c r="H358" s="18">
        <v>26102.67</v>
      </c>
      <c r="I358" s="18">
        <v>315313.59999999998</v>
      </c>
      <c r="J358" s="18">
        <v>1837.07</v>
      </c>
      <c r="K358" s="18"/>
      <c r="L358" s="13">
        <f>SUM(F358:K358)</f>
        <v>684496.71999999986</v>
      </c>
      <c r="N358" s="264"/>
      <c r="R358" s="3"/>
      <c r="S358" s="3"/>
      <c r="T358" s="3"/>
      <c r="U358" s="3"/>
      <c r="V358" s="3"/>
    </row>
    <row r="359" spans="1:22" s="3" customFormat="1" ht="12.2" customHeight="1" x14ac:dyDescent="0.15">
      <c r="A359" s="1" t="s">
        <v>542</v>
      </c>
      <c r="B359" s="2" t="s">
        <v>366</v>
      </c>
      <c r="C359" s="6">
        <v>2</v>
      </c>
      <c r="D359" s="2" t="s">
        <v>431</v>
      </c>
      <c r="E359" s="6"/>
      <c r="F359" s="18">
        <v>149082.14000000001</v>
      </c>
      <c r="G359" s="18">
        <v>56484.22</v>
      </c>
      <c r="H359" s="18">
        <v>5581.57</v>
      </c>
      <c r="I359" s="18">
        <v>148663.07</v>
      </c>
      <c r="J359" s="18">
        <v>1428.54</v>
      </c>
      <c r="K359" s="18"/>
      <c r="L359" s="19">
        <f>SUM(F359:K359)</f>
        <v>361239.54</v>
      </c>
      <c r="M359" s="8"/>
      <c r="N359" s="266"/>
    </row>
    <row r="360" spans="1:22" s="3" customFormat="1" ht="12.2" customHeight="1" x14ac:dyDescent="0.15">
      <c r="A360" s="3" t="s">
        <v>543</v>
      </c>
      <c r="B360" s="2" t="s">
        <v>366</v>
      </c>
      <c r="C360" s="6">
        <v>3</v>
      </c>
      <c r="D360" s="2" t="s">
        <v>431</v>
      </c>
      <c r="E360" s="6"/>
      <c r="F360" s="18">
        <v>110188.08</v>
      </c>
      <c r="G360" s="18">
        <v>62043.4</v>
      </c>
      <c r="H360" s="18">
        <v>5234.5600000000004</v>
      </c>
      <c r="I360" s="18">
        <v>159369.85</v>
      </c>
      <c r="J360" s="18">
        <v>242.98</v>
      </c>
      <c r="K360" s="18"/>
      <c r="L360" s="19">
        <f>SUM(F360:K360)</f>
        <v>337078.87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518874.61000000004</v>
      </c>
      <c r="G362" s="47">
        <f t="shared" si="22"/>
        <v>200166.61000000002</v>
      </c>
      <c r="H362" s="47">
        <f t="shared" si="22"/>
        <v>36918.799999999996</v>
      </c>
      <c r="I362" s="47">
        <f t="shared" si="22"/>
        <v>623346.52</v>
      </c>
      <c r="J362" s="47">
        <f t="shared" si="22"/>
        <v>3508.5899999999997</v>
      </c>
      <c r="K362" s="47">
        <f t="shared" si="22"/>
        <v>0</v>
      </c>
      <c r="L362" s="47">
        <f t="shared" si="22"/>
        <v>1382815.13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292814.78999999998</v>
      </c>
      <c r="G367" s="18">
        <v>134624.79999999999</v>
      </c>
      <c r="H367" s="18">
        <v>145788.72</v>
      </c>
      <c r="I367" s="56">
        <f>SUM(F367:H367)</f>
        <v>573228.30999999994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22498.81</v>
      </c>
      <c r="G368" s="63">
        <v>14038.27</v>
      </c>
      <c r="H368" s="63">
        <v>13581.13</v>
      </c>
      <c r="I368" s="56">
        <f>SUM(F368:H368)</f>
        <v>50118.21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315313.59999999998</v>
      </c>
      <c r="G369" s="47">
        <f>SUM(G367:G368)</f>
        <v>148663.06999999998</v>
      </c>
      <c r="H369" s="47">
        <f>SUM(H367:H368)</f>
        <v>159369.85</v>
      </c>
      <c r="I369" s="47">
        <f>SUM(I367:I368)</f>
        <v>623346.5199999999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c r="G465" s="18"/>
      <c r="H465" s="18"/>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33723357.439999998</v>
      </c>
      <c r="G468" s="18">
        <f>G193</f>
        <v>1382815.1300000001</v>
      </c>
      <c r="H468" s="18">
        <f>H193</f>
        <v>4077303.2600000002</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33723357.439999998</v>
      </c>
      <c r="G470" s="53">
        <f>SUM(G468:G469)</f>
        <v>1382815.1300000001</v>
      </c>
      <c r="H470" s="53">
        <f>SUM(H468:H469)</f>
        <v>4077303.2600000002</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33723357.439999998</v>
      </c>
      <c r="G472" s="18">
        <f>L362</f>
        <v>1382815.13</v>
      </c>
      <c r="H472" s="18">
        <f>L352</f>
        <v>4077303.26</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33723357.439999998</v>
      </c>
      <c r="G474" s="53">
        <f>SUM(G472:G473)</f>
        <v>1382815.13</v>
      </c>
      <c r="H474" s="53">
        <f>SUM(H472:H473)</f>
        <v>4077303.26</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0</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1725923.7799999998</v>
      </c>
      <c r="G521" s="18">
        <v>909409.75999999989</v>
      </c>
      <c r="H521" s="18">
        <v>758039.08000000007</v>
      </c>
      <c r="I521" s="18">
        <v>9818.3300000000017</v>
      </c>
      <c r="J521" s="18">
        <v>5150</v>
      </c>
      <c r="K521" s="18">
        <v>1060</v>
      </c>
      <c r="L521" s="88">
        <f>SUM(F521:K521)</f>
        <v>3409400.9499999997</v>
      </c>
      <c r="N521" s="265"/>
    </row>
    <row r="522" spans="1:14" s="52" customFormat="1" ht="12.2" customHeight="1" x14ac:dyDescent="0.2">
      <c r="A522" s="22" t="s">
        <v>634</v>
      </c>
      <c r="B522" s="105">
        <v>21</v>
      </c>
      <c r="C522" s="115">
        <v>2</v>
      </c>
      <c r="D522" s="2" t="s">
        <v>432</v>
      </c>
      <c r="E522" s="115"/>
      <c r="F522" s="18">
        <v>910336.01</v>
      </c>
      <c r="G522" s="18">
        <v>481817.07999999996</v>
      </c>
      <c r="H522" s="18">
        <v>523441.91000000003</v>
      </c>
      <c r="I522" s="18">
        <v>5045.72</v>
      </c>
      <c r="J522" s="18">
        <v>800</v>
      </c>
      <c r="K522" s="18">
        <v>0</v>
      </c>
      <c r="L522" s="88">
        <f>SUM(F522:K522)</f>
        <v>1921440.72</v>
      </c>
      <c r="N522" s="265"/>
    </row>
    <row r="523" spans="1:14" s="52" customFormat="1" ht="12.2" customHeight="1" thickBot="1" x14ac:dyDescent="0.25">
      <c r="A523" s="22" t="s">
        <v>635</v>
      </c>
      <c r="B523" s="105">
        <v>21</v>
      </c>
      <c r="C523" s="115">
        <v>3</v>
      </c>
      <c r="D523" s="2" t="s">
        <v>432</v>
      </c>
      <c r="E523" s="115"/>
      <c r="F523" s="18">
        <v>798788.59</v>
      </c>
      <c r="G523" s="18">
        <v>436312.99</v>
      </c>
      <c r="H523" s="18">
        <v>383260.47</v>
      </c>
      <c r="I523" s="18">
        <v>4378.1899999999996</v>
      </c>
      <c r="J523" s="18">
        <v>0</v>
      </c>
      <c r="K523" s="18">
        <v>530</v>
      </c>
      <c r="L523" s="88">
        <f>SUM(F523:K523)</f>
        <v>1623270.24</v>
      </c>
      <c r="N523" s="265"/>
    </row>
    <row r="524" spans="1:14" s="52" customFormat="1" ht="12.2" customHeight="1" thickTop="1" x14ac:dyDescent="0.2">
      <c r="A524" s="139" t="s">
        <v>63</v>
      </c>
      <c r="B524" s="107">
        <v>21</v>
      </c>
      <c r="C524" s="195">
        <v>4</v>
      </c>
      <c r="D524" s="196" t="s">
        <v>432</v>
      </c>
      <c r="E524" s="195"/>
      <c r="F524" s="108">
        <f>SUM(F521:F523)</f>
        <v>3435048.38</v>
      </c>
      <c r="G524" s="108">
        <f t="shared" ref="G524:L524" si="36">SUM(G521:G523)</f>
        <v>1827539.8299999998</v>
      </c>
      <c r="H524" s="108">
        <f t="shared" si="36"/>
        <v>1664741.4600000002</v>
      </c>
      <c r="I524" s="108">
        <f t="shared" si="36"/>
        <v>19242.240000000002</v>
      </c>
      <c r="J524" s="108">
        <f t="shared" si="36"/>
        <v>5950</v>
      </c>
      <c r="K524" s="108">
        <f t="shared" si="36"/>
        <v>1590</v>
      </c>
      <c r="L524" s="89">
        <f t="shared" si="36"/>
        <v>6954111.9100000001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417119.99</v>
      </c>
      <c r="G526" s="18">
        <v>237673.71</v>
      </c>
      <c r="H526" s="18">
        <v>195003.41000000003</v>
      </c>
      <c r="I526" s="18">
        <v>2934.38</v>
      </c>
      <c r="J526" s="18">
        <v>1378.72</v>
      </c>
      <c r="K526" s="18"/>
      <c r="L526" s="88">
        <f>SUM(F526:K526)</f>
        <v>854110.21</v>
      </c>
      <c r="M526" s="8"/>
      <c r="N526" s="266"/>
    </row>
    <row r="527" spans="1:14" s="3" customFormat="1" ht="12.2" customHeight="1" x14ac:dyDescent="0.15">
      <c r="A527" s="22" t="s">
        <v>634</v>
      </c>
      <c r="B527" s="105">
        <v>21</v>
      </c>
      <c r="C527" s="115">
        <v>6</v>
      </c>
      <c r="D527" s="2" t="s">
        <v>432</v>
      </c>
      <c r="E527" s="115"/>
      <c r="F527" s="18">
        <v>175643.01</v>
      </c>
      <c r="G527" s="18">
        <v>100080.85</v>
      </c>
      <c r="H527" s="18">
        <v>120841.03</v>
      </c>
      <c r="I527" s="18">
        <v>952.53</v>
      </c>
      <c r="J527" s="18"/>
      <c r="K527" s="18"/>
      <c r="L527" s="88">
        <f>SUM(F527:K527)</f>
        <v>397517.42000000004</v>
      </c>
      <c r="M527" s="8"/>
      <c r="N527" s="266"/>
    </row>
    <row r="528" spans="1:14" s="3" customFormat="1" ht="12.2" customHeight="1" thickBot="1" x14ac:dyDescent="0.2">
      <c r="A528" s="22" t="s">
        <v>635</v>
      </c>
      <c r="B528" s="118">
        <v>21</v>
      </c>
      <c r="C528" s="118">
        <v>7</v>
      </c>
      <c r="D528" s="2" t="s">
        <v>432</v>
      </c>
      <c r="E528" s="118"/>
      <c r="F528" s="18">
        <v>78028</v>
      </c>
      <c r="G528" s="18">
        <v>44460.12</v>
      </c>
      <c r="H528" s="18">
        <v>66073.53</v>
      </c>
      <c r="I528" s="18">
        <v>378.56</v>
      </c>
      <c r="J528" s="18"/>
      <c r="K528" s="18"/>
      <c r="L528" s="88">
        <f>SUM(F528:K528)</f>
        <v>188940.21</v>
      </c>
      <c r="M528" s="8"/>
      <c r="N528" s="266"/>
    </row>
    <row r="529" spans="1:14" s="3" customFormat="1" ht="12.2" customHeight="1" thickTop="1" x14ac:dyDescent="0.15">
      <c r="A529" s="139" t="s">
        <v>65</v>
      </c>
      <c r="B529" s="107">
        <v>21</v>
      </c>
      <c r="C529" s="107">
        <v>8</v>
      </c>
      <c r="D529" s="158" t="s">
        <v>432</v>
      </c>
      <c r="E529" s="107"/>
      <c r="F529" s="89">
        <f>SUM(F526:F528)</f>
        <v>670791</v>
      </c>
      <c r="G529" s="89">
        <f t="shared" ref="G529:L529" si="37">SUM(G526:G528)</f>
        <v>382214.68</v>
      </c>
      <c r="H529" s="89">
        <f t="shared" si="37"/>
        <v>381917.97000000009</v>
      </c>
      <c r="I529" s="89">
        <f t="shared" si="37"/>
        <v>4265.47</v>
      </c>
      <c r="J529" s="89">
        <f t="shared" si="37"/>
        <v>1378.72</v>
      </c>
      <c r="K529" s="89">
        <f t="shared" si="37"/>
        <v>0</v>
      </c>
      <c r="L529" s="89">
        <f t="shared" si="37"/>
        <v>1440567.8399999999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27796.74</v>
      </c>
      <c r="G531" s="18">
        <v>15838.5</v>
      </c>
      <c r="H531" s="18"/>
      <c r="I531" s="18"/>
      <c r="J531" s="18"/>
      <c r="K531" s="18"/>
      <c r="L531" s="88">
        <f>SUM(F531:K531)</f>
        <v>43635.240000000005</v>
      </c>
      <c r="M531" s="8"/>
      <c r="N531" s="266"/>
    </row>
    <row r="532" spans="1:14" s="3" customFormat="1" ht="12.2" customHeight="1" x14ac:dyDescent="0.15">
      <c r="A532" s="22" t="s">
        <v>634</v>
      </c>
      <c r="B532" s="105">
        <v>21</v>
      </c>
      <c r="C532" s="105">
        <v>10</v>
      </c>
      <c r="D532" s="2" t="s">
        <v>432</v>
      </c>
      <c r="E532" s="105"/>
      <c r="F532" s="18">
        <v>13210.7</v>
      </c>
      <c r="G532" s="18">
        <v>7527.42</v>
      </c>
      <c r="H532" s="18"/>
      <c r="I532" s="18"/>
      <c r="J532" s="18"/>
      <c r="K532" s="18"/>
      <c r="L532" s="88">
        <f>SUM(F532:K532)</f>
        <v>20738.120000000003</v>
      </c>
      <c r="M532" s="8"/>
      <c r="N532" s="266"/>
    </row>
    <row r="533" spans="1:14" s="3" customFormat="1" ht="12.2" customHeight="1" thickBot="1" x14ac:dyDescent="0.2">
      <c r="A533" s="22" t="s">
        <v>635</v>
      </c>
      <c r="B533" s="105">
        <v>21</v>
      </c>
      <c r="C533" s="105">
        <v>11</v>
      </c>
      <c r="D533" s="2" t="s">
        <v>432</v>
      </c>
      <c r="E533" s="105"/>
      <c r="F533" s="18">
        <v>16157.56</v>
      </c>
      <c r="G533" s="18">
        <v>9206.5300000000007</v>
      </c>
      <c r="H533" s="18"/>
      <c r="I533" s="18"/>
      <c r="J533" s="18"/>
      <c r="K533" s="18"/>
      <c r="L533" s="88">
        <f>SUM(F533:K533)</f>
        <v>25364.09</v>
      </c>
      <c r="M533" s="8"/>
      <c r="N533" s="266"/>
    </row>
    <row r="534" spans="1:14" s="3" customFormat="1" ht="12.2" customHeight="1" thickTop="1" x14ac:dyDescent="0.15">
      <c r="A534" s="139" t="s">
        <v>67</v>
      </c>
      <c r="B534" s="107">
        <v>21</v>
      </c>
      <c r="C534" s="107">
        <v>12</v>
      </c>
      <c r="D534" s="158" t="s">
        <v>432</v>
      </c>
      <c r="E534" s="107"/>
      <c r="F534" s="89">
        <f>SUM(F531:F533)</f>
        <v>57165</v>
      </c>
      <c r="G534" s="89">
        <f t="shared" ref="G534:L534" si="38">SUM(G531:G533)</f>
        <v>32572.449999999997</v>
      </c>
      <c r="H534" s="89">
        <f t="shared" si="38"/>
        <v>0</v>
      </c>
      <c r="I534" s="89">
        <f t="shared" si="38"/>
        <v>0</v>
      </c>
      <c r="J534" s="89">
        <f t="shared" si="38"/>
        <v>0</v>
      </c>
      <c r="K534" s="89">
        <f t="shared" si="38"/>
        <v>0</v>
      </c>
      <c r="L534" s="89">
        <f t="shared" si="38"/>
        <v>89737.450000000012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5940.35</v>
      </c>
      <c r="I536" s="18"/>
      <c r="J536" s="18"/>
      <c r="K536" s="18"/>
      <c r="L536" s="88">
        <f>SUM(F536:K536)</f>
        <v>5940.35</v>
      </c>
      <c r="M536" s="8"/>
      <c r="N536" s="266"/>
    </row>
    <row r="537" spans="1:14" s="3" customFormat="1" ht="12.2" customHeight="1" x14ac:dyDescent="0.15">
      <c r="A537" s="22" t="s">
        <v>634</v>
      </c>
      <c r="B537" s="105">
        <v>21</v>
      </c>
      <c r="C537" s="105">
        <v>14</v>
      </c>
      <c r="D537" s="2" t="s">
        <v>432</v>
      </c>
      <c r="E537" s="105"/>
      <c r="F537" s="18"/>
      <c r="G537" s="18"/>
      <c r="H537" s="18">
        <v>2823.22</v>
      </c>
      <c r="I537" s="18"/>
      <c r="J537" s="18"/>
      <c r="K537" s="18"/>
      <c r="L537" s="88">
        <f>SUM(F537:K537)</f>
        <v>2823.22</v>
      </c>
      <c r="M537" s="8"/>
      <c r="N537" s="266"/>
    </row>
    <row r="538" spans="1:14" s="3" customFormat="1" ht="12.2" customHeight="1" thickBot="1" x14ac:dyDescent="0.2">
      <c r="A538" s="22" t="s">
        <v>635</v>
      </c>
      <c r="B538" s="105">
        <v>21</v>
      </c>
      <c r="C538" s="105">
        <v>15</v>
      </c>
      <c r="D538" s="2" t="s">
        <v>432</v>
      </c>
      <c r="E538" s="105"/>
      <c r="F538" s="18"/>
      <c r="G538" s="18"/>
      <c r="H538" s="18">
        <v>3452.98</v>
      </c>
      <c r="I538" s="18"/>
      <c r="J538" s="18"/>
      <c r="K538" s="18"/>
      <c r="L538" s="88">
        <f>SUM(F538:K538)</f>
        <v>3452.98</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12216.55</v>
      </c>
      <c r="I539" s="89">
        <f t="shared" si="39"/>
        <v>0</v>
      </c>
      <c r="J539" s="89">
        <f t="shared" si="39"/>
        <v>0</v>
      </c>
      <c r="K539" s="89">
        <f t="shared" si="39"/>
        <v>0</v>
      </c>
      <c r="L539" s="89">
        <f t="shared" si="39"/>
        <v>12216.55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152207.31</v>
      </c>
      <c r="I541" s="18"/>
      <c r="J541" s="18"/>
      <c r="K541" s="18"/>
      <c r="L541" s="88">
        <f>SUM(F541:K541)</f>
        <v>152207.31</v>
      </c>
      <c r="M541" s="8"/>
      <c r="N541" s="266"/>
    </row>
    <row r="542" spans="1:14" s="3" customFormat="1" ht="12.2" customHeight="1" x14ac:dyDescent="0.15">
      <c r="A542" s="22" t="s">
        <v>634</v>
      </c>
      <c r="B542" s="105">
        <v>21</v>
      </c>
      <c r="C542" s="105">
        <v>18</v>
      </c>
      <c r="D542" s="2" t="s">
        <v>432</v>
      </c>
      <c r="E542" s="105"/>
      <c r="F542" s="18"/>
      <c r="G542" s="18"/>
      <c r="H542" s="18">
        <v>83926.96</v>
      </c>
      <c r="I542" s="18"/>
      <c r="J542" s="18"/>
      <c r="K542" s="18"/>
      <c r="L542" s="88">
        <f>SUM(F542:K542)</f>
        <v>83926.96</v>
      </c>
      <c r="M542" s="8"/>
      <c r="N542" s="266"/>
    </row>
    <row r="543" spans="1:14" s="3" customFormat="1" ht="12.2" customHeight="1" thickBot="1" x14ac:dyDescent="0.2">
      <c r="A543" s="22" t="s">
        <v>635</v>
      </c>
      <c r="B543" s="105">
        <v>21</v>
      </c>
      <c r="C543" s="105">
        <v>19</v>
      </c>
      <c r="D543" s="2" t="s">
        <v>432</v>
      </c>
      <c r="E543" s="105"/>
      <c r="F543" s="18"/>
      <c r="G543" s="18"/>
      <c r="H543" s="18">
        <v>87539.99</v>
      </c>
      <c r="I543" s="18"/>
      <c r="J543" s="18"/>
      <c r="K543" s="18"/>
      <c r="L543" s="88">
        <f>SUM(F543:K543)</f>
        <v>87539.99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323674.26</v>
      </c>
      <c r="I544" s="193">
        <f t="shared" si="40"/>
        <v>0</v>
      </c>
      <c r="J544" s="193">
        <f t="shared" si="40"/>
        <v>0</v>
      </c>
      <c r="K544" s="193">
        <f t="shared" si="40"/>
        <v>0</v>
      </c>
      <c r="L544" s="193">
        <f t="shared" si="40"/>
        <v>323674.26</v>
      </c>
      <c r="M544" s="8"/>
      <c r="N544" s="266"/>
    </row>
    <row r="545" spans="1:14" s="3" customFormat="1" ht="12.2" customHeight="1" thickTop="1" x14ac:dyDescent="0.15">
      <c r="A545" s="98" t="s">
        <v>72</v>
      </c>
      <c r="B545" s="107">
        <v>21</v>
      </c>
      <c r="C545" s="107">
        <v>21</v>
      </c>
      <c r="D545" s="158" t="s">
        <v>432</v>
      </c>
      <c r="E545" s="107"/>
      <c r="F545" s="89">
        <f>F524+F529+F534+F539+F544</f>
        <v>4163004.38</v>
      </c>
      <c r="G545" s="89">
        <f t="shared" ref="G545:L545" si="41">G524+G529+G534+G539+G544</f>
        <v>2242326.96</v>
      </c>
      <c r="H545" s="89">
        <f t="shared" si="41"/>
        <v>2382550.2400000002</v>
      </c>
      <c r="I545" s="89">
        <f t="shared" si="41"/>
        <v>23507.710000000003</v>
      </c>
      <c r="J545" s="89">
        <f t="shared" si="41"/>
        <v>7328.72</v>
      </c>
      <c r="K545" s="89">
        <f t="shared" si="41"/>
        <v>1590</v>
      </c>
      <c r="L545" s="89">
        <f t="shared" si="41"/>
        <v>8820308.0099999998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3409400.9499999997</v>
      </c>
      <c r="G549" s="87">
        <f>L526</f>
        <v>854110.21</v>
      </c>
      <c r="H549" s="87">
        <f>L531</f>
        <v>43635.240000000005</v>
      </c>
      <c r="I549" s="87">
        <f>L536</f>
        <v>5940.35</v>
      </c>
      <c r="J549" s="87">
        <f>L541</f>
        <v>152207.31</v>
      </c>
      <c r="K549" s="87">
        <f>SUM(F549:J549)</f>
        <v>4465294.0599999996</v>
      </c>
      <c r="L549" s="24" t="s">
        <v>288</v>
      </c>
      <c r="M549" s="8"/>
      <c r="N549" s="266"/>
    </row>
    <row r="550" spans="1:14" s="3" customFormat="1" ht="12.2" customHeight="1" x14ac:dyDescent="0.15">
      <c r="A550" s="22" t="s">
        <v>634</v>
      </c>
      <c r="B550" s="75">
        <v>21</v>
      </c>
      <c r="C550" s="75">
        <v>23</v>
      </c>
      <c r="D550" s="2" t="s">
        <v>432</v>
      </c>
      <c r="E550" s="75"/>
      <c r="F550" s="87">
        <f>L522</f>
        <v>1921440.72</v>
      </c>
      <c r="G550" s="87">
        <f>L527</f>
        <v>397517.42000000004</v>
      </c>
      <c r="H550" s="87">
        <f>L532</f>
        <v>20738.120000000003</v>
      </c>
      <c r="I550" s="87">
        <f>L537</f>
        <v>2823.22</v>
      </c>
      <c r="J550" s="87">
        <f>L542</f>
        <v>83926.96</v>
      </c>
      <c r="K550" s="87">
        <f>SUM(F550:J550)</f>
        <v>2426446.4400000004</v>
      </c>
      <c r="L550" s="24" t="s">
        <v>288</v>
      </c>
      <c r="M550" s="8"/>
      <c r="N550" s="266"/>
    </row>
    <row r="551" spans="1:14" s="3" customFormat="1" ht="12.2" customHeight="1" thickBot="1" x14ac:dyDescent="0.2">
      <c r="A551" s="22" t="s">
        <v>635</v>
      </c>
      <c r="B551" s="75">
        <v>21</v>
      </c>
      <c r="C551" s="75">
        <v>24</v>
      </c>
      <c r="D551" s="2" t="s">
        <v>432</v>
      </c>
      <c r="E551" s="75"/>
      <c r="F551" s="87">
        <f>L523</f>
        <v>1623270.24</v>
      </c>
      <c r="G551" s="87">
        <f>L528</f>
        <v>188940.21</v>
      </c>
      <c r="H551" s="87">
        <f>L533</f>
        <v>25364.09</v>
      </c>
      <c r="I551" s="87">
        <f>L538</f>
        <v>3452.98</v>
      </c>
      <c r="J551" s="87">
        <f>L543</f>
        <v>87539.99</v>
      </c>
      <c r="K551" s="87">
        <f>SUM(F551:J551)</f>
        <v>1928567.51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6954111.9100000001</v>
      </c>
      <c r="G552" s="89">
        <f t="shared" si="42"/>
        <v>1440567.8399999999</v>
      </c>
      <c r="H552" s="89">
        <f t="shared" si="42"/>
        <v>89737.450000000012</v>
      </c>
      <c r="I552" s="89">
        <f t="shared" si="42"/>
        <v>12216.55</v>
      </c>
      <c r="J552" s="89">
        <f t="shared" si="42"/>
        <v>323674.26</v>
      </c>
      <c r="K552" s="89">
        <f t="shared" si="42"/>
        <v>8820308.0099999998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5666</v>
      </c>
      <c r="G579" s="18">
        <v>15263</v>
      </c>
      <c r="H579" s="18">
        <v>5543.16</v>
      </c>
      <c r="I579" s="87">
        <f t="shared" si="47"/>
        <v>26472.16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133429.85999999999</v>
      </c>
      <c r="G582" s="18">
        <v>306777.51</v>
      </c>
      <c r="H582" s="18">
        <v>234142.23</v>
      </c>
      <c r="I582" s="87">
        <f t="shared" si="47"/>
        <v>674349.6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182226.36</v>
      </c>
      <c r="I591" s="18">
        <v>86605.04</v>
      </c>
      <c r="J591" s="18">
        <f>105923.69</f>
        <v>105923.69</v>
      </c>
      <c r="K591" s="104">
        <f t="shared" ref="K591:K597" si="48">SUM(H591:J591)</f>
        <v>374755.08999999997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152207.31</v>
      </c>
      <c r="I592" s="18">
        <v>83926.96</v>
      </c>
      <c r="J592" s="18">
        <v>87539.99</v>
      </c>
      <c r="K592" s="104">
        <f t="shared" si="48"/>
        <v>323674.26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22168.05</v>
      </c>
      <c r="K593" s="104">
        <f t="shared" si="48"/>
        <v>22168.05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9107.33</v>
      </c>
      <c r="J594" s="18">
        <v>37483.03</v>
      </c>
      <c r="K594" s="104">
        <f t="shared" si="48"/>
        <v>46590.36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720</v>
      </c>
      <c r="I595" s="18">
        <v>7076.03</v>
      </c>
      <c r="J595" s="18">
        <v>7841.48</v>
      </c>
      <c r="K595" s="104">
        <f t="shared" si="48"/>
        <v>15637.509999999998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335153.67</v>
      </c>
      <c r="I598" s="108">
        <f>SUM(I591:I597)</f>
        <v>186715.36</v>
      </c>
      <c r="J598" s="108">
        <f>SUM(J591:J597)</f>
        <v>260956.24</v>
      </c>
      <c r="K598" s="108">
        <f>SUM(K591:K597)</f>
        <v>782825.27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192383.5</v>
      </c>
      <c r="I604" s="18">
        <v>80737.3</v>
      </c>
      <c r="J604" s="18">
        <v>120259.3</v>
      </c>
      <c r="K604" s="104">
        <f>SUM(H604:J604)</f>
        <v>393380.1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192383.5</v>
      </c>
      <c r="I605" s="108">
        <f>SUM(I602:I604)</f>
        <v>80737.3</v>
      </c>
      <c r="J605" s="108">
        <f>SUM(J602:J604)</f>
        <v>120259.3</v>
      </c>
      <c r="K605" s="108">
        <f>SUM(K602:K604)</f>
        <v>393380.1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16525</v>
      </c>
      <c r="G611" s="18">
        <v>1264.1600000000001</v>
      </c>
      <c r="H611" s="18"/>
      <c r="I611" s="18"/>
      <c r="J611" s="18"/>
      <c r="K611" s="18"/>
      <c r="L611" s="88">
        <f>SUM(F611:K611)</f>
        <v>17789.16</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f>3000+8155.57</f>
        <v>11155.57</v>
      </c>
      <c r="G613" s="18">
        <v>853.4</v>
      </c>
      <c r="H613" s="18"/>
      <c r="I613" s="18">
        <v>1391.04</v>
      </c>
      <c r="J613" s="18"/>
      <c r="K613" s="18"/>
      <c r="L613" s="88">
        <f>SUM(F613:K613)</f>
        <v>13400.009999999998</v>
      </c>
      <c r="M613" s="8"/>
      <c r="N613" s="266"/>
    </row>
    <row r="614" spans="1:14" s="3" customFormat="1" ht="12.2" customHeight="1" thickTop="1" x14ac:dyDescent="0.15">
      <c r="A614" s="98" t="s">
        <v>340</v>
      </c>
      <c r="B614" s="107">
        <v>23</v>
      </c>
      <c r="C614" s="107">
        <v>16</v>
      </c>
      <c r="D614" s="39" t="s">
        <v>432</v>
      </c>
      <c r="E614" s="107"/>
      <c r="F614" s="108">
        <f t="shared" ref="F614:L614" si="49">SUM(F611:F613)</f>
        <v>27680.57</v>
      </c>
      <c r="G614" s="108">
        <f t="shared" si="49"/>
        <v>2117.56</v>
      </c>
      <c r="H614" s="108">
        <f t="shared" si="49"/>
        <v>0</v>
      </c>
      <c r="I614" s="108">
        <f t="shared" si="49"/>
        <v>1391.04</v>
      </c>
      <c r="J614" s="108">
        <f t="shared" si="49"/>
        <v>0</v>
      </c>
      <c r="K614" s="108">
        <f t="shared" si="49"/>
        <v>0</v>
      </c>
      <c r="L614" s="89">
        <f t="shared" si="49"/>
        <v>31189.17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2868320.7399999998</v>
      </c>
      <c r="H617" s="109">
        <f>SUM(F52)</f>
        <v>2868320.74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89853.04</v>
      </c>
      <c r="H618" s="109">
        <f>SUM(G52)</f>
        <v>89853.040000000008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1054001.79</v>
      </c>
      <c r="H619" s="109">
        <f>SUM(H52)</f>
        <v>1054001.79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33723357.439999998</v>
      </c>
      <c r="H627" s="104">
        <f>SUM(F468)</f>
        <v>33723357.439999998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1382815.1300000001</v>
      </c>
      <c r="H628" s="104">
        <f>SUM(G468)</f>
        <v>1382815.1300000001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4077303.2600000002</v>
      </c>
      <c r="H629" s="104">
        <f>SUM(H468)</f>
        <v>4077303.2600000002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33723357.439999998</v>
      </c>
      <c r="H632" s="104">
        <f>SUM(F472)</f>
        <v>33723357.439999998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4077303.26</v>
      </c>
      <c r="H633" s="104">
        <f>SUM(H472)</f>
        <v>4077303.26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623346.52</v>
      </c>
      <c r="H634" s="104">
        <f>I369</f>
        <v>623346.5199999999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1382815.13</v>
      </c>
      <c r="H635" s="104">
        <f>SUM(G472)</f>
        <v>1382815.13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782825.27</v>
      </c>
      <c r="H647" s="104">
        <f>L208+L226+L244</f>
        <v>782825.27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393380.1</v>
      </c>
      <c r="H648" s="104">
        <f>(J257+J338)-(J255+J336)</f>
        <v>393380.10000000003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335153.67</v>
      </c>
      <c r="H649" s="104">
        <f>H598</f>
        <v>335153.67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186715.36</v>
      </c>
      <c r="H650" s="104">
        <f>I598</f>
        <v>186715.36</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260956.24</v>
      </c>
      <c r="H651" s="104">
        <f>J598</f>
        <v>260956.24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325000</v>
      </c>
      <c r="H653" s="104">
        <f>K264</f>
        <v>325000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16111130.209999999</v>
      </c>
      <c r="G660" s="19">
        <f>(L229+L309+L359)</f>
        <v>8108219.6799999988</v>
      </c>
      <c r="H660" s="19">
        <f>(L247+L328+L360)</f>
        <v>11434053.640000001</v>
      </c>
      <c r="I660" s="19">
        <f>SUM(F660:H660)</f>
        <v>35653403.530000001</v>
      </c>
      <c r="J660" s="13"/>
      <c r="K660" s="13"/>
      <c r="L660" s="13"/>
      <c r="M660" s="9"/>
    </row>
    <row r="661" spans="1:13" s="3" customFormat="1" ht="12.2" customHeight="1" x14ac:dyDescent="0.2">
      <c r="A661" s="1" t="s">
        <v>127</v>
      </c>
      <c r="F661" s="19">
        <f>(L358/IF(SUM(L358:L360)=0,1,SUM(L358:L360))*(SUM(G97:G110)))</f>
        <v>258381.70064575036</v>
      </c>
      <c r="G661" s="19">
        <f>(L359/IF(SUM(L358:L360)=0,1,SUM(L358:L360))*(SUM(G97:G110)))</f>
        <v>136359.58209659293</v>
      </c>
      <c r="H661" s="19">
        <f>(L360/IF(SUM(L358:L360)=0,1,SUM(L358:L360))*(SUM(G97:G110)))</f>
        <v>127239.48725765671</v>
      </c>
      <c r="I661" s="19">
        <f>SUM(F661:H661)</f>
        <v>521980.76999999996</v>
      </c>
      <c r="J661"/>
      <c r="K661" s="13"/>
      <c r="L661" s="13"/>
      <c r="M661" s="9"/>
    </row>
    <row r="662" spans="1:13" s="3" customFormat="1" ht="12.2" customHeight="1" x14ac:dyDescent="0.2">
      <c r="A662" s="1" t="s">
        <v>128</v>
      </c>
      <c r="F662" s="19">
        <f>(L208+L287)-(J208+J287)</f>
        <v>336531.36</v>
      </c>
      <c r="G662" s="19">
        <f>(L226+L306)-(J226+J306)</f>
        <v>187404.19999999998</v>
      </c>
      <c r="H662" s="19">
        <f>(L244+L325)-(J244+J325)</f>
        <v>261756.08</v>
      </c>
      <c r="I662" s="19">
        <f>SUM(F662:H662)</f>
        <v>785691.6399999999</v>
      </c>
      <c r="J662"/>
      <c r="K662" s="13"/>
      <c r="L662" s="13"/>
      <c r="M662" s="8"/>
    </row>
    <row r="663" spans="1:13" s="3" customFormat="1" ht="12.2" customHeight="1" x14ac:dyDescent="0.15">
      <c r="A663" s="198" t="s">
        <v>129</v>
      </c>
      <c r="B663" s="169"/>
      <c r="C663" s="169"/>
      <c r="D663" s="169"/>
      <c r="E663" s="169"/>
      <c r="F663" s="199">
        <f>SUM(F575:F587)+SUM(H602:H604)+SUM(L611)</f>
        <v>349268.51999999996</v>
      </c>
      <c r="G663" s="199">
        <f>SUM(G575:G587)+SUM(I602:I604)+L612</f>
        <v>402777.81</v>
      </c>
      <c r="H663" s="199">
        <f>SUM(H575:H587)+SUM(J602:J604)+L613</f>
        <v>373344.7</v>
      </c>
      <c r="I663" s="19">
        <f>SUM(F663:H663)</f>
        <v>1125391.03</v>
      </c>
      <c r="J663" s="13"/>
      <c r="K663" s="13"/>
      <c r="L663" s="13"/>
      <c r="M663" s="9"/>
    </row>
    <row r="664" spans="1:13" s="3" customFormat="1" ht="12.2" customHeight="1" x14ac:dyDescent="0.15">
      <c r="A664" s="1" t="s">
        <v>130</v>
      </c>
      <c r="F664" s="19">
        <f>F660-SUM(F661:F663)</f>
        <v>15166948.62935425</v>
      </c>
      <c r="G664" s="19">
        <f>G660-SUM(G661:G663)</f>
        <v>7381678.0879034055</v>
      </c>
      <c r="H664" s="19">
        <f>H660-SUM(H661:H663)</f>
        <v>10671713.372742344</v>
      </c>
      <c r="I664" s="19">
        <f>I660-SUM(I661:I663)</f>
        <v>33220340.09</v>
      </c>
      <c r="J664" s="13"/>
      <c r="K664" s="13"/>
      <c r="L664" s="13"/>
      <c r="M664" s="9"/>
    </row>
    <row r="665" spans="1:13" s="3" customFormat="1" ht="12.2" customHeight="1" x14ac:dyDescent="0.2">
      <c r="A665" s="1" t="s">
        <v>131</v>
      </c>
      <c r="F665" s="246">
        <v>927.84</v>
      </c>
      <c r="G665" s="247">
        <v>441.02</v>
      </c>
      <c r="H665" s="247">
        <v>539.39</v>
      </c>
      <c r="I665" s="19">
        <f>SUM(F665:H665)</f>
        <v>1908.25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16346.51</v>
      </c>
      <c r="G667" s="19">
        <f>ROUND(G664/G665,2)</f>
        <v>16737.740000000002</v>
      </c>
      <c r="H667" s="19">
        <f>ROUND(H664/H665,2)</f>
        <v>19784.78</v>
      </c>
      <c r="I667" s="19">
        <f>ROUND(I664/I665,2)</f>
        <v>17408.8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65.89</v>
      </c>
      <c r="I670" s="19">
        <f>SUM(F670:H670)</f>
        <v>65.89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16346.51</v>
      </c>
      <c r="G672" s="19">
        <f>ROUND((G664+G669)/(G665+G670),2)</f>
        <v>16737.740000000002</v>
      </c>
      <c r="H672" s="19">
        <f>ROUND((H664+H669)/(H665+H670),2)</f>
        <v>17631.04</v>
      </c>
      <c r="I672" s="19">
        <f>ROUND((I664+I669)/(I665+I670),2)</f>
        <v>16827.75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Laconia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7899672.7999999989</v>
      </c>
      <c r="C9" s="229">
        <f>'DOE25'!G197+'DOE25'!G215+'DOE25'!G233+'DOE25'!G276+'DOE25'!G295+'DOE25'!G314</f>
        <v>4221494.08</v>
      </c>
    </row>
    <row r="10" spans="1:3" x14ac:dyDescent="0.2">
      <c r="A10" t="s">
        <v>775</v>
      </c>
      <c r="B10" s="240">
        <v>7494047.5800000001</v>
      </c>
      <c r="C10" s="240">
        <v>3990799.8</v>
      </c>
    </row>
    <row r="11" spans="1:3" x14ac:dyDescent="0.2">
      <c r="A11" t="s">
        <v>776</v>
      </c>
      <c r="B11" s="240">
        <v>50413</v>
      </c>
      <c r="C11" s="240">
        <v>36001</v>
      </c>
    </row>
    <row r="12" spans="1:3" x14ac:dyDescent="0.2">
      <c r="A12" t="s">
        <v>777</v>
      </c>
      <c r="B12" s="240">
        <v>355212.22</v>
      </c>
      <c r="C12" s="240">
        <v>194693.28</v>
      </c>
    </row>
    <row r="13" spans="1:3" x14ac:dyDescent="0.2">
      <c r="A13" t="str">
        <f>IF(B9=B13,IF(C9=C13,"Check Total OK","Check Total Error"),"Check Total Error")</f>
        <v>Check Total OK</v>
      </c>
      <c r="B13" s="231">
        <f>SUM(B10:B12)</f>
        <v>7899672.7999999998</v>
      </c>
      <c r="C13" s="231">
        <f>SUM(C10:C12)</f>
        <v>4221494.08</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3801627.75</v>
      </c>
      <c r="C18" s="229">
        <f>'DOE25'!G198+'DOE25'!G216+'DOE25'!G234+'DOE25'!G277+'DOE25'!G296+'DOE25'!G315</f>
        <v>2036415.64</v>
      </c>
    </row>
    <row r="19" spans="1:3" x14ac:dyDescent="0.2">
      <c r="A19" t="s">
        <v>775</v>
      </c>
      <c r="B19" s="240">
        <v>1893389.72</v>
      </c>
      <c r="C19" s="240">
        <v>1224697.45</v>
      </c>
    </row>
    <row r="20" spans="1:3" x14ac:dyDescent="0.2">
      <c r="A20" t="s">
        <v>776</v>
      </c>
      <c r="B20" s="240">
        <v>1442964.46</v>
      </c>
      <c r="C20" s="240">
        <v>595859.56000000006</v>
      </c>
    </row>
    <row r="21" spans="1:3" x14ac:dyDescent="0.2">
      <c r="A21" t="s">
        <v>777</v>
      </c>
      <c r="B21" s="240">
        <v>465273.57</v>
      </c>
      <c r="C21" s="240">
        <v>215858.63</v>
      </c>
    </row>
    <row r="22" spans="1:3" x14ac:dyDescent="0.2">
      <c r="A22" t="str">
        <f>IF(B18=B22,IF(C18=C22,"Check Total OK","Check Total Error"),"Check Total Error")</f>
        <v>Check Total OK</v>
      </c>
      <c r="B22" s="231">
        <f>SUM(B19:B21)</f>
        <v>3801627.7499999995</v>
      </c>
      <c r="C22" s="231">
        <f>SUM(C19:C21)</f>
        <v>2036415.6400000001</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779194.51</v>
      </c>
      <c r="C27" s="234">
        <f>'DOE25'!G199+'DOE25'!G217+'DOE25'!G235+'DOE25'!G278+'DOE25'!G297+'DOE25'!G316</f>
        <v>419583.54</v>
      </c>
    </row>
    <row r="28" spans="1:3" x14ac:dyDescent="0.2">
      <c r="A28" t="s">
        <v>775</v>
      </c>
      <c r="B28" s="240">
        <f>553726.5+5000</f>
        <v>558726.5</v>
      </c>
      <c r="C28" s="240">
        <v>304294</v>
      </c>
    </row>
    <row r="29" spans="1:3" x14ac:dyDescent="0.2">
      <c r="A29" t="s">
        <v>776</v>
      </c>
      <c r="B29" s="240">
        <v>36061.050000000003</v>
      </c>
      <c r="C29" s="240">
        <v>14858</v>
      </c>
    </row>
    <row r="30" spans="1:3" x14ac:dyDescent="0.2">
      <c r="A30" t="s">
        <v>777</v>
      </c>
      <c r="B30" s="240">
        <v>184406.96</v>
      </c>
      <c r="C30" s="240">
        <v>100431.54</v>
      </c>
    </row>
    <row r="31" spans="1:3" x14ac:dyDescent="0.2">
      <c r="A31" t="str">
        <f>IF(B27=B31,IF(C27=C31,"Check Total OK","Check Total Error"),"Check Total Error")</f>
        <v>Check Total OK</v>
      </c>
      <c r="B31" s="231">
        <f>SUM(B28:B30)</f>
        <v>779194.51</v>
      </c>
      <c r="C31" s="231">
        <f>SUM(C28:C30)</f>
        <v>419583.54</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274252.69</v>
      </c>
      <c r="C36" s="235">
        <f>'DOE25'!G200+'DOE25'!G218+'DOE25'!G236+'DOE25'!G279+'DOE25'!G298+'DOE25'!G317</f>
        <v>138746.31999999998</v>
      </c>
    </row>
    <row r="37" spans="1:3" x14ac:dyDescent="0.2">
      <c r="A37" t="s">
        <v>775</v>
      </c>
      <c r="B37" s="240">
        <v>69583</v>
      </c>
      <c r="C37" s="240">
        <v>40706.06</v>
      </c>
    </row>
    <row r="38" spans="1:3" x14ac:dyDescent="0.2">
      <c r="A38" t="s">
        <v>776</v>
      </c>
      <c r="B38" s="240"/>
      <c r="C38" s="240"/>
    </row>
    <row r="39" spans="1:3" x14ac:dyDescent="0.2">
      <c r="A39" t="s">
        <v>777</v>
      </c>
      <c r="B39" s="240">
        <v>204669.69</v>
      </c>
      <c r="C39" s="240">
        <v>98040.26</v>
      </c>
    </row>
    <row r="40" spans="1:3" x14ac:dyDescent="0.2">
      <c r="A40" t="str">
        <f>IF(B36=B40,IF(C36=C40,"Check Total OK","Check Total Error"),"Check Total Error")</f>
        <v>Check Total OK</v>
      </c>
      <c r="B40" s="231">
        <f>SUM(B37:B39)</f>
        <v>274252.69</v>
      </c>
      <c r="C40" s="231">
        <f>SUM(C37:C39)</f>
        <v>138746.32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Laconia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19853877.699999999</v>
      </c>
      <c r="D5" s="20">
        <f>SUM('DOE25'!L197:L200)+SUM('DOE25'!L215:L218)+SUM('DOE25'!L233:L236)-F5-G5-H5</f>
        <v>18653806.719999999</v>
      </c>
      <c r="E5" s="243"/>
      <c r="F5" s="244">
        <v>1089860.7700000005</v>
      </c>
      <c r="G5" s="53">
        <f>SUM('DOE25'!J197:J200)+SUM('DOE25'!J215:J218)+SUM('DOE25'!J233:J236)</f>
        <v>107624.21</v>
      </c>
      <c r="H5" s="53">
        <f>SUM('DOE25'!K197:K200)+SUM('DOE25'!K215:K218)+SUM('DOE25'!K233:K236)</f>
        <v>2586</v>
      </c>
      <c r="I5" s="256"/>
    </row>
    <row r="6" spans="1:9" x14ac:dyDescent="0.2">
      <c r="A6" s="32">
        <v>2100</v>
      </c>
      <c r="B6" t="s">
        <v>796</v>
      </c>
      <c r="C6" s="276">
        <f t="shared" si="0"/>
        <v>2171879.7400000002</v>
      </c>
      <c r="D6" s="20">
        <f>'DOE25'!L202+'DOE25'!L220+'DOE25'!L238-F6-G6-H6</f>
        <v>2090336.4200000002</v>
      </c>
      <c r="E6" s="243"/>
      <c r="F6" s="244">
        <v>80164.599999999991</v>
      </c>
      <c r="G6" s="53">
        <f>'DOE25'!J202+'DOE25'!J220+'DOE25'!J238</f>
        <v>1378.72</v>
      </c>
      <c r="H6" s="53">
        <f>'DOE25'!K202+'DOE25'!K220+'DOE25'!K238</f>
        <v>0</v>
      </c>
      <c r="I6" s="256"/>
    </row>
    <row r="7" spans="1:9" x14ac:dyDescent="0.2">
      <c r="A7" s="32">
        <v>2200</v>
      </c>
      <c r="B7" t="s">
        <v>821</v>
      </c>
      <c r="C7" s="276">
        <f t="shared" si="0"/>
        <v>1250658.32</v>
      </c>
      <c r="D7" s="20">
        <f>'DOE25'!L203+'DOE25'!L221+'DOE25'!L239-F7-G7-H7</f>
        <v>1070915.3800000001</v>
      </c>
      <c r="E7" s="243"/>
      <c r="F7" s="244"/>
      <c r="G7" s="53">
        <f>'DOE25'!J203+'DOE25'!J221+'DOE25'!J239</f>
        <v>179617.92000000001</v>
      </c>
      <c r="H7" s="53">
        <f>'DOE25'!K203+'DOE25'!K221+'DOE25'!K239</f>
        <v>125.02000000000001</v>
      </c>
      <c r="I7" s="256"/>
    </row>
    <row r="8" spans="1:9" x14ac:dyDescent="0.2">
      <c r="A8" s="32">
        <v>2300</v>
      </c>
      <c r="B8" t="s">
        <v>797</v>
      </c>
      <c r="C8" s="276">
        <f t="shared" si="0"/>
        <v>516622.31999999995</v>
      </c>
      <c r="D8" s="243"/>
      <c r="E8" s="20">
        <f>'DOE25'!L204+'DOE25'!L222+'DOE25'!L240-F8-G8-H8-D9-D11</f>
        <v>488980.06999999995</v>
      </c>
      <c r="F8" s="244"/>
      <c r="G8" s="53">
        <f>'DOE25'!J204+'DOE25'!J222+'DOE25'!J240</f>
        <v>0</v>
      </c>
      <c r="H8" s="53">
        <f>'DOE25'!K204+'DOE25'!K222+'DOE25'!K240</f>
        <v>27642.25</v>
      </c>
      <c r="I8" s="256"/>
    </row>
    <row r="9" spans="1:9" ht="14.25" x14ac:dyDescent="0.2">
      <c r="A9" s="32">
        <v>2310</v>
      </c>
      <c r="B9" s="185" t="s">
        <v>890</v>
      </c>
      <c r="C9" s="276">
        <f t="shared" si="0"/>
        <v>24842.12</v>
      </c>
      <c r="D9" s="244">
        <v>24842.12</v>
      </c>
      <c r="E9" s="243"/>
      <c r="F9" s="253"/>
      <c r="G9" s="253"/>
      <c r="H9" s="253"/>
      <c r="I9" s="256"/>
    </row>
    <row r="10" spans="1:9" ht="14.25" x14ac:dyDescent="0.2">
      <c r="A10" s="32">
        <v>2317</v>
      </c>
      <c r="B10" s="185" t="s">
        <v>891</v>
      </c>
      <c r="C10" s="276">
        <f t="shared" si="0"/>
        <v>17326.78</v>
      </c>
      <c r="D10" s="243"/>
      <c r="E10" s="244">
        <v>17326.78</v>
      </c>
      <c r="F10" s="253"/>
      <c r="G10" s="253"/>
      <c r="H10" s="253"/>
      <c r="I10" s="256"/>
    </row>
    <row r="11" spans="1:9" ht="14.25" x14ac:dyDescent="0.2">
      <c r="A11" s="32">
        <v>2321</v>
      </c>
      <c r="B11" s="185" t="s">
        <v>892</v>
      </c>
      <c r="C11" s="276">
        <f t="shared" si="0"/>
        <v>401861</v>
      </c>
      <c r="D11" s="244">
        <v>401861</v>
      </c>
      <c r="E11" s="243"/>
      <c r="F11" s="253"/>
      <c r="G11" s="253"/>
      <c r="H11" s="253"/>
      <c r="I11" s="256"/>
    </row>
    <row r="12" spans="1:9" x14ac:dyDescent="0.2">
      <c r="A12" s="32">
        <v>2400</v>
      </c>
      <c r="B12" t="s">
        <v>711</v>
      </c>
      <c r="C12" s="276">
        <f t="shared" si="0"/>
        <v>2011811.46</v>
      </c>
      <c r="D12" s="20">
        <f>'DOE25'!L205+'DOE25'!L223+'DOE25'!L241-F12-G12-H12</f>
        <v>1998343.4</v>
      </c>
      <c r="E12" s="243"/>
      <c r="F12" s="244"/>
      <c r="G12" s="53">
        <f>'DOE25'!J205+'DOE25'!J223+'DOE25'!J241</f>
        <v>0</v>
      </c>
      <c r="H12" s="53">
        <f>'DOE25'!K205+'DOE25'!K223+'DOE25'!K241</f>
        <v>13468.06</v>
      </c>
      <c r="I12" s="256"/>
    </row>
    <row r="13" spans="1:9" x14ac:dyDescent="0.2">
      <c r="A13" s="32">
        <v>2500</v>
      </c>
      <c r="B13" t="s">
        <v>798</v>
      </c>
      <c r="C13" s="276">
        <f t="shared" si="0"/>
        <v>427792.23</v>
      </c>
      <c r="D13" s="243"/>
      <c r="E13" s="20">
        <f>'DOE25'!L206+'DOE25'!L224+'DOE25'!L242-F13-G13-H13</f>
        <v>427792.23</v>
      </c>
      <c r="F13" s="244"/>
      <c r="G13" s="53">
        <f>'DOE25'!J206+'DOE25'!J224+'DOE25'!J242</f>
        <v>0</v>
      </c>
      <c r="H13" s="53">
        <f>'DOE25'!K206+'DOE25'!K224+'DOE25'!K242</f>
        <v>0</v>
      </c>
      <c r="I13" s="256"/>
    </row>
    <row r="14" spans="1:9" x14ac:dyDescent="0.2">
      <c r="A14" s="32">
        <v>2600</v>
      </c>
      <c r="B14" t="s">
        <v>819</v>
      </c>
      <c r="C14" s="276">
        <f t="shared" si="0"/>
        <v>3079504.89</v>
      </c>
      <c r="D14" s="20">
        <f>'DOE25'!L207+'DOE25'!L225+'DOE25'!L243-F14-G14-H14</f>
        <v>2910491.18</v>
      </c>
      <c r="E14" s="243"/>
      <c r="F14" s="244">
        <v>161748.51999999999</v>
      </c>
      <c r="G14" s="53">
        <f>'DOE25'!J207+'DOE25'!J225+'DOE25'!J243</f>
        <v>7265.19</v>
      </c>
      <c r="H14" s="53">
        <f>'DOE25'!K207+'DOE25'!K225+'DOE25'!K243</f>
        <v>0</v>
      </c>
      <c r="I14" s="256"/>
    </row>
    <row r="15" spans="1:9" x14ac:dyDescent="0.2">
      <c r="A15" s="32">
        <v>2700</v>
      </c>
      <c r="B15" t="s">
        <v>799</v>
      </c>
      <c r="C15" s="276">
        <f t="shared" si="0"/>
        <v>782825.27</v>
      </c>
      <c r="D15" s="20">
        <f>'DOE25'!L208+'DOE25'!L226+'DOE25'!L244-F15-G15-H15</f>
        <v>50611.65000000014</v>
      </c>
      <c r="E15" s="243"/>
      <c r="F15" s="244">
        <v>732213.61999999988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304971.32999999996</v>
      </c>
      <c r="D17" s="20">
        <f>'DOE25'!L251-F17-G17-H17</f>
        <v>300136.08999999997</v>
      </c>
      <c r="E17" s="243"/>
      <c r="F17" s="244"/>
      <c r="G17" s="53">
        <f>'DOE25'!J251</f>
        <v>2000</v>
      </c>
      <c r="H17" s="53">
        <f>'DOE25'!K251</f>
        <v>2835.24</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50000</v>
      </c>
      <c r="D22" s="243"/>
      <c r="E22" s="243"/>
      <c r="F22" s="243"/>
      <c r="G22" s="53">
        <f>'DOE25'!L255+'DOE25'!L336</f>
        <v>50000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2521711.06</v>
      </c>
      <c r="D25" s="243"/>
      <c r="E25" s="243"/>
      <c r="F25" s="255"/>
      <c r="G25" s="253"/>
      <c r="H25" s="253"/>
      <c r="I25" s="254">
        <f>'DOE25'!L260+'DOE25'!L261+'DOE25'!L341+'DOE25'!L342</f>
        <v>2521711.06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809586.82</v>
      </c>
      <c r="D29" s="284">
        <f>'DOE25'!L358+'DOE25'!L359+'DOE25'!L360-'DOE25'!I367-F29-G29-H29</f>
        <v>806078.23</v>
      </c>
      <c r="E29" s="243"/>
      <c r="F29" s="244"/>
      <c r="G29" s="53">
        <f>'DOE25'!J358+'DOE25'!J359+'DOE25'!J360</f>
        <v>3508.5899999999997</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3749138.3499999996</v>
      </c>
      <c r="D31" s="20">
        <f>'DOE25'!L290+'DOE25'!L309+'DOE25'!L328+'DOE25'!L333+'DOE25'!L334+'DOE25'!L335-F31-G31-H31</f>
        <v>3411118.3299999996</v>
      </c>
      <c r="E31" s="243"/>
      <c r="F31" s="244">
        <v>232691.55</v>
      </c>
      <c r="G31" s="53">
        <f>'DOE25'!J290+'DOE25'!J309+'DOE25'!J328+'DOE25'!J333+'DOE25'!J334+'DOE25'!J335</f>
        <v>95494.06</v>
      </c>
      <c r="H31" s="53">
        <f>'DOE25'!K290+'DOE25'!K309+'DOE25'!K328+'DOE25'!K333+'DOE25'!K334+'DOE25'!K335</f>
        <v>9834.41</v>
      </c>
      <c r="I31" s="256"/>
    </row>
    <row r="32" spans="1:9" ht="12" thickBot="1" x14ac:dyDescent="0.25">
      <c r="C32" s="277"/>
      <c r="G32" s="251"/>
      <c r="H32" s="251"/>
      <c r="I32" s="258"/>
    </row>
    <row r="33" spans="1:9" ht="12" thickTop="1" x14ac:dyDescent="0.2">
      <c r="B33" t="s">
        <v>809</v>
      </c>
      <c r="D33" s="245">
        <f t="shared" ref="D33:I33" si="1">SUM(D5:D31)</f>
        <v>31718540.519999996</v>
      </c>
      <c r="E33" s="245">
        <f t="shared" si="1"/>
        <v>934099.08</v>
      </c>
      <c r="F33" s="245">
        <f t="shared" si="1"/>
        <v>2296679.0600000005</v>
      </c>
      <c r="G33" s="245">
        <f t="shared" si="1"/>
        <v>446888.69000000006</v>
      </c>
      <c r="H33" s="245">
        <f t="shared" si="1"/>
        <v>56490.979999999996</v>
      </c>
      <c r="I33" s="245">
        <f t="shared" si="1"/>
        <v>2521711.06</v>
      </c>
    </row>
    <row r="35" spans="1:9" ht="12" thickBot="1" x14ac:dyDescent="0.25">
      <c r="B35" s="251" t="s">
        <v>831</v>
      </c>
      <c r="D35" s="252">
        <f>E33</f>
        <v>934099.08</v>
      </c>
      <c r="E35" s="248"/>
    </row>
    <row r="36" spans="1:9" ht="12" thickTop="1" x14ac:dyDescent="0.2">
      <c r="B36" t="s">
        <v>810</v>
      </c>
      <c r="D36" s="20">
        <f>D33</f>
        <v>31718540.519999996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34" sqref="B34"/>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Laconia School District</v>
      </c>
      <c r="B2" s="126">
        <f>'DOE25'!B2</f>
        <v>285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15426633.490000002</v>
      </c>
      <c r="G4" s="303">
        <f>'DOE25'!L211+'DOE25'!L290</f>
        <v>15426633.489999998</v>
      </c>
      <c r="H4" s="304">
        <f>F4-G4</f>
        <v>0</v>
      </c>
      <c r="I4" s="310" t="str">
        <f>IF(H4=0,"","Does not match DOE25 page 7 and 11 Totals!!")</f>
        <v/>
      </c>
      <c r="N4"/>
    </row>
    <row r="5" spans="1:18" x14ac:dyDescent="0.2">
      <c r="A5" s="323" t="s">
        <v>1188</v>
      </c>
      <c r="B5" s="305">
        <f>IFERROR(VLOOKUP(A5,'School Tables'!$C$3:$D$368,2,FALSE),"")</f>
        <v>21290</v>
      </c>
      <c r="C5" s="297" t="str">
        <f>IFERROR(INDEX('School Tables'!$B$3:$B$368,MATCH('School Level Expenditures'!B5,'School Tables'!$D$3:$D$368,0)),"")</f>
        <v>Laconia</v>
      </c>
      <c r="D5" s="294">
        <v>4076365.66</v>
      </c>
      <c r="E5" s="294">
        <v>736322.76</v>
      </c>
      <c r="F5" s="313">
        <f>D5+E5</f>
        <v>4812688.42</v>
      </c>
      <c r="G5" s="297"/>
      <c r="H5" s="297"/>
      <c r="I5" s="126"/>
      <c r="N5"/>
    </row>
    <row r="6" spans="1:18" x14ac:dyDescent="0.2">
      <c r="A6" s="323" t="s">
        <v>1185</v>
      </c>
      <c r="B6" s="305">
        <f>IFERROR(VLOOKUP(A6,'School Tables'!$C$3:$D$368,2,FALSE),"")</f>
        <v>21260</v>
      </c>
      <c r="C6" s="297" t="str">
        <f>IFERROR(INDEX('School Tables'!$B$3:$B$368,MATCH('School Level Expenditures'!B6,'School Tables'!$D$3:$D$368,0)),"")</f>
        <v>Laconia</v>
      </c>
      <c r="D6" s="294">
        <v>4103014.04</v>
      </c>
      <c r="E6" s="294">
        <v>741136.32</v>
      </c>
      <c r="F6" s="308">
        <f t="shared" ref="F6:F20" si="0">D6+E6</f>
        <v>4844150.3600000003</v>
      </c>
      <c r="G6" s="297"/>
      <c r="H6" s="297"/>
      <c r="I6" s="126"/>
      <c r="N6"/>
    </row>
    <row r="7" spans="1:18" x14ac:dyDescent="0.2">
      <c r="A7" s="21" t="s">
        <v>1187</v>
      </c>
      <c r="B7" s="305">
        <f>IFERROR(VLOOKUP(A7,'School Tables'!$C$3:$D$368,2,FALSE),"")</f>
        <v>21285</v>
      </c>
      <c r="C7" s="297" t="str">
        <f>IFERROR(INDEX('School Tables'!$B$3:$B$368,MATCH('School Level Expenditures'!B7,'School Tables'!$D$3:$D$368,0)),"")</f>
        <v>Laconia</v>
      </c>
      <c r="D7" s="294">
        <v>4769223.6500000004</v>
      </c>
      <c r="E7" s="294">
        <v>861475.2</v>
      </c>
      <c r="F7" s="308">
        <f t="shared" si="0"/>
        <v>5630698.8500000006</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v>139095.85999999999</v>
      </c>
      <c r="E8" s="294"/>
      <c r="F8" s="308">
        <f t="shared" si="0"/>
        <v>139095.85999999999</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7746980.1399999997</v>
      </c>
      <c r="G24" s="303">
        <f>'DOE25'!L229+'DOE25'!L309</f>
        <v>7746980.1399999987</v>
      </c>
      <c r="H24" s="304">
        <f>F24-G24</f>
        <v>0</v>
      </c>
      <c r="I24" s="310" t="str">
        <f>IF(H24=0,"","Does not match DOE25 page 8 and 12 Totals!!")</f>
        <v/>
      </c>
      <c r="N24"/>
    </row>
    <row r="25" spans="1:14" x14ac:dyDescent="0.2">
      <c r="A25" s="323" t="s">
        <v>1186</v>
      </c>
      <c r="B25" s="305">
        <f>IFERROR(VLOOKUP(A25,'School Tables'!$I$3:$J$80,2,FALSE),"")</f>
        <v>21275</v>
      </c>
      <c r="C25" s="297" t="str">
        <f t="array" ref="C25">IFERROR(INDEX('School Tables'!$H$3:$H$80,MATCH('School Level Expenditures'!B25,'School Tables'!$J$3:$J$80,0)),"")</f>
        <v>Laconia</v>
      </c>
      <c r="D25" s="294">
        <v>6984251.2800000003</v>
      </c>
      <c r="E25" s="294">
        <v>440688.35</v>
      </c>
      <c r="F25" s="308">
        <f>D25+E25</f>
        <v>7424939.6299999999</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322040.51</v>
      </c>
      <c r="E26" s="294"/>
      <c r="F26" s="308">
        <f t="shared" ref="F26:F32" si="1">D26+E26</f>
        <v>322040.51</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11096974.770000001</v>
      </c>
      <c r="G36" s="303">
        <f>'DOE25'!L247+'DOE25'!L328</f>
        <v>11096974.770000001</v>
      </c>
      <c r="H36" s="304">
        <f>F36-G36</f>
        <v>0</v>
      </c>
      <c r="I36" s="310" t="str">
        <f>IF(H36=0,"","Does not match DOE25 page 9 and 13 Totals!!")</f>
        <v/>
      </c>
      <c r="N36"/>
    </row>
    <row r="37" spans="1:14" x14ac:dyDescent="0.2">
      <c r="A37" s="21" t="s">
        <v>1184</v>
      </c>
      <c r="B37" s="305">
        <f>IFERROR(VLOOKUP(A37,'School Tables'!$O$3:$P$122,2,FALSE),"")</f>
        <v>21255</v>
      </c>
      <c r="C37" s="297" t="str">
        <f t="array" ref="C37">IFERROR(INDEX('School Tables'!$N$3:$N$122,MATCH('School Level Expenditures'!B37,'School Tables'!$P$3:$P$122,0)),"")</f>
        <v>Laconia</v>
      </c>
      <c r="D37" s="294">
        <v>9900348.9600000009</v>
      </c>
      <c r="E37" s="294">
        <v>969290.72</v>
      </c>
      <c r="F37" s="308">
        <f>D37+E37</f>
        <v>10869639.680000002</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227335.09</v>
      </c>
      <c r="E38" s="294"/>
      <c r="F38" s="308">
        <f t="shared" ref="F38:F41" si="2">D38+E38</f>
        <v>227335.09</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Laconia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2265.02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1701965.5999999999</v>
      </c>
      <c r="D10" s="24" t="s">
        <v>288</v>
      </c>
      <c r="E10" s="24" t="s">
        <v>288</v>
      </c>
      <c r="F10" s="24" t="s">
        <v>288</v>
      </c>
      <c r="G10" s="24" t="s">
        <v>288</v>
      </c>
      <c r="H10" s="124"/>
      <c r="I10" s="124"/>
    </row>
    <row r="11" spans="1:9" x14ac:dyDescent="0.2">
      <c r="A11" s="1" t="s">
        <v>142</v>
      </c>
      <c r="B11" s="6">
        <v>130</v>
      </c>
      <c r="C11" s="95">
        <f>'DOE25'!F12</f>
        <v>889949.6</v>
      </c>
      <c r="D11" s="95">
        <f>'DOE25'!G12</f>
        <v>0</v>
      </c>
      <c r="E11" s="95">
        <f>'DOE25'!H12</f>
        <v>0</v>
      </c>
      <c r="F11" s="95">
        <f>'DOE25'!I12</f>
        <v>0</v>
      </c>
      <c r="G11" s="95">
        <f>'DOE25'!J12</f>
        <v>0</v>
      </c>
      <c r="H11" s="124"/>
      <c r="I11" s="124"/>
    </row>
    <row r="12" spans="1:9" x14ac:dyDescent="0.2">
      <c r="A12" s="1" t="s">
        <v>143</v>
      </c>
      <c r="B12" s="6">
        <v>140</v>
      </c>
      <c r="C12" s="95">
        <f>'DOE25'!F13</f>
        <v>237372.58</v>
      </c>
      <c r="D12" s="95">
        <f>'DOE25'!G13</f>
        <v>67097.039999999994</v>
      </c>
      <c r="E12" s="95">
        <f>'DOE25'!H13</f>
        <v>1048501.79</v>
      </c>
      <c r="F12" s="95">
        <f>'DOE25'!I13</f>
        <v>0</v>
      </c>
      <c r="G12" s="95">
        <f>'DOE25'!J13</f>
        <v>0</v>
      </c>
      <c r="H12" s="124"/>
      <c r="I12" s="124"/>
    </row>
    <row r="13" spans="1:9" x14ac:dyDescent="0.2">
      <c r="A13" s="1" t="s">
        <v>144</v>
      </c>
      <c r="B13" s="6">
        <v>150</v>
      </c>
      <c r="C13" s="95">
        <f>'DOE25'!F14</f>
        <v>21036.94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22756</v>
      </c>
      <c r="E15" s="95">
        <f>'DOE25'!H16</f>
        <v>0</v>
      </c>
      <c r="F15" s="95">
        <f>'DOE25'!I16</f>
        <v>0</v>
      </c>
      <c r="G15" s="24" t="s">
        <v>288</v>
      </c>
      <c r="H15" s="124"/>
      <c r="I15" s="124"/>
    </row>
    <row r="16" spans="1:9" x14ac:dyDescent="0.2">
      <c r="A16" s="1" t="s">
        <v>147</v>
      </c>
      <c r="B16" s="6">
        <v>180</v>
      </c>
      <c r="C16" s="95">
        <f>'DOE25'!F17</f>
        <v>5731</v>
      </c>
      <c r="D16" s="95">
        <f>'DOE25'!G17</f>
        <v>0</v>
      </c>
      <c r="E16" s="95">
        <f>'DOE25'!H17</f>
        <v>5500</v>
      </c>
      <c r="F16" s="95">
        <f>'DOE25'!I17</f>
        <v>0</v>
      </c>
      <c r="G16" s="95">
        <f>'DOE25'!J17</f>
        <v>0</v>
      </c>
      <c r="H16" s="124"/>
      <c r="I16" s="124"/>
    </row>
    <row r="17" spans="1:9" ht="12" thickBot="1" x14ac:dyDescent="0.25">
      <c r="A17" s="1" t="s">
        <v>148</v>
      </c>
      <c r="B17" s="6">
        <v>190</v>
      </c>
      <c r="C17" s="95">
        <f>'DOE25'!F18</f>
        <v>10000</v>
      </c>
      <c r="D17" s="95">
        <f>'DOE25'!G18</f>
        <v>0</v>
      </c>
      <c r="E17" s="95">
        <f>'DOE25'!H18</f>
        <v>0</v>
      </c>
      <c r="F17" s="95">
        <f>'DOE25'!I18</f>
        <v>0</v>
      </c>
      <c r="G17" s="95">
        <f>'DOE25'!J18</f>
        <v>0</v>
      </c>
      <c r="H17" s="124"/>
      <c r="I17" s="124"/>
    </row>
    <row r="18" spans="1:9" ht="12" thickTop="1" x14ac:dyDescent="0.2">
      <c r="A18" s="38" t="s">
        <v>149</v>
      </c>
      <c r="B18" s="39"/>
      <c r="C18" s="41">
        <f>SUM(C8:C17)</f>
        <v>2868320.7399999998</v>
      </c>
      <c r="D18" s="41">
        <f>SUM(D8:D17)</f>
        <v>89853.04</v>
      </c>
      <c r="E18" s="41">
        <f>SUM(E8:E17)</f>
        <v>1054001.79</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76544</v>
      </c>
      <c r="E21" s="95">
        <f>'DOE25'!H22</f>
        <v>813405.6</v>
      </c>
      <c r="F21" s="95">
        <f>'DOE25'!I22</f>
        <v>0</v>
      </c>
      <c r="G21" s="95">
        <f>'DOE25'!J22</f>
        <v>0</v>
      </c>
      <c r="H21" s="124"/>
      <c r="I21" s="124"/>
    </row>
    <row r="22" spans="1:9" x14ac:dyDescent="0.2">
      <c r="A22" s="1" t="s">
        <v>151</v>
      </c>
      <c r="B22" s="6">
        <v>410</v>
      </c>
      <c r="C22" s="95">
        <f>'DOE25'!F23</f>
        <v>325000</v>
      </c>
      <c r="D22" s="95">
        <f>'DOE25'!G23</f>
        <v>0</v>
      </c>
      <c r="E22" s="95">
        <f>'DOE25'!H23</f>
        <v>0</v>
      </c>
      <c r="F22" s="95">
        <f>'DOE25'!I23</f>
        <v>0</v>
      </c>
      <c r="G22" s="95">
        <f>'DOE25'!J23</f>
        <v>0</v>
      </c>
      <c r="H22" s="124"/>
      <c r="I22" s="124"/>
    </row>
    <row r="23" spans="1:9" x14ac:dyDescent="0.2">
      <c r="A23" s="1" t="s">
        <v>152</v>
      </c>
      <c r="B23" s="6">
        <v>420</v>
      </c>
      <c r="C23" s="95">
        <f>'DOE25'!F24</f>
        <v>2056820.99</v>
      </c>
      <c r="D23" s="95">
        <f>'DOE25'!G24</f>
        <v>12954.54</v>
      </c>
      <c r="E23" s="95">
        <f>'DOE25'!H24</f>
        <v>62245.919999999998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84233.06</v>
      </c>
      <c r="D27" s="95">
        <f>'DOE25'!G28</f>
        <v>0</v>
      </c>
      <c r="E27" s="95">
        <f>'DOE25'!H28</f>
        <v>0</v>
      </c>
      <c r="F27" s="95">
        <f>'DOE25'!I28</f>
        <v>0</v>
      </c>
      <c r="G27" s="24" t="s">
        <v>288</v>
      </c>
      <c r="H27" s="124"/>
      <c r="I27" s="124"/>
    </row>
    <row r="28" spans="1:9" x14ac:dyDescent="0.2">
      <c r="A28" s="1" t="s">
        <v>157</v>
      </c>
      <c r="B28" s="6">
        <v>470</v>
      </c>
      <c r="C28" s="95">
        <f>'DOE25'!F29</f>
        <v>42596.31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178350.27</v>
      </c>
      <c r="F29" s="95">
        <f>'DOE25'!I30</f>
        <v>0</v>
      </c>
      <c r="G29" s="24" t="s">
        <v>288</v>
      </c>
      <c r="H29" s="124"/>
      <c r="I29" s="124"/>
    </row>
    <row r="30" spans="1:9" ht="12" thickBot="1" x14ac:dyDescent="0.25">
      <c r="A30" s="1" t="s">
        <v>159</v>
      </c>
      <c r="B30" s="71">
        <v>490</v>
      </c>
      <c r="C30" s="95">
        <f>'DOE25'!F31</f>
        <v>359670.38</v>
      </c>
      <c r="D30" s="95">
        <f>'DOE25'!G31</f>
        <v>354.5</v>
      </c>
      <c r="E30" s="95">
        <f>'DOE25'!H31</f>
        <v>0</v>
      </c>
      <c r="F30" s="95">
        <f>'DOE25'!I31</f>
        <v>0</v>
      </c>
      <c r="G30" s="95">
        <f>'DOE25'!J31</f>
        <v>0</v>
      </c>
      <c r="H30" s="124"/>
      <c r="I30" s="124"/>
    </row>
    <row r="31" spans="1:9" ht="12" thickTop="1" x14ac:dyDescent="0.2">
      <c r="A31" s="38" t="s">
        <v>160</v>
      </c>
      <c r="B31" s="2"/>
      <c r="C31" s="41">
        <f>SUM(C21:C30)</f>
        <v>2868320.74</v>
      </c>
      <c r="D31" s="41">
        <f>SUM(D21:D30)</f>
        <v>89853.040000000008</v>
      </c>
      <c r="E31" s="41">
        <f>SUM(E21:E30)</f>
        <v>1054001.79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0</v>
      </c>
      <c r="E50" s="41">
        <f>SUM(E34:E49)</f>
        <v>0</v>
      </c>
      <c r="F50" s="41">
        <f>SUM(F34:F49)</f>
        <v>0</v>
      </c>
      <c r="G50" s="41">
        <f>SUM(G34:G49)</f>
        <v>0</v>
      </c>
      <c r="H50" s="124"/>
      <c r="I50" s="124"/>
    </row>
    <row r="51" spans="1:9" ht="12" thickTop="1" x14ac:dyDescent="0.2">
      <c r="A51" s="38" t="s">
        <v>885</v>
      </c>
      <c r="B51" s="2"/>
      <c r="C51" s="41">
        <f>C50+C31</f>
        <v>2868320.74</v>
      </c>
      <c r="D51" s="41">
        <f>D50+D31</f>
        <v>89853.040000000008</v>
      </c>
      <c r="E51" s="41">
        <f>E50+E31</f>
        <v>1054001.79</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19887174.399999999</v>
      </c>
      <c r="D56" s="95">
        <f>'DOE25'!G60</f>
        <v>0</v>
      </c>
      <c r="E56" s="95">
        <f>'DOE25'!H60</f>
        <v>0</v>
      </c>
      <c r="F56" s="95">
        <f>'DOE25'!I60</f>
        <v>0</v>
      </c>
      <c r="G56" s="95">
        <f>'DOE25'!J60</f>
        <v>0</v>
      </c>
      <c r="H56"/>
      <c r="I56"/>
    </row>
    <row r="57" spans="1:9" x14ac:dyDescent="0.2">
      <c r="A57" s="1" t="s">
        <v>164</v>
      </c>
      <c r="B57" s="6" t="s">
        <v>165</v>
      </c>
      <c r="C57" s="95">
        <f>'DOE25'!F79</f>
        <v>858192.32000000007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521980.77</v>
      </c>
      <c r="E60" s="24" t="s">
        <v>288</v>
      </c>
      <c r="F60" s="24" t="s">
        <v>288</v>
      </c>
      <c r="G60" s="24" t="s">
        <v>288</v>
      </c>
      <c r="H60"/>
      <c r="I60"/>
    </row>
    <row r="61" spans="1:9" ht="12" thickBot="1" x14ac:dyDescent="0.25">
      <c r="A61" s="1" t="s">
        <v>172</v>
      </c>
      <c r="B61" s="118" t="s">
        <v>173</v>
      </c>
      <c r="C61" s="95">
        <f>SUM('DOE25'!F98:F110)</f>
        <v>82827.240000000005</v>
      </c>
      <c r="D61" s="95">
        <f>SUM('DOE25'!G98:G110)</f>
        <v>0</v>
      </c>
      <c r="E61" s="95">
        <f>SUM('DOE25'!H98:H110)</f>
        <v>173923.81</v>
      </c>
      <c r="F61" s="95">
        <f>SUM('DOE25'!I98:I110)</f>
        <v>0</v>
      </c>
      <c r="G61" s="95">
        <f>SUM('DOE25'!J98:J110)</f>
        <v>0</v>
      </c>
      <c r="H61"/>
      <c r="I61"/>
    </row>
    <row r="62" spans="1:9" ht="12.75" thickTop="1" thickBot="1" x14ac:dyDescent="0.25">
      <c r="A62" s="29" t="s">
        <v>174</v>
      </c>
      <c r="B62" s="6"/>
      <c r="C62" s="130">
        <f>SUM(C57:C61)</f>
        <v>941019.56</v>
      </c>
      <c r="D62" s="130">
        <f>SUM(D57:D61)</f>
        <v>521980.77</v>
      </c>
      <c r="E62" s="130">
        <f>SUM(E57:E61)</f>
        <v>173923.81</v>
      </c>
      <c r="F62" s="130">
        <f>SUM(F57:F61)</f>
        <v>0</v>
      </c>
      <c r="G62" s="130">
        <f>SUM(G57:G61)</f>
        <v>0</v>
      </c>
      <c r="H62"/>
      <c r="I62"/>
    </row>
    <row r="63" spans="1:9" ht="12" thickTop="1" x14ac:dyDescent="0.2">
      <c r="A63" s="29" t="s">
        <v>175</v>
      </c>
      <c r="B63" s="6"/>
      <c r="C63" s="22">
        <f>C56+C62</f>
        <v>20828193.959999997</v>
      </c>
      <c r="D63" s="22">
        <f>D56+D62</f>
        <v>521980.77</v>
      </c>
      <c r="E63" s="22">
        <f>E56+E62</f>
        <v>173923.81</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5788914.9800000004</v>
      </c>
      <c r="D66" s="24" t="s">
        <v>288</v>
      </c>
      <c r="E66" s="24" t="s">
        <v>288</v>
      </c>
      <c r="F66" s="24" t="s">
        <v>288</v>
      </c>
      <c r="G66" s="24" t="s">
        <v>288</v>
      </c>
      <c r="H66"/>
      <c r="I66"/>
    </row>
    <row r="67" spans="1:9" x14ac:dyDescent="0.2">
      <c r="A67" s="1" t="s">
        <v>770</v>
      </c>
      <c r="B67" s="6">
        <v>3112</v>
      </c>
      <c r="C67" s="95">
        <f>'DOE25'!F118</f>
        <v>4458870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58604.26</v>
      </c>
      <c r="E69" s="95">
        <f>'DOE25'!H120</f>
        <v>110387.71</v>
      </c>
      <c r="F69" s="95">
        <f>'DOE25'!I120</f>
        <v>0</v>
      </c>
      <c r="G69" s="95">
        <f>'DOE25'!J120</f>
        <v>0</v>
      </c>
      <c r="H69"/>
      <c r="I69"/>
    </row>
    <row r="70" spans="1:9" ht="12" thickTop="1" x14ac:dyDescent="0.2">
      <c r="A70" s="29" t="s">
        <v>252</v>
      </c>
      <c r="B70" s="2"/>
      <c r="C70" s="139">
        <f>SUM(C66:C69)</f>
        <v>10247784.98</v>
      </c>
      <c r="D70" s="139">
        <f>D69</f>
        <v>58604.26</v>
      </c>
      <c r="E70" s="139">
        <f>E69</f>
        <v>110387.71</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787039.39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155603.79999999999</v>
      </c>
      <c r="D74" s="24"/>
      <c r="E74" s="24"/>
      <c r="F74" s="24"/>
      <c r="G74" s="24"/>
      <c r="H74"/>
      <c r="I74"/>
    </row>
    <row r="75" spans="1:9" x14ac:dyDescent="0.2">
      <c r="A75" s="1" t="s">
        <v>256</v>
      </c>
      <c r="B75" s="6">
        <v>3230</v>
      </c>
      <c r="C75" s="95">
        <f>'DOE25'!F126</f>
        <v>26568.31</v>
      </c>
      <c r="D75" s="24" t="s">
        <v>288</v>
      </c>
      <c r="E75" s="24" t="s">
        <v>288</v>
      </c>
      <c r="F75" s="24" t="s">
        <v>288</v>
      </c>
      <c r="G75" s="24" t="s">
        <v>288</v>
      </c>
      <c r="H75"/>
      <c r="I75"/>
    </row>
    <row r="76" spans="1:9" x14ac:dyDescent="0.2">
      <c r="A76" s="1" t="s">
        <v>257</v>
      </c>
      <c r="B76" s="6" t="s">
        <v>179</v>
      </c>
      <c r="C76" s="95">
        <f>SUM('DOE25'!F127:F130)</f>
        <v>689803.11</v>
      </c>
      <c r="D76" s="24" t="s">
        <v>288</v>
      </c>
      <c r="E76" s="95">
        <f>SUM('DOE25'!H127:H130)</f>
        <v>0</v>
      </c>
      <c r="F76" s="95">
        <f>SUM('DOE25'!I127:I130)</f>
        <v>0</v>
      </c>
      <c r="G76" s="24" t="s">
        <v>288</v>
      </c>
      <c r="H76"/>
      <c r="I76"/>
    </row>
    <row r="77" spans="1:9" ht="12" thickBot="1" x14ac:dyDescent="0.25">
      <c r="A77" s="1" t="s">
        <v>258</v>
      </c>
      <c r="B77" s="6" t="s">
        <v>180</v>
      </c>
      <c r="C77" s="95">
        <f>SUM('DOE25'!F131:F135)</f>
        <v>451595.88</v>
      </c>
      <c r="D77" s="95">
        <f>SUM('DOE25'!G131:G135)</f>
        <v>14671.3</v>
      </c>
      <c r="E77" s="95">
        <f>SUM('DOE25'!H131:H135)</f>
        <v>0</v>
      </c>
      <c r="F77" s="95">
        <f>SUM('DOE25'!I131:I135)</f>
        <v>0</v>
      </c>
      <c r="G77" s="95">
        <f>SUM('DOE25'!J131:J135)</f>
        <v>0</v>
      </c>
      <c r="H77"/>
      <c r="I77"/>
    </row>
    <row r="78" spans="1:9" ht="12.75" thickTop="1" thickBot="1" x14ac:dyDescent="0.25">
      <c r="A78" s="29" t="s">
        <v>259</v>
      </c>
      <c r="B78" s="6"/>
      <c r="C78" s="130">
        <f>SUM(C72:C77)</f>
        <v>2110610.4899999998</v>
      </c>
      <c r="D78" s="130">
        <f>SUM(D72:D77)</f>
        <v>14671.3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12358395.470000001</v>
      </c>
      <c r="D81" s="130">
        <f>SUM(D79:D80)+D78+D70</f>
        <v>73275.56</v>
      </c>
      <c r="E81" s="130">
        <f>SUM(E79:E80)+E78+E70</f>
        <v>110387.71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165093.89000000001</v>
      </c>
      <c r="F87" s="95">
        <f>SUM('DOE25'!I149:I152)</f>
        <v>0</v>
      </c>
      <c r="G87" s="24" t="s">
        <v>288</v>
      </c>
    </row>
    <row r="88" spans="1:9" x14ac:dyDescent="0.2">
      <c r="A88" t="s">
        <v>747</v>
      </c>
      <c r="B88" s="32" t="s">
        <v>184</v>
      </c>
      <c r="C88" s="95">
        <f>SUM('DOE25'!F153:F161)</f>
        <v>536768.01</v>
      </c>
      <c r="D88" s="95">
        <f>SUM('DOE25'!G153:G161)</f>
        <v>787558.8</v>
      </c>
      <c r="E88" s="95">
        <f>SUM('DOE25'!H153:H161)</f>
        <v>3302897.8499999996</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536768.01</v>
      </c>
      <c r="D91" s="131">
        <f>SUM(D85:D90)</f>
        <v>787558.8</v>
      </c>
      <c r="E91" s="131">
        <f>SUM(E85:E90)</f>
        <v>3467991.7399999998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325000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325000</v>
      </c>
      <c r="F103" s="86">
        <f>SUM(F93:F102)</f>
        <v>0</v>
      </c>
      <c r="G103" s="86">
        <f>SUM(G93:G102)</f>
        <v>0</v>
      </c>
    </row>
    <row r="104" spans="1:7" ht="12.75" thickTop="1" thickBot="1" x14ac:dyDescent="0.25">
      <c r="A104" s="33" t="s">
        <v>761</v>
      </c>
      <c r="C104" s="86">
        <f>C63+C81+C91+C103</f>
        <v>33723357.439999998</v>
      </c>
      <c r="D104" s="86">
        <f>D63+D81+D91+D103</f>
        <v>1382815.1300000001</v>
      </c>
      <c r="E104" s="86">
        <f>E63+E81+E91+E103</f>
        <v>4077303.26</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11092241.510000002</v>
      </c>
      <c r="D109" s="24" t="s">
        <v>288</v>
      </c>
      <c r="E109" s="95">
        <f>('DOE25'!L276)+('DOE25'!L295)+('DOE25'!L314)</f>
        <v>1703968.1300000004</v>
      </c>
      <c r="F109" s="24" t="s">
        <v>288</v>
      </c>
      <c r="G109" s="24" t="s">
        <v>288</v>
      </c>
    </row>
    <row r="110" spans="1:7" x14ac:dyDescent="0.2">
      <c r="A110" t="s">
        <v>198</v>
      </c>
      <c r="B110" s="32" t="s">
        <v>199</v>
      </c>
      <c r="C110" s="95">
        <f>('DOE25'!L198)+('DOE25'!L216)+('DOE25'!L234)</f>
        <v>7134446.8499999996</v>
      </c>
      <c r="D110" s="24" t="s">
        <v>288</v>
      </c>
      <c r="E110" s="95">
        <f>('DOE25'!L277)+('DOE25'!L296)+('DOE25'!L315)</f>
        <v>614751.99</v>
      </c>
      <c r="F110" s="24" t="s">
        <v>288</v>
      </c>
      <c r="G110" s="24" t="s">
        <v>288</v>
      </c>
    </row>
    <row r="111" spans="1:7" x14ac:dyDescent="0.2">
      <c r="A111" t="s">
        <v>200</v>
      </c>
      <c r="B111" s="32" t="s">
        <v>165</v>
      </c>
      <c r="C111" s="95">
        <f>('DOE25'!L199)+('DOE25'!L217)+('DOE25'!L235)</f>
        <v>1230885.3799999997</v>
      </c>
      <c r="D111" s="24" t="s">
        <v>288</v>
      </c>
      <c r="E111" s="95">
        <f>('DOE25'!L278)+('DOE25'!L297)+('DOE25'!L316)</f>
        <v>183189.09</v>
      </c>
      <c r="F111" s="24" t="s">
        <v>288</v>
      </c>
      <c r="G111" s="24" t="s">
        <v>288</v>
      </c>
    </row>
    <row r="112" spans="1:7" x14ac:dyDescent="0.2">
      <c r="A112" t="s">
        <v>201</v>
      </c>
      <c r="B112" s="32" t="s">
        <v>167</v>
      </c>
      <c r="C112" s="95">
        <f>('DOE25'!L200)+('DOE25'!L218)+('DOE25'!L236)</f>
        <v>396303.95999999996</v>
      </c>
      <c r="D112" s="24" t="s">
        <v>288</v>
      </c>
      <c r="E112" s="95">
        <f>+('DOE25'!L279)+('DOE25'!L298)+('DOE25'!L317)</f>
        <v>198324.01</v>
      </c>
      <c r="F112" s="24" t="s">
        <v>288</v>
      </c>
      <c r="G112" s="24" t="s">
        <v>288</v>
      </c>
    </row>
    <row r="113" spans="1:7" x14ac:dyDescent="0.2">
      <c r="A113" t="s">
        <v>202</v>
      </c>
      <c r="B113" s="32" t="s">
        <v>169</v>
      </c>
      <c r="C113" s="95">
        <f>'DOE25'!L250</f>
        <v>0</v>
      </c>
      <c r="D113" s="24" t="s">
        <v>288</v>
      </c>
      <c r="E113" s="95">
        <f>+'DOE25'!L332</f>
        <v>3164.91</v>
      </c>
      <c r="F113" s="24" t="s">
        <v>288</v>
      </c>
      <c r="G113" s="24" t="s">
        <v>288</v>
      </c>
    </row>
    <row r="114" spans="1:7" ht="12" thickBot="1" x14ac:dyDescent="0.25">
      <c r="A114" t="s">
        <v>203</v>
      </c>
      <c r="B114" s="32" t="s">
        <v>204</v>
      </c>
      <c r="C114" s="95">
        <f>SUM('DOE25'!L251:L253)</f>
        <v>304971.32999999996</v>
      </c>
      <c r="D114" s="24" t="s">
        <v>288</v>
      </c>
      <c r="E114" s="95">
        <f>+ SUM('DOE25'!L333:L335)</f>
        <v>225</v>
      </c>
      <c r="F114" s="24" t="s">
        <v>288</v>
      </c>
      <c r="G114" s="24" t="s">
        <v>288</v>
      </c>
    </row>
    <row r="115" spans="1:7" ht="12.75" thickTop="1" thickBot="1" x14ac:dyDescent="0.25">
      <c r="A115" s="33" t="s">
        <v>205</v>
      </c>
      <c r="C115" s="86">
        <f>SUM(C109:C114)</f>
        <v>20158849.029999997</v>
      </c>
      <c r="D115" s="86">
        <f>SUM(D109:D114)</f>
        <v>0</v>
      </c>
      <c r="E115" s="86">
        <f>SUM(E109:E114)</f>
        <v>2703623.13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2171879.7400000002</v>
      </c>
      <c r="D118" s="24" t="s">
        <v>288</v>
      </c>
      <c r="E118" s="95">
        <f>+('DOE25'!L281)+('DOE25'!L300)+('DOE25'!L319)</f>
        <v>487810.47</v>
      </c>
      <c r="F118" s="24" t="s">
        <v>288</v>
      </c>
      <c r="G118" s="24" t="s">
        <v>288</v>
      </c>
    </row>
    <row r="119" spans="1:7" x14ac:dyDescent="0.2">
      <c r="A119" t="s">
        <v>208</v>
      </c>
      <c r="B119" s="32" t="s">
        <v>209</v>
      </c>
      <c r="C119" s="95">
        <f>('DOE25'!L203)+('DOE25'!L221)+('DOE25'!L239)</f>
        <v>1250658.32</v>
      </c>
      <c r="D119" s="24" t="s">
        <v>288</v>
      </c>
      <c r="E119" s="95">
        <f>+('DOE25'!L282)+('DOE25'!L301)+('DOE25'!L320)</f>
        <v>453432.43</v>
      </c>
      <c r="F119" s="24" t="s">
        <v>288</v>
      </c>
      <c r="G119" s="24" t="s">
        <v>288</v>
      </c>
    </row>
    <row r="120" spans="1:7" x14ac:dyDescent="0.2">
      <c r="A120" t="s">
        <v>210</v>
      </c>
      <c r="B120" s="32" t="s">
        <v>211</v>
      </c>
      <c r="C120" s="95">
        <f>('DOE25'!L204)+('DOE25'!L222)+('DOE25'!L240)</f>
        <v>943325.44</v>
      </c>
      <c r="D120" s="24" t="s">
        <v>288</v>
      </c>
      <c r="E120" s="95">
        <f>+('DOE25'!L283)+('DOE25'!L302)+('DOE25'!L321)</f>
        <v>104570.86</v>
      </c>
      <c r="F120" s="24" t="s">
        <v>288</v>
      </c>
      <c r="G120" s="24" t="s">
        <v>288</v>
      </c>
    </row>
    <row r="121" spans="1:7" x14ac:dyDescent="0.2">
      <c r="A121" t="s">
        <v>212</v>
      </c>
      <c r="B121" s="32" t="s">
        <v>213</v>
      </c>
      <c r="C121" s="95">
        <f>('DOE25'!L205)+('DOE25'!L223)+('DOE25'!L241)</f>
        <v>2011811.46</v>
      </c>
      <c r="D121" s="24" t="s">
        <v>288</v>
      </c>
      <c r="E121" s="95">
        <f>+('DOE25'!L284)+('DOE25'!L303)+('DOE25'!L322)</f>
        <v>0</v>
      </c>
      <c r="F121" s="24" t="s">
        <v>288</v>
      </c>
      <c r="G121" s="24" t="s">
        <v>288</v>
      </c>
    </row>
    <row r="122" spans="1:7" x14ac:dyDescent="0.2">
      <c r="A122" t="s">
        <v>214</v>
      </c>
      <c r="B122" s="32" t="s">
        <v>215</v>
      </c>
      <c r="C122" s="95">
        <f>('DOE25'!L206)+('DOE25'!L224)+('DOE25'!L242)</f>
        <v>427792.23</v>
      </c>
      <c r="D122" s="24" t="s">
        <v>288</v>
      </c>
      <c r="E122" s="95">
        <f>+('DOE25'!L285)+('DOE25'!L304)+('DOE25'!L323)</f>
        <v>0</v>
      </c>
      <c r="F122" s="24" t="s">
        <v>288</v>
      </c>
      <c r="G122" s="24" t="s">
        <v>288</v>
      </c>
    </row>
    <row r="123" spans="1:7" x14ac:dyDescent="0.2">
      <c r="A123" t="s">
        <v>216</v>
      </c>
      <c r="B123" s="32" t="s">
        <v>217</v>
      </c>
      <c r="C123" s="95">
        <f>('DOE25'!L207)+('DOE25'!L225)+('DOE25'!L243)</f>
        <v>3079504.89</v>
      </c>
      <c r="D123" s="24" t="s">
        <v>288</v>
      </c>
      <c r="E123" s="95">
        <f>+('DOE25'!L286)+('DOE25'!L305)+('DOE25'!L324)</f>
        <v>0</v>
      </c>
      <c r="F123" s="24" t="s">
        <v>288</v>
      </c>
      <c r="G123" s="24" t="s">
        <v>288</v>
      </c>
    </row>
    <row r="124" spans="1:7" x14ac:dyDescent="0.2">
      <c r="A124" t="s">
        <v>218</v>
      </c>
      <c r="B124" s="32" t="s">
        <v>219</v>
      </c>
      <c r="C124" s="95">
        <f>('DOE25'!L208)+('DOE25'!L226)+('DOE25'!L244+'DOE25'!L254)</f>
        <v>782825.27</v>
      </c>
      <c r="D124" s="24" t="s">
        <v>288</v>
      </c>
      <c r="E124" s="95">
        <f>+('DOE25'!L287)+('DOE25'!L306)+('DOE25'!L325)</f>
        <v>2866.3700000000003</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1382815.13</v>
      </c>
      <c r="E127" s="24" t="s">
        <v>288</v>
      </c>
      <c r="F127" s="24" t="s">
        <v>288</v>
      </c>
      <c r="G127" s="24" t="s">
        <v>288</v>
      </c>
    </row>
    <row r="128" spans="1:7" ht="12.75" thickTop="1" thickBot="1" x14ac:dyDescent="0.25">
      <c r="A128" s="33" t="s">
        <v>226</v>
      </c>
      <c r="C128" s="86">
        <f>SUM(C118:C127)</f>
        <v>10667797.35</v>
      </c>
      <c r="D128" s="86">
        <f>SUM(D118:D127)</f>
        <v>1382815.13</v>
      </c>
      <c r="E128" s="86">
        <f>SUM(E118:E127)</f>
        <v>1048680.1299999999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50000</v>
      </c>
      <c r="D130" s="24" t="s">
        <v>288</v>
      </c>
      <c r="E130" s="129">
        <f>'DOE25'!L336</f>
        <v>0</v>
      </c>
      <c r="F130" s="129">
        <f>SUM('DOE25'!L374:'DOE25'!L380)</f>
        <v>0</v>
      </c>
      <c r="G130" s="24" t="s">
        <v>288</v>
      </c>
    </row>
    <row r="131" spans="1:7" x14ac:dyDescent="0.2">
      <c r="A131" t="s">
        <v>229</v>
      </c>
      <c r="B131" s="32">
        <v>5110</v>
      </c>
      <c r="C131" s="95">
        <f>'DOE25'!L260</f>
        <v>1794504.97</v>
      </c>
      <c r="D131" s="24" t="s">
        <v>288</v>
      </c>
      <c r="E131" s="129">
        <f>'DOE25'!L341</f>
        <v>0</v>
      </c>
      <c r="F131" s="24" t="s">
        <v>288</v>
      </c>
      <c r="G131" s="24" t="s">
        <v>288</v>
      </c>
    </row>
    <row r="132" spans="1:7" x14ac:dyDescent="0.2">
      <c r="A132" t="s">
        <v>230</v>
      </c>
      <c r="B132" s="32">
        <v>5120</v>
      </c>
      <c r="C132" s="95">
        <f>'DOE25'!L261</f>
        <v>727206.09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325000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325000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2896711.06</v>
      </c>
      <c r="D144" s="141">
        <f>SUM(D130:D143)</f>
        <v>0</v>
      </c>
      <c r="E144" s="141">
        <f>SUM(E130:E143)</f>
        <v>325000</v>
      </c>
      <c r="F144" s="141">
        <f>SUM(F130:F143)</f>
        <v>0</v>
      </c>
      <c r="G144" s="141">
        <f>SUM(G130:G143)</f>
        <v>0</v>
      </c>
    </row>
    <row r="145" spans="1:9" ht="12.75" thickTop="1" thickBot="1" x14ac:dyDescent="0.25">
      <c r="A145" s="33" t="s">
        <v>244</v>
      </c>
      <c r="C145" s="86">
        <f>(C115+C128+C144)</f>
        <v>33723357.439999998</v>
      </c>
      <c r="D145" s="86">
        <f>(D115+D128+D144)</f>
        <v>1382815.13</v>
      </c>
      <c r="E145" s="86">
        <f>(E115+E128+E144)</f>
        <v>4077303.26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Laconia School District</v>
      </c>
    </row>
    <row r="3" spans="1:4" x14ac:dyDescent="0.2">
      <c r="B3" s="188" t="s">
        <v>1602</v>
      </c>
    </row>
    <row r="4" spans="1:4" x14ac:dyDescent="0.2">
      <c r="B4" t="s">
        <v>61</v>
      </c>
      <c r="C4" s="179">
        <f>IF('DOE25'!F665+'DOE25'!F670=0,0,ROUND('DOE25'!F672,0))</f>
        <v>16347</v>
      </c>
    </row>
    <row r="5" spans="1:4" x14ac:dyDescent="0.2">
      <c r="B5" t="s">
        <v>700</v>
      </c>
      <c r="C5" s="179">
        <f>IF('DOE25'!G665+'DOE25'!G670=0,0,ROUND('DOE25'!G672,0))</f>
        <v>16738</v>
      </c>
    </row>
    <row r="6" spans="1:4" x14ac:dyDescent="0.2">
      <c r="B6" t="s">
        <v>62</v>
      </c>
      <c r="C6" s="179">
        <f>IF('DOE25'!H665+'DOE25'!H670=0,0,ROUND('DOE25'!H672,0))</f>
        <v>17631</v>
      </c>
    </row>
    <row r="7" spans="1:4" x14ac:dyDescent="0.2">
      <c r="B7" t="s">
        <v>701</v>
      </c>
      <c r="C7" s="179">
        <f>IF('DOE25'!I665+'DOE25'!I670=0,0,ROUND('DOE25'!I672,0))</f>
        <v>16828</v>
      </c>
    </row>
    <row r="9" spans="1:4" x14ac:dyDescent="0.2">
      <c r="A9" s="187" t="s">
        <v>94</v>
      </c>
      <c r="B9" s="188" t="s">
        <v>1603</v>
      </c>
      <c r="C9" s="181" t="s">
        <v>720</v>
      </c>
      <c r="D9" s="181" t="s">
        <v>721</v>
      </c>
    </row>
    <row r="10" spans="1:4" x14ac:dyDescent="0.2">
      <c r="A10">
        <v>1100</v>
      </c>
      <c r="B10" t="s">
        <v>702</v>
      </c>
      <c r="C10" s="179">
        <f>ROUND('DOE25'!L197+'DOE25'!L215+'DOE25'!L233+'DOE25'!L276+'DOE25'!L295+'DOE25'!L314,0)</f>
        <v>12796210</v>
      </c>
      <c r="D10" s="182">
        <f>ROUND((C10/$C$28)*100,1)</f>
        <v>35.4</v>
      </c>
    </row>
    <row r="11" spans="1:4" x14ac:dyDescent="0.2">
      <c r="A11">
        <v>1200</v>
      </c>
      <c r="B11" t="s">
        <v>703</v>
      </c>
      <c r="C11" s="179">
        <f>ROUND('DOE25'!L198+'DOE25'!L216+'DOE25'!L234+'DOE25'!L277+'DOE25'!L296+'DOE25'!L315,0)</f>
        <v>7749199</v>
      </c>
      <c r="D11" s="182">
        <f>ROUND((C11/$C$28)*100,1)</f>
        <v>21.4</v>
      </c>
    </row>
    <row r="12" spans="1:4" x14ac:dyDescent="0.2">
      <c r="A12">
        <v>1300</v>
      </c>
      <c r="B12" t="s">
        <v>704</v>
      </c>
      <c r="C12" s="179">
        <f>ROUND('DOE25'!L199+'DOE25'!L217+'DOE25'!L235+'DOE25'!L278+'DOE25'!L297+'DOE25'!L316,0)</f>
        <v>1414074</v>
      </c>
      <c r="D12" s="182">
        <f>ROUND((C12/$C$28)*100,1)</f>
        <v>3.9</v>
      </c>
    </row>
    <row r="13" spans="1:4" x14ac:dyDescent="0.2">
      <c r="A13">
        <v>1400</v>
      </c>
      <c r="B13" t="s">
        <v>705</v>
      </c>
      <c r="C13" s="179">
        <f>ROUND('DOE25'!L200+'DOE25'!L218+'DOE25'!L236+'DOE25'!L279+'DOE25'!L298+'DOE25'!L317,0)</f>
        <v>594628</v>
      </c>
      <c r="D13" s="182">
        <f>ROUND((C13/$C$28)*100,1)</f>
        <v>1.6</v>
      </c>
    </row>
    <row r="14" spans="1:4" x14ac:dyDescent="0.2">
      <c r="D14" s="182"/>
    </row>
    <row r="15" spans="1:4" x14ac:dyDescent="0.2">
      <c r="A15">
        <v>2100</v>
      </c>
      <c r="B15" t="s">
        <v>706</v>
      </c>
      <c r="C15" s="179">
        <f>ROUND('DOE25'!L202+'DOE25'!L220+'DOE25'!L238+'DOE25'!L281+'DOE25'!L300+'DOE25'!L319,0)</f>
        <v>2659690</v>
      </c>
      <c r="D15" s="182">
        <f t="shared" ref="D15:D27" si="0">ROUND((C15/$C$28)*100,1)</f>
        <v>7.4</v>
      </c>
    </row>
    <row r="16" spans="1:4" x14ac:dyDescent="0.2">
      <c r="A16">
        <v>2200</v>
      </c>
      <c r="B16" t="s">
        <v>707</v>
      </c>
      <c r="C16" s="179">
        <f>ROUND('DOE25'!L203+'DOE25'!L221+'DOE25'!L239+'DOE25'!L282+'DOE25'!L301+'DOE25'!L320,0)</f>
        <v>1704091</v>
      </c>
      <c r="D16" s="182">
        <f t="shared" si="0"/>
        <v>4.7</v>
      </c>
    </row>
    <row r="17" spans="1:4" x14ac:dyDescent="0.2">
      <c r="A17" s="183" t="s">
        <v>723</v>
      </c>
      <c r="B17" t="s">
        <v>738</v>
      </c>
      <c r="C17" s="179">
        <f>ROUND('DOE25'!L204+'DOE25'!L209+'DOE25'!L222+'DOE25'!L227+'DOE25'!L240+'DOE25'!L245+'DOE25'!L283+'DOE25'!L288+'DOE25'!L302+'DOE25'!L307+'DOE25'!L321+'DOE25'!L326,0)</f>
        <v>1047896</v>
      </c>
      <c r="D17" s="182">
        <f t="shared" si="0"/>
        <v>2.9</v>
      </c>
    </row>
    <row r="18" spans="1:4" x14ac:dyDescent="0.2">
      <c r="A18">
        <v>2400</v>
      </c>
      <c r="B18" t="s">
        <v>711</v>
      </c>
      <c r="C18" s="179">
        <f>ROUND('DOE25'!L205+'DOE25'!L223+'DOE25'!L241+'DOE25'!L284+'DOE25'!L303+'DOE25'!L322,0)</f>
        <v>2011811</v>
      </c>
      <c r="D18" s="182">
        <f t="shared" si="0"/>
        <v>5.6</v>
      </c>
    </row>
    <row r="19" spans="1:4" x14ac:dyDescent="0.2">
      <c r="A19">
        <v>2500</v>
      </c>
      <c r="B19" t="s">
        <v>708</v>
      </c>
      <c r="C19" s="179">
        <f>ROUND('DOE25'!L206+'DOE25'!L224+'DOE25'!L242+'DOE25'!L285+'DOE25'!L304+'DOE25'!L323,0)</f>
        <v>427792</v>
      </c>
      <c r="D19" s="182">
        <f t="shared" si="0"/>
        <v>1.2</v>
      </c>
    </row>
    <row r="20" spans="1:4" x14ac:dyDescent="0.2">
      <c r="A20">
        <v>2600</v>
      </c>
      <c r="B20" t="s">
        <v>709</v>
      </c>
      <c r="C20" s="179">
        <f>ROUND('DOE25'!L207+'DOE25'!L225+'DOE25'!L243+'DOE25'!L286+'DOE25'!L305+'DOE25'!L324,0)</f>
        <v>3079505</v>
      </c>
      <c r="D20" s="182">
        <f t="shared" si="0"/>
        <v>8.5</v>
      </c>
    </row>
    <row r="21" spans="1:4" x14ac:dyDescent="0.2">
      <c r="A21">
        <v>2700</v>
      </c>
      <c r="B21" t="s">
        <v>710</v>
      </c>
      <c r="C21" s="179">
        <f>ROUND('DOE25'!L208+'DOE25'!L226+'DOE25'!L244+'DOE25'!L287+'DOE25'!L306+'DOE25'!L325,0)</f>
        <v>785692</v>
      </c>
      <c r="D21" s="182">
        <f t="shared" si="0"/>
        <v>2.2000000000000002</v>
      </c>
    </row>
    <row r="22" spans="1:4" x14ac:dyDescent="0.2">
      <c r="A22">
        <v>2900</v>
      </c>
      <c r="B22" t="s">
        <v>712</v>
      </c>
      <c r="C22" s="179">
        <v>0</v>
      </c>
      <c r="D22" s="182">
        <f t="shared" si="0"/>
        <v>0</v>
      </c>
    </row>
    <row r="23" spans="1:4" x14ac:dyDescent="0.2">
      <c r="A23">
        <v>1500</v>
      </c>
      <c r="B23" t="s">
        <v>714</v>
      </c>
      <c r="C23" s="179">
        <f>ROUND('DOE25'!L250+'DOE25'!L332,0)</f>
        <v>3165</v>
      </c>
      <c r="D23" s="182">
        <f t="shared" si="0"/>
        <v>0</v>
      </c>
    </row>
    <row r="24" spans="1:4" x14ac:dyDescent="0.2">
      <c r="A24" s="183" t="s">
        <v>722</v>
      </c>
      <c r="B24" t="s">
        <v>715</v>
      </c>
      <c r="C24" s="179">
        <f>ROUND('DOE25'!L251+'DOE25'!L252+'DOE25'!L253+'DOE25'!L254+'DOE25'!L333+'DOE25'!L334+'DOE25'!L335,0)</f>
        <v>305196</v>
      </c>
      <c r="D24" s="182">
        <f t="shared" si="0"/>
        <v>0.8</v>
      </c>
    </row>
    <row r="25" spans="1:4" x14ac:dyDescent="0.2">
      <c r="A25">
        <v>5120</v>
      </c>
      <c r="B25" t="s">
        <v>716</v>
      </c>
      <c r="C25" s="179">
        <f>ROUND('DOE25'!L261+'DOE25'!L342,0)</f>
        <v>727206</v>
      </c>
      <c r="D25" s="182">
        <f t="shared" si="0"/>
        <v>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860834.23</v>
      </c>
      <c r="D27" s="182">
        <f t="shared" si="0"/>
        <v>2.4</v>
      </c>
    </row>
    <row r="28" spans="1:4" x14ac:dyDescent="0.2">
      <c r="B28" s="187" t="s">
        <v>719</v>
      </c>
      <c r="C28" s="180">
        <f>SUM(C10:C27)</f>
        <v>36166989.229999997</v>
      </c>
      <c r="D28" s="184">
        <f>ROUND(SUM(D10:D27),0)</f>
        <v>100</v>
      </c>
    </row>
    <row r="29" spans="1:4" x14ac:dyDescent="0.2">
      <c r="A29">
        <v>4000</v>
      </c>
      <c r="B29" t="s">
        <v>724</v>
      </c>
      <c r="C29" s="179">
        <f>ROUND('DOE25'!L255+'DOE25'!L336+'DOE25'!L374+'DOE25'!L375+'DOE25'!L376+'DOE25'!L377+'DOE25'!L378+'DOE25'!L379+'DOE25'!L380,0)</f>
        <v>50000</v>
      </c>
    </row>
    <row r="30" spans="1:4" x14ac:dyDescent="0.2">
      <c r="B30" s="187" t="s">
        <v>725</v>
      </c>
      <c r="C30" s="180">
        <f>SUM(C28:C29)</f>
        <v>36216989.229999997</v>
      </c>
    </row>
    <row r="31" spans="1:4" x14ac:dyDescent="0.2">
      <c r="B31" s="33"/>
      <c r="C31" s="180"/>
    </row>
    <row r="32" spans="1:4" x14ac:dyDescent="0.2">
      <c r="A32">
        <v>5100</v>
      </c>
      <c r="B32" s="33" t="s">
        <v>726</v>
      </c>
      <c r="C32" s="180">
        <f>ROUND('DOE25'!L260+'DOE25'!L341,0)</f>
        <v>1794505</v>
      </c>
    </row>
    <row r="34" spans="1:4" x14ac:dyDescent="0.2">
      <c r="A34" s="187" t="s">
        <v>94</v>
      </c>
      <c r="B34" s="188" t="s">
        <v>1604</v>
      </c>
      <c r="C34" s="181" t="s">
        <v>720</v>
      </c>
      <c r="D34" s="181" t="s">
        <v>721</v>
      </c>
    </row>
    <row r="35" spans="1:4" x14ac:dyDescent="0.2">
      <c r="A35">
        <v>1100</v>
      </c>
      <c r="B35" s="185" t="s">
        <v>727</v>
      </c>
      <c r="C35" s="179">
        <f>ROUND('DOE25'!F60+'DOE25'!G60+'DOE25'!H60+'DOE25'!I60+'DOE25'!J60,0)</f>
        <v>19887174</v>
      </c>
      <c r="D35" s="182">
        <f t="shared" ref="D35:D40" si="1">ROUND((C35/$C$41)*100,1)</f>
        <v>51.9</v>
      </c>
    </row>
    <row r="36" spans="1:4" x14ac:dyDescent="0.2">
      <c r="B36" s="185" t="s">
        <v>739</v>
      </c>
      <c r="C36" s="179">
        <f>SUM('DOE25'!F112:J112)-SUM('DOE25'!G97:G110)+('DOE25'!F174+'DOE25'!F175+'DOE25'!I174+'DOE25'!I175)-C35</f>
        <v>1114943.7699999958</v>
      </c>
      <c r="D36" s="182">
        <f t="shared" si="1"/>
        <v>2.9</v>
      </c>
    </row>
    <row r="37" spans="1:4" x14ac:dyDescent="0.2">
      <c r="A37" s="183" t="s">
        <v>835</v>
      </c>
      <c r="B37" s="185" t="s">
        <v>728</v>
      </c>
      <c r="C37" s="179">
        <f>ROUND('DOE25'!F117+'DOE25'!F118,0)</f>
        <v>10247785</v>
      </c>
      <c r="D37" s="182">
        <f t="shared" si="1"/>
        <v>26.7</v>
      </c>
    </row>
    <row r="38" spans="1:4" x14ac:dyDescent="0.2">
      <c r="A38" s="183" t="s">
        <v>734</v>
      </c>
      <c r="B38" s="185" t="s">
        <v>729</v>
      </c>
      <c r="C38" s="179">
        <f>ROUND(SUM('DOE25'!F140:J140)-SUM('DOE25'!F117:F119),0)</f>
        <v>2294274</v>
      </c>
      <c r="D38" s="182">
        <f t="shared" si="1"/>
        <v>6</v>
      </c>
    </row>
    <row r="39" spans="1:4" x14ac:dyDescent="0.2">
      <c r="A39">
        <v>4000</v>
      </c>
      <c r="B39" s="185" t="s">
        <v>730</v>
      </c>
      <c r="C39" s="179">
        <f>ROUND('DOE25'!F169+'DOE25'!G169+'DOE25'!H169+'DOE25'!I169,0)</f>
        <v>4792319</v>
      </c>
      <c r="D39" s="182">
        <f t="shared" si="1"/>
        <v>12.5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38336495.769999996</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5" sqref="C25:M25"/>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Laconia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2019-10-23T16:27:20Z</cp:lastPrinted>
  <dcterms:created xsi:type="dcterms:W3CDTF">1997-12-04T19:04:30Z</dcterms:created>
  <dcterms:modified xsi:type="dcterms:W3CDTF">2019-11-22T15:56:57Z</dcterms:modified>
</cp:coreProperties>
</file>