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Final\"/>
    </mc:Choice>
  </mc:AlternateContent>
  <workbookProtection workbookPassword="930A" lockStructure="1"/>
  <bookViews>
    <workbookView xWindow="0" yWindow="0" windowWidth="25200" windowHeight="11850" tabRatio="773" activeTab="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H468" i="1" l="1"/>
  <c r="H472" i="1"/>
  <c r="F472" i="1"/>
  <c r="F197" i="1"/>
  <c r="H154" i="1"/>
  <c r="H13" i="1"/>
  <c r="H22" i="1"/>
  <c r="F50" i="1"/>
  <c r="I521" i="1" l="1"/>
  <c r="F5" i="13" l="1"/>
  <c r="F15" i="13"/>
  <c r="F29" i="13" l="1"/>
  <c r="C11" i="12"/>
  <c r="C12" i="12"/>
  <c r="C37" i="12"/>
  <c r="B38" i="12"/>
  <c r="H208" i="1"/>
  <c r="H204" i="1" l="1"/>
  <c r="F204" i="1"/>
  <c r="F96" i="1" l="1"/>
  <c r="F29" i="1"/>
  <c r="B8" i="14" l="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E13" i="13" s="1"/>
  <c r="C13" i="13" s="1"/>
  <c r="L224" i="1"/>
  <c r="L242" i="1"/>
  <c r="G16" i="13"/>
  <c r="H16" i="13"/>
  <c r="L209" i="1"/>
  <c r="L227" i="1"/>
  <c r="L245" i="1"/>
  <c r="G5" i="13"/>
  <c r="H5" i="13"/>
  <c r="L197" i="1"/>
  <c r="L198" i="1"/>
  <c r="L199" i="1"/>
  <c r="L200" i="1"/>
  <c r="L215" i="1"/>
  <c r="L216" i="1"/>
  <c r="L217" i="1"/>
  <c r="L218" i="1"/>
  <c r="L233" i="1"/>
  <c r="L234" i="1"/>
  <c r="L235" i="1"/>
  <c r="L236" i="1"/>
  <c r="G6" i="13"/>
  <c r="H6" i="13"/>
  <c r="L202" i="1"/>
  <c r="L220" i="1"/>
  <c r="L238" i="1"/>
  <c r="G7" i="13"/>
  <c r="H7" i="13"/>
  <c r="L203" i="1"/>
  <c r="L221" i="1"/>
  <c r="L239" i="1"/>
  <c r="G12" i="13"/>
  <c r="H12" i="13"/>
  <c r="L205" i="1"/>
  <c r="L223" i="1"/>
  <c r="L241" i="1"/>
  <c r="G14" i="13"/>
  <c r="H14" i="13"/>
  <c r="L207" i="1"/>
  <c r="L225" i="1"/>
  <c r="L243" i="1"/>
  <c r="G15" i="13"/>
  <c r="H15" i="13"/>
  <c r="L208" i="1"/>
  <c r="L226" i="1"/>
  <c r="L244" i="1"/>
  <c r="G651" i="1" s="1"/>
  <c r="G17" i="13"/>
  <c r="H17" i="13"/>
  <c r="L251" i="1"/>
  <c r="G18" i="13"/>
  <c r="H18" i="13"/>
  <c r="L252" i="1"/>
  <c r="D18" i="13" s="1"/>
  <c r="C18" i="13" s="1"/>
  <c r="G19" i="13"/>
  <c r="H19" i="13"/>
  <c r="L253" i="1"/>
  <c r="G29" i="13"/>
  <c r="H29" i="13"/>
  <c r="L358" i="1"/>
  <c r="L359" i="1"/>
  <c r="L360" i="1"/>
  <c r="G661" i="1" s="1"/>
  <c r="I367" i="1"/>
  <c r="J290" i="1"/>
  <c r="J309" i="1"/>
  <c r="J328" i="1"/>
  <c r="K290" i="1"/>
  <c r="K309" i="1"/>
  <c r="K328" i="1"/>
  <c r="L276" i="1"/>
  <c r="L277" i="1"/>
  <c r="L278" i="1"/>
  <c r="L279" i="1"/>
  <c r="L281" i="1"/>
  <c r="L282" i="1"/>
  <c r="L283" i="1"/>
  <c r="L284" i="1"/>
  <c r="L285" i="1"/>
  <c r="L286" i="1"/>
  <c r="L287" i="1"/>
  <c r="L288" i="1"/>
  <c r="L295" i="1"/>
  <c r="L296" i="1"/>
  <c r="L297" i="1"/>
  <c r="L298" i="1"/>
  <c r="L300" i="1"/>
  <c r="L301" i="1"/>
  <c r="L302" i="1"/>
  <c r="L303" i="1"/>
  <c r="L304" i="1"/>
  <c r="L305" i="1"/>
  <c r="L306" i="1"/>
  <c r="L307" i="1"/>
  <c r="L314" i="1"/>
  <c r="L315" i="1"/>
  <c r="L316" i="1"/>
  <c r="L317" i="1"/>
  <c r="L319" i="1"/>
  <c r="L320" i="1"/>
  <c r="L321" i="1"/>
  <c r="L322" i="1"/>
  <c r="L323" i="1"/>
  <c r="L324" i="1"/>
  <c r="L325" i="1"/>
  <c r="L326" i="1"/>
  <c r="L333" i="1"/>
  <c r="E114" i="2" s="1"/>
  <c r="L334" i="1"/>
  <c r="L335" i="1"/>
  <c r="L260" i="1"/>
  <c r="L261" i="1"/>
  <c r="C132" i="2" s="1"/>
  <c r="L341" i="1"/>
  <c r="L342" i="1"/>
  <c r="L255" i="1"/>
  <c r="L336" i="1"/>
  <c r="E130" i="2" s="1"/>
  <c r="C11" i="13"/>
  <c r="C10" i="13"/>
  <c r="C9" i="13"/>
  <c r="L361" i="1"/>
  <c r="L362" i="1" s="1"/>
  <c r="B4" i="12"/>
  <c r="B36" i="12"/>
  <c r="C36" i="12"/>
  <c r="B40" i="12"/>
  <c r="C40" i="12"/>
  <c r="B27" i="12"/>
  <c r="C27" i="12"/>
  <c r="B31" i="12"/>
  <c r="A31" i="12" s="1"/>
  <c r="C31" i="12"/>
  <c r="B9" i="12"/>
  <c r="B13" i="12"/>
  <c r="C9" i="12"/>
  <c r="C13" i="12"/>
  <c r="B18" i="12"/>
  <c r="B22" i="12"/>
  <c r="C18" i="12"/>
  <c r="C22" i="12"/>
  <c r="B1" i="12"/>
  <c r="L387" i="1"/>
  <c r="L388" i="1"/>
  <c r="L389" i="1"/>
  <c r="L390" i="1"/>
  <c r="L391" i="1"/>
  <c r="L392" i="1"/>
  <c r="L395" i="1"/>
  <c r="L396" i="1"/>
  <c r="L397" i="1"/>
  <c r="L398" i="1"/>
  <c r="L401" i="1" s="1"/>
  <c r="C139" i="2" s="1"/>
  <c r="L399" i="1"/>
  <c r="L400" i="1"/>
  <c r="L403" i="1"/>
  <c r="L404" i="1"/>
  <c r="L405" i="1"/>
  <c r="L406" i="1"/>
  <c r="L266" i="1"/>
  <c r="J60" i="1"/>
  <c r="G56" i="2" s="1"/>
  <c r="G59" i="2"/>
  <c r="G61" i="2"/>
  <c r="F2" i="11"/>
  <c r="L613" i="1"/>
  <c r="H663" i="1" s="1"/>
  <c r="L612" i="1"/>
  <c r="G663" i="1" s="1"/>
  <c r="L611" i="1"/>
  <c r="F663" i="1" s="1"/>
  <c r="C40" i="10"/>
  <c r="F60" i="1"/>
  <c r="G60" i="1"/>
  <c r="H60" i="1"/>
  <c r="I60" i="1"/>
  <c r="F79" i="1"/>
  <c r="C57" i="2" s="1"/>
  <c r="F94" i="1"/>
  <c r="F111" i="1"/>
  <c r="G111" i="1"/>
  <c r="G112" i="1" s="1"/>
  <c r="H79" i="1"/>
  <c r="E57" i="2" s="1"/>
  <c r="E62" i="2" s="1"/>
  <c r="E63" i="2" s="1"/>
  <c r="H94" i="1"/>
  <c r="H111" i="1"/>
  <c r="I111" i="1"/>
  <c r="I112" i="1" s="1"/>
  <c r="J111" i="1"/>
  <c r="J112" i="1" s="1"/>
  <c r="F121" i="1"/>
  <c r="F136" i="1"/>
  <c r="G121" i="1"/>
  <c r="G136" i="1"/>
  <c r="H121" i="1"/>
  <c r="H136" i="1"/>
  <c r="I121" i="1"/>
  <c r="I136" i="1"/>
  <c r="J121" i="1"/>
  <c r="J136" i="1"/>
  <c r="F147" i="1"/>
  <c r="F162" i="1"/>
  <c r="F169" i="1" s="1"/>
  <c r="G147" i="1"/>
  <c r="G162" i="1"/>
  <c r="H147" i="1"/>
  <c r="H162" i="1"/>
  <c r="H169" i="1" s="1"/>
  <c r="I147" i="1"/>
  <c r="I162" i="1"/>
  <c r="C11" i="10"/>
  <c r="C12" i="10"/>
  <c r="L250" i="1"/>
  <c r="C113" i="2" s="1"/>
  <c r="L332" i="1"/>
  <c r="L254" i="1"/>
  <c r="L268" i="1"/>
  <c r="C26" i="10" s="1"/>
  <c r="L269" i="1"/>
  <c r="L349" i="1"/>
  <c r="L350" i="1"/>
  <c r="I665" i="1"/>
  <c r="I670" i="1"/>
  <c r="H662" i="1"/>
  <c r="I669" i="1"/>
  <c r="C42" i="10"/>
  <c r="C32" i="10"/>
  <c r="L374" i="1"/>
  <c r="L375" i="1"/>
  <c r="L376" i="1"/>
  <c r="L377" i="1"/>
  <c r="L378" i="1"/>
  <c r="L379" i="1"/>
  <c r="L380" i="1"/>
  <c r="B2" i="10"/>
  <c r="L344" i="1"/>
  <c r="L345" i="1"/>
  <c r="L346" i="1"/>
  <c r="L347" i="1"/>
  <c r="K351" i="1"/>
  <c r="L521" i="1"/>
  <c r="F549" i="1" s="1"/>
  <c r="L522" i="1"/>
  <c r="F550" i="1" s="1"/>
  <c r="L523" i="1"/>
  <c r="F551" i="1" s="1"/>
  <c r="L526" i="1"/>
  <c r="G549" i="1" s="1"/>
  <c r="L527" i="1"/>
  <c r="G550" i="1" s="1"/>
  <c r="L528" i="1"/>
  <c r="G551" i="1" s="1"/>
  <c r="G552" i="1" s="1"/>
  <c r="L531" i="1"/>
  <c r="H549" i="1" s="1"/>
  <c r="L532" i="1"/>
  <c r="H550" i="1" s="1"/>
  <c r="L533" i="1"/>
  <c r="H551" i="1" s="1"/>
  <c r="L536" i="1"/>
  <c r="I549" i="1" s="1"/>
  <c r="L537" i="1"/>
  <c r="I550" i="1" s="1"/>
  <c r="L538" i="1"/>
  <c r="I551" i="1" s="1"/>
  <c r="L541" i="1"/>
  <c r="J549" i="1" s="1"/>
  <c r="L542" i="1"/>
  <c r="J550" i="1" s="1"/>
  <c r="L543" i="1"/>
  <c r="J551" i="1" s="1"/>
  <c r="E132" i="2"/>
  <c r="E131" i="2"/>
  <c r="K270" i="1"/>
  <c r="J270" i="1"/>
  <c r="I270" i="1"/>
  <c r="H270" i="1"/>
  <c r="G270" i="1"/>
  <c r="L270" i="1" s="1"/>
  <c r="F270" i="1"/>
  <c r="C131" i="2"/>
  <c r="A1" i="2"/>
  <c r="A2" i="2"/>
  <c r="C8" i="2"/>
  <c r="D8" i="2"/>
  <c r="E8" i="2"/>
  <c r="F8" i="2"/>
  <c r="F18" i="2" s="1"/>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D18" i="2" s="1"/>
  <c r="E16" i="2"/>
  <c r="F16" i="2"/>
  <c r="I444" i="1"/>
  <c r="J17" i="1" s="1"/>
  <c r="C17" i="2"/>
  <c r="D17" i="2"/>
  <c r="E17" i="2"/>
  <c r="F17" i="2"/>
  <c r="I445" i="1"/>
  <c r="J18" i="1" s="1"/>
  <c r="G17" i="2" s="1"/>
  <c r="C21" i="2"/>
  <c r="D21" i="2"/>
  <c r="E21" i="2"/>
  <c r="E31" i="2" s="1"/>
  <c r="F21" i="2"/>
  <c r="I448" i="1"/>
  <c r="J22" i="1" s="1"/>
  <c r="C22" i="2"/>
  <c r="D22" i="2"/>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G36" i="2" s="1"/>
  <c r="I459" i="1"/>
  <c r="J48" i="1" s="1"/>
  <c r="G47" i="2" s="1"/>
  <c r="C49" i="2"/>
  <c r="D56" i="2"/>
  <c r="E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E78" i="2" s="1"/>
  <c r="F76" i="2"/>
  <c r="C77" i="2"/>
  <c r="D77" i="2"/>
  <c r="D78" i="2" s="1"/>
  <c r="E77" i="2"/>
  <c r="F77" i="2"/>
  <c r="G77" i="2"/>
  <c r="G78" i="2" s="1"/>
  <c r="C79" i="2"/>
  <c r="D79" i="2"/>
  <c r="E79" i="2"/>
  <c r="C80" i="2"/>
  <c r="E80" i="2"/>
  <c r="C85" i="2"/>
  <c r="C91" i="2" s="1"/>
  <c r="D85" i="2"/>
  <c r="E85" i="2"/>
  <c r="F85" i="2"/>
  <c r="C87" i="2"/>
  <c r="E87" i="2"/>
  <c r="F87" i="2"/>
  <c r="C88" i="2"/>
  <c r="D88" i="2"/>
  <c r="D91" i="2" s="1"/>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E113" i="2"/>
  <c r="C114" i="2"/>
  <c r="D115" i="2"/>
  <c r="F115" i="2"/>
  <c r="G115" i="2"/>
  <c r="C119" i="2"/>
  <c r="E119" i="2"/>
  <c r="E121" i="2"/>
  <c r="E123" i="2"/>
  <c r="E124" i="2"/>
  <c r="C125" i="2"/>
  <c r="E125" i="2"/>
  <c r="F128" i="2"/>
  <c r="G128" i="2"/>
  <c r="C130" i="2"/>
  <c r="D134" i="2"/>
  <c r="D144" i="2" s="1"/>
  <c r="E134" i="2"/>
  <c r="F134" i="2"/>
  <c r="K419" i="1"/>
  <c r="K427" i="1"/>
  <c r="K433" i="1"/>
  <c r="L263" i="1"/>
  <c r="C135" i="2" s="1"/>
  <c r="E135" i="2"/>
  <c r="L264" i="1"/>
  <c r="C136" i="2" s="1"/>
  <c r="L265" i="1"/>
  <c r="C137" i="2" s="1"/>
  <c r="E137" i="2"/>
  <c r="E142" i="2"/>
  <c r="C143"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H19" i="1"/>
  <c r="G619" i="1" s="1"/>
  <c r="I19" i="1"/>
  <c r="F32" i="1"/>
  <c r="F52" i="1" s="1"/>
  <c r="H617" i="1" s="1"/>
  <c r="G32" i="1"/>
  <c r="G52" i="1" s="1"/>
  <c r="H618" i="1" s="1"/>
  <c r="H32" i="1"/>
  <c r="I32" i="1"/>
  <c r="H51" i="1"/>
  <c r="I51" i="1"/>
  <c r="F177" i="1"/>
  <c r="F192" i="1" s="1"/>
  <c r="I177" i="1"/>
  <c r="F183" i="1"/>
  <c r="G183" i="1"/>
  <c r="H183" i="1"/>
  <c r="I183" i="1"/>
  <c r="J183" i="1"/>
  <c r="J192" i="1" s="1"/>
  <c r="F188" i="1"/>
  <c r="G188" i="1"/>
  <c r="H188" i="1"/>
  <c r="I188" i="1"/>
  <c r="F211" i="1"/>
  <c r="G211" i="1"/>
  <c r="H211" i="1"/>
  <c r="I211" i="1"/>
  <c r="J211" i="1"/>
  <c r="K211" i="1"/>
  <c r="F229" i="1"/>
  <c r="G229" i="1"/>
  <c r="H229" i="1"/>
  <c r="I229" i="1"/>
  <c r="J229" i="1"/>
  <c r="K229" i="1"/>
  <c r="F247" i="1"/>
  <c r="G247" i="1"/>
  <c r="H247" i="1"/>
  <c r="I247" i="1"/>
  <c r="J247" i="1"/>
  <c r="K247" i="1"/>
  <c r="F256" i="1"/>
  <c r="G256" i="1"/>
  <c r="H256" i="1"/>
  <c r="I256" i="1"/>
  <c r="L256" i="1" s="1"/>
  <c r="J256" i="1"/>
  <c r="K256" i="1"/>
  <c r="F290" i="1"/>
  <c r="F338" i="1" s="1"/>
  <c r="F352" i="1" s="1"/>
  <c r="G290" i="1"/>
  <c r="H290" i="1"/>
  <c r="I290" i="1"/>
  <c r="F309" i="1"/>
  <c r="G309" i="1"/>
  <c r="H309" i="1"/>
  <c r="I309" i="1"/>
  <c r="F328" i="1"/>
  <c r="G328" i="1"/>
  <c r="H328" i="1"/>
  <c r="I328" i="1"/>
  <c r="F337" i="1"/>
  <c r="G337" i="1"/>
  <c r="H337" i="1"/>
  <c r="I337" i="1"/>
  <c r="J337" i="1"/>
  <c r="K337" i="1"/>
  <c r="K338" i="1" s="1"/>
  <c r="K352" i="1" s="1"/>
  <c r="F362" i="1"/>
  <c r="G362" i="1"/>
  <c r="H362" i="1"/>
  <c r="I362" i="1"/>
  <c r="J362" i="1"/>
  <c r="K362" i="1"/>
  <c r="I368" i="1"/>
  <c r="F369" i="1"/>
  <c r="G369" i="1"/>
  <c r="H369" i="1"/>
  <c r="I369" i="1"/>
  <c r="H634" i="1" s="1"/>
  <c r="L381" i="1"/>
  <c r="F382" i="1"/>
  <c r="G382" i="1"/>
  <c r="H382" i="1"/>
  <c r="I382" i="1"/>
  <c r="J382" i="1"/>
  <c r="K382" i="1"/>
  <c r="F393" i="1"/>
  <c r="G393" i="1"/>
  <c r="H393" i="1"/>
  <c r="I393" i="1"/>
  <c r="F401" i="1"/>
  <c r="G401" i="1"/>
  <c r="H401" i="1"/>
  <c r="I401" i="1"/>
  <c r="F407" i="1"/>
  <c r="G407" i="1"/>
  <c r="H407" i="1"/>
  <c r="I407" i="1"/>
  <c r="F408" i="1"/>
  <c r="H643" i="1" s="1"/>
  <c r="G408" i="1"/>
  <c r="I408" i="1"/>
  <c r="L413" i="1"/>
  <c r="L414" i="1"/>
  <c r="L415" i="1"/>
  <c r="L416" i="1"/>
  <c r="L417" i="1"/>
  <c r="L418" i="1"/>
  <c r="F419" i="1"/>
  <c r="G419" i="1"/>
  <c r="H419" i="1"/>
  <c r="I419" i="1"/>
  <c r="J419" i="1"/>
  <c r="L421" i="1"/>
  <c r="L422" i="1"/>
  <c r="L423" i="1"/>
  <c r="L424" i="1"/>
  <c r="L425" i="1"/>
  <c r="L426" i="1"/>
  <c r="F427" i="1"/>
  <c r="G427" i="1"/>
  <c r="H427" i="1"/>
  <c r="I427" i="1"/>
  <c r="J427" i="1"/>
  <c r="L429" i="1"/>
  <c r="L430" i="1"/>
  <c r="L431" i="1"/>
  <c r="L432" i="1"/>
  <c r="F433" i="1"/>
  <c r="G433" i="1"/>
  <c r="H433" i="1"/>
  <c r="I433" i="1"/>
  <c r="J433" i="1"/>
  <c r="F446" i="1"/>
  <c r="G639" i="1" s="1"/>
  <c r="G446" i="1"/>
  <c r="H446" i="1"/>
  <c r="G641" i="1" s="1"/>
  <c r="J641" i="1" s="1"/>
  <c r="F452" i="1"/>
  <c r="G452" i="1"/>
  <c r="G461" i="1" s="1"/>
  <c r="H640" i="1" s="1"/>
  <c r="H452" i="1"/>
  <c r="F460" i="1"/>
  <c r="F461" i="1" s="1"/>
  <c r="H639" i="1" s="1"/>
  <c r="G460" i="1"/>
  <c r="H460" i="1"/>
  <c r="H461" i="1"/>
  <c r="F470" i="1"/>
  <c r="G470" i="1"/>
  <c r="G476" i="1" s="1"/>
  <c r="H623" i="1" s="1"/>
  <c r="H470" i="1"/>
  <c r="I470" i="1"/>
  <c r="J470" i="1"/>
  <c r="J476" i="1" s="1"/>
  <c r="H626" i="1" s="1"/>
  <c r="F474" i="1"/>
  <c r="G474" i="1"/>
  <c r="H474" i="1"/>
  <c r="I474" i="1"/>
  <c r="J474" i="1"/>
  <c r="K495" i="1"/>
  <c r="K496" i="1"/>
  <c r="K497" i="1"/>
  <c r="K498" i="1"/>
  <c r="K499" i="1"/>
  <c r="K501" i="1"/>
  <c r="K502" i="1"/>
  <c r="F517" i="1"/>
  <c r="G517" i="1"/>
  <c r="H517" i="1"/>
  <c r="I517" i="1"/>
  <c r="F524" i="1"/>
  <c r="G524" i="1"/>
  <c r="H524" i="1"/>
  <c r="I524" i="1"/>
  <c r="I545" i="1" s="1"/>
  <c r="J524" i="1"/>
  <c r="K524" i="1"/>
  <c r="F529" i="1"/>
  <c r="G529" i="1"/>
  <c r="G545" i="1" s="1"/>
  <c r="H529" i="1"/>
  <c r="I529" i="1"/>
  <c r="J529" i="1"/>
  <c r="K529" i="1"/>
  <c r="F534" i="1"/>
  <c r="G534" i="1"/>
  <c r="H534" i="1"/>
  <c r="I534" i="1"/>
  <c r="J534" i="1"/>
  <c r="K534" i="1"/>
  <c r="F539" i="1"/>
  <c r="G539" i="1"/>
  <c r="H539" i="1"/>
  <c r="I539" i="1"/>
  <c r="J539" i="1"/>
  <c r="K539" i="1"/>
  <c r="F544" i="1"/>
  <c r="G544" i="1"/>
  <c r="H544" i="1"/>
  <c r="I544" i="1"/>
  <c r="J544" i="1"/>
  <c r="K544" i="1"/>
  <c r="L557" i="1"/>
  <c r="L560" i="1" s="1"/>
  <c r="L558" i="1"/>
  <c r="L559" i="1"/>
  <c r="F560" i="1"/>
  <c r="F571" i="1" s="1"/>
  <c r="G560" i="1"/>
  <c r="H560" i="1"/>
  <c r="I560" i="1"/>
  <c r="J560" i="1"/>
  <c r="J571" i="1" s="1"/>
  <c r="K560" i="1"/>
  <c r="L562" i="1"/>
  <c r="L563" i="1"/>
  <c r="L564" i="1"/>
  <c r="F565" i="1"/>
  <c r="G565" i="1"/>
  <c r="H565" i="1"/>
  <c r="I565" i="1"/>
  <c r="J565" i="1"/>
  <c r="K565" i="1"/>
  <c r="L567" i="1"/>
  <c r="L568" i="1"/>
  <c r="L569" i="1"/>
  <c r="F570" i="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5" i="1" s="1"/>
  <c r="G648" i="1" s="1"/>
  <c r="K604" i="1"/>
  <c r="H605" i="1"/>
  <c r="I605" i="1"/>
  <c r="J605" i="1"/>
  <c r="F614" i="1"/>
  <c r="G614" i="1"/>
  <c r="H614" i="1"/>
  <c r="I614" i="1"/>
  <c r="J614" i="1"/>
  <c r="K614" i="1"/>
  <c r="G618" i="1"/>
  <c r="G620" i="1"/>
  <c r="G622" i="1"/>
  <c r="G623" i="1"/>
  <c r="G624" i="1"/>
  <c r="G625" i="1"/>
  <c r="H627" i="1"/>
  <c r="H628" i="1"/>
  <c r="H629" i="1"/>
  <c r="H630" i="1"/>
  <c r="H631" i="1"/>
  <c r="H632" i="1"/>
  <c r="H633" i="1"/>
  <c r="G634" i="1"/>
  <c r="H635" i="1"/>
  <c r="H636" i="1"/>
  <c r="H637" i="1"/>
  <c r="H638" i="1"/>
  <c r="G640" i="1"/>
  <c r="H641" i="1"/>
  <c r="G643" i="1"/>
  <c r="J643" i="1" s="1"/>
  <c r="G644" i="1"/>
  <c r="G645" i="1"/>
  <c r="H645" i="1"/>
  <c r="G652" i="1"/>
  <c r="H652" i="1"/>
  <c r="G653" i="1"/>
  <c r="H653" i="1"/>
  <c r="G654" i="1"/>
  <c r="H654" i="1"/>
  <c r="H655" i="1"/>
  <c r="J655" i="1" s="1"/>
  <c r="E103" i="2"/>
  <c r="G62" i="2"/>
  <c r="H112" i="1"/>
  <c r="L419" i="1"/>
  <c r="I169" i="1"/>
  <c r="H476" i="1"/>
  <c r="H624" i="1" s="1"/>
  <c r="J140" i="1"/>
  <c r="G22" i="2"/>
  <c r="H552" i="1"/>
  <c r="H140" i="1"/>
  <c r="H192" i="1"/>
  <c r="F112" i="1" l="1"/>
  <c r="E118" i="2"/>
  <c r="K571" i="1"/>
  <c r="H571" i="1"/>
  <c r="L565" i="1"/>
  <c r="K545" i="1"/>
  <c r="J257" i="1"/>
  <c r="F257" i="1"/>
  <c r="I52" i="1"/>
  <c r="H620" i="1" s="1"/>
  <c r="D81" i="2"/>
  <c r="C13" i="10"/>
  <c r="C110" i="2"/>
  <c r="K257" i="1"/>
  <c r="K271" i="1" s="1"/>
  <c r="L328" i="1"/>
  <c r="L309" i="1"/>
  <c r="E122" i="2"/>
  <c r="L247" i="1"/>
  <c r="L529" i="1"/>
  <c r="L433" i="1"/>
  <c r="L427" i="1"/>
  <c r="L434" i="1" s="1"/>
  <c r="G638" i="1" s="1"/>
  <c r="J638" i="1" s="1"/>
  <c r="G164" i="2"/>
  <c r="G161" i="2"/>
  <c r="G157" i="2"/>
  <c r="G156" i="2"/>
  <c r="G81" i="2"/>
  <c r="F78" i="2"/>
  <c r="F81" i="2" s="1"/>
  <c r="C70" i="2"/>
  <c r="E120" i="2"/>
  <c r="E128" i="2" s="1"/>
  <c r="F661" i="1"/>
  <c r="J651" i="1"/>
  <c r="C18" i="10"/>
  <c r="J634" i="1"/>
  <c r="J545" i="1"/>
  <c r="I476" i="1"/>
  <c r="H625" i="1" s="1"/>
  <c r="J625" i="1" s="1"/>
  <c r="G338" i="1"/>
  <c r="G352" i="1" s="1"/>
  <c r="J552" i="1"/>
  <c r="I552" i="1"/>
  <c r="L351" i="1"/>
  <c r="F130" i="2"/>
  <c r="F144" i="2" s="1"/>
  <c r="F145" i="2" s="1"/>
  <c r="G662" i="1"/>
  <c r="C112" i="2"/>
  <c r="H52" i="1"/>
  <c r="H619" i="1" s="1"/>
  <c r="I571" i="1"/>
  <c r="L570" i="1"/>
  <c r="L571" i="1" s="1"/>
  <c r="K549" i="1"/>
  <c r="H545" i="1"/>
  <c r="F552" i="1"/>
  <c r="A40" i="12"/>
  <c r="L614" i="1"/>
  <c r="G650" i="1"/>
  <c r="D15" i="13"/>
  <c r="C15" i="13" s="1"/>
  <c r="H257" i="1"/>
  <c r="H271" i="1" s="1"/>
  <c r="K598" i="1"/>
  <c r="G647" i="1" s="1"/>
  <c r="J640" i="1"/>
  <c r="H408" i="1"/>
  <c r="H644" i="1" s="1"/>
  <c r="J644" i="1" s="1"/>
  <c r="L393" i="1"/>
  <c r="C138" i="2" s="1"/>
  <c r="J645" i="1"/>
  <c r="J624" i="1"/>
  <c r="L290" i="1"/>
  <c r="E112" i="2"/>
  <c r="G192" i="1"/>
  <c r="D62" i="2"/>
  <c r="D63" i="2" s="1"/>
  <c r="D50" i="2"/>
  <c r="D51" i="2" s="1"/>
  <c r="J623" i="1"/>
  <c r="D31" i="2"/>
  <c r="F476" i="1"/>
  <c r="H622" i="1" s="1"/>
  <c r="J622" i="1" s="1"/>
  <c r="H647" i="1"/>
  <c r="J647" i="1" s="1"/>
  <c r="C20" i="10"/>
  <c r="C121" i="2"/>
  <c r="C120" i="2"/>
  <c r="I257" i="1"/>
  <c r="I271" i="1" s="1"/>
  <c r="D6" i="13"/>
  <c r="C6" i="13" s="1"/>
  <c r="L211" i="1"/>
  <c r="C78" i="2"/>
  <c r="C81" i="2" s="1"/>
  <c r="C18" i="2"/>
  <c r="J617" i="1"/>
  <c r="J639" i="1"/>
  <c r="K551" i="1"/>
  <c r="I25" i="13"/>
  <c r="K550" i="1"/>
  <c r="J271" i="1"/>
  <c r="L534" i="1"/>
  <c r="K500" i="1"/>
  <c r="I460" i="1"/>
  <c r="I452" i="1"/>
  <c r="I446" i="1"/>
  <c r="G642" i="1" s="1"/>
  <c r="H338" i="1"/>
  <c r="H352" i="1" s="1"/>
  <c r="F271" i="1"/>
  <c r="C123" i="2"/>
  <c r="E109" i="2"/>
  <c r="C56" i="2"/>
  <c r="F662" i="1"/>
  <c r="I662" i="1" s="1"/>
  <c r="C25" i="10"/>
  <c r="C21" i="10"/>
  <c r="C17" i="10"/>
  <c r="D19" i="13"/>
  <c r="C19" i="13" s="1"/>
  <c r="D14" i="13"/>
  <c r="C14" i="13" s="1"/>
  <c r="C62" i="2"/>
  <c r="G22" i="13"/>
  <c r="C22" i="13" s="1"/>
  <c r="L539" i="1"/>
  <c r="K503" i="1"/>
  <c r="L382" i="1"/>
  <c r="G636" i="1" s="1"/>
  <c r="J636" i="1" s="1"/>
  <c r="G257" i="1"/>
  <c r="G271" i="1" s="1"/>
  <c r="C142" i="2"/>
  <c r="C111" i="2"/>
  <c r="H661" i="1"/>
  <c r="I661" i="1" s="1"/>
  <c r="C15" i="10"/>
  <c r="A13" i="12"/>
  <c r="D29" i="13"/>
  <c r="C29" i="13" s="1"/>
  <c r="D12" i="13"/>
  <c r="C12" i="13" s="1"/>
  <c r="D5" i="13"/>
  <c r="C5" i="13" s="1"/>
  <c r="E8" i="13"/>
  <c r="C8" i="13" s="1"/>
  <c r="C35" i="10"/>
  <c r="C29" i="10"/>
  <c r="E81" i="2"/>
  <c r="E104" i="2" s="1"/>
  <c r="G649" i="1"/>
  <c r="J649" i="1" s="1"/>
  <c r="L544" i="1"/>
  <c r="L524" i="1"/>
  <c r="J338" i="1"/>
  <c r="J352" i="1" s="1"/>
  <c r="D127" i="2"/>
  <c r="D128" i="2" s="1"/>
  <c r="D145" i="2" s="1"/>
  <c r="C124" i="2"/>
  <c r="C122" i="2"/>
  <c r="C118" i="2"/>
  <c r="C19" i="10"/>
  <c r="C16" i="10"/>
  <c r="D17" i="13"/>
  <c r="C17" i="13" s="1"/>
  <c r="D7" i="13"/>
  <c r="C7" i="13" s="1"/>
  <c r="E16" i="13"/>
  <c r="H660" i="1"/>
  <c r="H664" i="1" s="1"/>
  <c r="H667" i="1" s="1"/>
  <c r="G36" i="14"/>
  <c r="H36" i="14" s="1"/>
  <c r="I36" i="14" s="1"/>
  <c r="C10" i="10"/>
  <c r="C109" i="2"/>
  <c r="L229" i="1"/>
  <c r="G24" i="14" s="1"/>
  <c r="C16" i="13"/>
  <c r="L337" i="1"/>
  <c r="L338" i="1" s="1"/>
  <c r="L352" i="1" s="1"/>
  <c r="G633" i="1" s="1"/>
  <c r="J633" i="1" s="1"/>
  <c r="F62" i="2"/>
  <c r="F63" i="2" s="1"/>
  <c r="C23" i="10"/>
  <c r="G163" i="2"/>
  <c r="G162" i="2"/>
  <c r="G160" i="2"/>
  <c r="G159" i="2"/>
  <c r="G158" i="2"/>
  <c r="G103" i="2"/>
  <c r="F103" i="2"/>
  <c r="C103" i="2"/>
  <c r="F91" i="2"/>
  <c r="F104" i="2" s="1"/>
  <c r="E50" i="2"/>
  <c r="E51" i="2" s="1"/>
  <c r="C50" i="2"/>
  <c r="F31" i="2"/>
  <c r="C31" i="2"/>
  <c r="E18" i="2"/>
  <c r="E144" i="2"/>
  <c r="F50" i="2"/>
  <c r="F51" i="2" s="1"/>
  <c r="C24" i="10"/>
  <c r="H31" i="13"/>
  <c r="H33" i="13" s="1"/>
  <c r="I338" i="1"/>
  <c r="I352" i="1" s="1"/>
  <c r="J650" i="1"/>
  <c r="L407" i="1"/>
  <c r="C140" i="2" s="1"/>
  <c r="I192" i="1"/>
  <c r="E91" i="2"/>
  <c r="J654" i="1"/>
  <c r="J653" i="1"/>
  <c r="G21" i="2"/>
  <c r="G31" i="2" s="1"/>
  <c r="J32" i="1"/>
  <c r="J434" i="1"/>
  <c r="F434" i="1"/>
  <c r="K434" i="1"/>
  <c r="G134" i="2" s="1"/>
  <c r="G144" i="2" s="1"/>
  <c r="G145" i="2" s="1"/>
  <c r="H672" i="1"/>
  <c r="C6" i="10" s="1"/>
  <c r="G31" i="13"/>
  <c r="G33" i="13" s="1"/>
  <c r="J193" i="1"/>
  <c r="G646" i="1" s="1"/>
  <c r="H193" i="1"/>
  <c r="G629" i="1" s="1"/>
  <c r="J629" i="1" s="1"/>
  <c r="G169" i="1"/>
  <c r="C39" i="10" s="1"/>
  <c r="G140" i="1"/>
  <c r="F140" i="1"/>
  <c r="F193" i="1" s="1"/>
  <c r="G627" i="1" s="1"/>
  <c r="J627" i="1" s="1"/>
  <c r="C36" i="10"/>
  <c r="G63" i="2"/>
  <c r="J618" i="1"/>
  <c r="G42" i="2"/>
  <c r="J51" i="1"/>
  <c r="G16" i="2"/>
  <c r="G18" i="2" s="1"/>
  <c r="J19" i="1"/>
  <c r="G621" i="1" s="1"/>
  <c r="F545" i="1"/>
  <c r="H434" i="1"/>
  <c r="J620" i="1"/>
  <c r="J619" i="1"/>
  <c r="D103" i="2"/>
  <c r="D104" i="2" s="1"/>
  <c r="I140" i="1"/>
  <c r="I193" i="1" s="1"/>
  <c r="G630" i="1" s="1"/>
  <c r="J630" i="1" s="1"/>
  <c r="A22" i="12"/>
  <c r="G50" i="2"/>
  <c r="G51" i="2" s="1"/>
  <c r="J652" i="1"/>
  <c r="G571" i="1"/>
  <c r="I434" i="1"/>
  <c r="G434" i="1"/>
  <c r="I663" i="1"/>
  <c r="C27" i="10"/>
  <c r="G635" i="1"/>
  <c r="J635" i="1" s="1"/>
  <c r="L408" i="1" l="1"/>
  <c r="G637" i="1" s="1"/>
  <c r="J637" i="1" s="1"/>
  <c r="L545" i="1"/>
  <c r="H648" i="1"/>
  <c r="J648" i="1" s="1"/>
  <c r="C115" i="2"/>
  <c r="H646" i="1"/>
  <c r="C141" i="2"/>
  <c r="C144" i="2" s="1"/>
  <c r="G104" i="2"/>
  <c r="E115" i="2"/>
  <c r="E145" i="2" s="1"/>
  <c r="F660" i="1"/>
  <c r="F664" i="1" s="1"/>
  <c r="F667" i="1" s="1"/>
  <c r="C128" i="2"/>
  <c r="G4" i="14"/>
  <c r="H4" i="14" s="1"/>
  <c r="I4" i="14" s="1"/>
  <c r="L257" i="1"/>
  <c r="L271" i="1" s="1"/>
  <c r="G632" i="1" s="1"/>
  <c r="J632" i="1" s="1"/>
  <c r="C63" i="2"/>
  <c r="C104" i="2" s="1"/>
  <c r="E33" i="13"/>
  <c r="D35" i="13" s="1"/>
  <c r="D31" i="13"/>
  <c r="C31" i="13" s="1"/>
  <c r="I461" i="1"/>
  <c r="H642" i="1" s="1"/>
  <c r="J642" i="1" s="1"/>
  <c r="G660" i="1"/>
  <c r="G664" i="1" s="1"/>
  <c r="G672" i="1" s="1"/>
  <c r="C5" i="10" s="1"/>
  <c r="C25" i="13"/>
  <c r="I33" i="13"/>
  <c r="K552" i="1"/>
  <c r="C28" i="10"/>
  <c r="D23" i="10" s="1"/>
  <c r="H24" i="14"/>
  <c r="I24" i="14" s="1"/>
  <c r="G667" i="1"/>
  <c r="C51" i="2"/>
  <c r="G631" i="1"/>
  <c r="J631" i="1" s="1"/>
  <c r="J646" i="1"/>
  <c r="G193" i="1"/>
  <c r="G628" i="1" s="1"/>
  <c r="J628" i="1" s="1"/>
  <c r="G626" i="1"/>
  <c r="J626" i="1" s="1"/>
  <c r="J52" i="1"/>
  <c r="H621" i="1" s="1"/>
  <c r="J621" i="1" s="1"/>
  <c r="C38" i="10"/>
  <c r="C145" i="2" l="1"/>
  <c r="I660" i="1"/>
  <c r="I664" i="1" s="1"/>
  <c r="I672" i="1" s="1"/>
  <c r="C7" i="10" s="1"/>
  <c r="F672" i="1"/>
  <c r="C4" i="10" s="1"/>
  <c r="D25" i="10"/>
  <c r="D22" i="10"/>
  <c r="D18" i="10"/>
  <c r="D27" i="10"/>
  <c r="D15" i="10"/>
  <c r="D21" i="10"/>
  <c r="D24" i="10"/>
  <c r="D20" i="10"/>
  <c r="D11" i="10"/>
  <c r="D12" i="10"/>
  <c r="D13" i="10"/>
  <c r="D17" i="10"/>
  <c r="D19" i="10"/>
  <c r="D10" i="10"/>
  <c r="D26" i="10"/>
  <c r="C30" i="10"/>
  <c r="D16" i="10"/>
  <c r="D33" i="13"/>
  <c r="D36" i="13" s="1"/>
  <c r="I667" i="1"/>
  <c r="H656" i="1"/>
  <c r="C41" i="10"/>
  <c r="D38" i="10" s="1"/>
  <c r="D28" i="10" l="1"/>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<sst xmlns="http://schemas.openxmlformats.org/spreadsheetml/2006/main" count="5508" uniqueCount="1613">
  <si>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</si>
  <si>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</si>
  <si>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</si>
  <si>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</si>
  <si>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</si>
  <si>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</si>
  <si>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</si>
  <si>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</si>
  <si>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</si>
  <si>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</si>
  <si>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</si>
  <si>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</si>
  <si>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</si>
  <si>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</si>
  <si>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</si>
  <si>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</si>
  <si>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</si>
  <si>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</si>
  <si>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</si>
  <si>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</si>
  <si>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</si>
  <si>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</si>
  <si>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</si>
  <si>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</si>
  <si>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</si>
  <si>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</si>
  <si>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</si>
  <si>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</si>
  <si>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</si>
  <si>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</si>
  <si>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</si>
  <si>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</si>
  <si>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</si>
  <si>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</si>
  <si>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</si>
  <si>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</si>
  <si>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</si>
  <si>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</si>
  <si>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</si>
  <si>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</si>
  <si>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</si>
  <si>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</si>
  <si>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</si>
  <si>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</si>
  <si>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</si>
  <si>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</si>
  <si>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</si>
  <si>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</si>
  <si>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</si>
  <si>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</si>
  <si>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</si>
  <si>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</si>
  <si>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</si>
  <si>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</si>
  <si>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</si>
  <si>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</si>
  <si>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</si>
  <si>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</si>
  <si>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</si>
  <si>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</si>
  <si>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</si>
  <si>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</si>
  <si>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</si>
  <si>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</si>
  <si>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</si>
  <si>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</si>
  <si>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</si>
  <si>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</si>
  <si>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</si>
  <si>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</si>
  <si>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</si>
  <si>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</si>
  <si>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</si>
  <si>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</si>
  <si>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</si>
  <si>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</si>
  <si>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</si>
  <si>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</si>
  <si>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</si>
  <si>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</si>
  <si>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</si>
  <si>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</si>
  <si>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</si>
  <si>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</si>
  <si>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</si>
  <si>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</si>
  <si>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</si>
  <si>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</si>
  <si>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</si>
  <si>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</si>
  <si>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</si>
  <si>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</si>
  <si>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</si>
  <si>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</si>
  <si>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</si>
  <si>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</si>
  <si>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</si>
  <si>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</si>
  <si>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</si>
  <si>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</si>
  <si>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</si>
  <si>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</si>
  <si>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</si>
  <si>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</si>
  <si>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</si>
  <si>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</si>
  <si>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</si>
  <si>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</si>
  <si>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</si>
  <si>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</si>
  <si>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</si>
  <si>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</si>
  <si>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</si>
  <si>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</si>
  <si>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</si>
  <si>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</si>
  <si>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</si>
  <si>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</si>
  <si>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</si>
  <si>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</si>
  <si>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</si>
  <si>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</si>
  <si>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</si>
  <si>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</si>
  <si>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</si>
  <si>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</si>
  <si>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</si>
  <si>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</si>
  <si>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</si>
  <si>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</si>
  <si>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</si>
  <si>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</si>
  <si>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</si>
  <si>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</si>
  <si>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</si>
  <si>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</si>
  <si>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</si>
  <si>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</si>
  <si>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</si>
  <si>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</si>
  <si>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</si>
  <si>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</si>
  <si>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</si>
  <si>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</si>
  <si>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</si>
  <si>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</si>
  <si>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</si>
  <si>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</si>
  <si>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</si>
  <si>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</si>
  <si>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</si>
  <si>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</si>
  <si>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</si>
  <si>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</si>
  <si>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</si>
  <si>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</si>
  <si>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</si>
  <si>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</si>
  <si>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</si>
  <si>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</si>
  <si>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</si>
  <si>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</si>
  <si>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</si>
  <si>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</si>
  <si>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</si>
  <si>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</si>
  <si>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</si>
  <si>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</si>
  <si>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</si>
  <si>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</si>
  <si>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</si>
  <si>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</si>
  <si>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</si>
  <si>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</si>
  <si>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</si>
  <si>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</si>
  <si>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</si>
  <si>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</si>
  <si>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</si>
  <si>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</si>
  <si>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</si>
  <si>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</si>
  <si>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</si>
  <si>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</si>
  <si>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</si>
  <si>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</si>
  <si>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</si>
  <si>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</si>
  <si>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</si>
  <si>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</si>
  <si>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</si>
  <si>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</si>
  <si>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</si>
  <si>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</si>
  <si>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</si>
  <si>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</si>
  <si>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</si>
  <si>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</si>
  <si>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</si>
  <si>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</si>
  <si>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</si>
  <si>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</si>
  <si>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</si>
  <si>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</si>
  <si>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</si>
  <si>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</si>
  <si>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</si>
  <si>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</si>
  <si>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</si>
  <si>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</si>
  <si>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</si>
  <si>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</si>
  <si>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</si>
  <si>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</si>
  <si>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</si>
  <si>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</si>
  <si>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</si>
  <si>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</si>
  <si>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</si>
  <si>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</si>
  <si>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</si>
  <si>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</si>
  <si>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</si>
  <si>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</si>
  <si>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</si>
  <si>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</si>
  <si>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</si>
  <si>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</si>
  <si>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</si>
  <si>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</si>
  <si>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</si>
  <si>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</si>
  <si>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</si>
  <si>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</si>
  <si>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</si>
  <si>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</si>
  <si>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</si>
  <si>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</si>
  <si>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</si>
  <si>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</si>
  <si>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</si>
  <si>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</si>
  <si>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</si>
  <si>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</si>
  <si>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</si>
  <si>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</si>
  <si>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</si>
  <si>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</si>
  <si>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</si>
  <si>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</si>
  <si>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</si>
  <si>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</si>
  <si>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</si>
  <si>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</si>
  <si>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</si>
  <si>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</si>
  <si>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</si>
  <si>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</si>
  <si>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</si>
  <si>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</si>
  <si>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</si>
  <si>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</si>
  <si>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</si>
  <si>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</si>
  <si>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</si>
  <si>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</si>
  <si>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</si>
  <si>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</si>
  <si>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</si>
  <si>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</si>
  <si>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</si>
  <si>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</si>
  <si>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</si>
  <si>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</si>
  <si>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</si>
  <si>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</si>
  <si>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</si>
  <si>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</si>
  <si>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</si>
  <si>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</si>
  <si>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</si>
  <si>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</si>
  <si>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</si>
  <si>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</si>
  <si>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</si>
  <si>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</si>
  <si>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</si>
  <si>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</si>
  <si>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</si>
  <si>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</si>
  <si>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</si>
  <si>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</si>
  <si>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</si>
  <si>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</si>
  <si>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</si>
  <si>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</si>
  <si>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</si>
  <si>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</si>
  <si>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</si>
  <si>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</si>
  <si>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</si>
  <si>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</si>
  <si>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</si>
  <si>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</si>
  <si>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</si>
  <si>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</si>
  <si>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</si>
  <si>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</si>
  <si>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</si>
  <si>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</si>
  <si>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</si>
  <si>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</si>
  <si>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</si>
  <si>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</si>
  <si>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</si>
  <si>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</si>
  <si>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</si>
  <si>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</si>
  <si>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</si>
  <si>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</si>
  <si>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</si>
  <si>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</si>
  <si>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</si>
  <si>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</si>
  <si>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</si>
  <si>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</si>
  <si>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</si>
  <si>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</si>
  <si>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</si>
  <si>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</si>
  <si>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</si>
  <si>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</si>
  <si>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</si>
  <si>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</si>
  <si>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</si>
  <si>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</si>
  <si>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</si>
  <si>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</si>
  <si>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</si>
  <si>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</si>
  <si>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</si>
  <si>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</si>
  <si>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</si>
  <si>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</si>
  <si>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</si>
  <si>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</si>
  <si>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</si>
  <si>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</si>
  <si>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</si>
  <si>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</si>
  <si>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</si>
  <si>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</si>
  <si>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</si>
  <si>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</si>
  <si>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</si>
  <si>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</si>
  <si>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</si>
  <si>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</si>
  <si>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</si>
  <si>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</si>
  <si>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</si>
  <si>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</si>
  <si>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</si>
  <si>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</si>
  <si>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</si>
  <si>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</si>
  <si>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</si>
  <si>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</si>
  <si>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</si>
  <si>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</si>
  <si>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</si>
  <si>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</si>
  <si>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</si>
  <si>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</si>
  <si>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</si>
  <si>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</si>
  <si>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</si>
  <si>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</si>
  <si>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</si>
  <si>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</si>
  <si>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</si>
  <si>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</si>
  <si>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</si>
  <si>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</si>
  <si>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</si>
  <si>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</si>
  <si>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</si>
  <si>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</si>
  <si>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</si>
  <si>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</si>
  <si>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</si>
  <si>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</si>
  <si>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</si>
  <si>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</si>
  <si>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</si>
  <si>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</si>
  <si>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</si>
  <si>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</si>
  <si>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</si>
  <si>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</si>
  <si>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</si>
  <si>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</si>
  <si>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</si>
  <si>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</si>
  <si>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</si>
  <si>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</si>
  <si>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</si>
  <si>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</si>
  <si>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</si>
  <si>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</si>
  <si>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</si>
  <si>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</si>
  <si>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</si>
  <si>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</si>
  <si>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</si>
  <si>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</si>
  <si>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</si>
  <si>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</si>
  <si>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</si>
  <si>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</si>
  <si>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</si>
  <si>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</si>
  <si>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</si>
  <si>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</si>
  <si>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</si>
  <si>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</si>
  <si>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</si>
  <si>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</si>
  <si>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</si>
  <si>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</si>
  <si>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</si>
  <si>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</si>
  <si>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</si>
  <si>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</si>
  <si>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</si>
  <si>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</si>
  <si>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</si>
  <si>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</si>
  <si>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</si>
  <si>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</si>
  <si>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</si>
  <si>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</si>
  <si>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</si>
  <si>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</si>
  <si>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</si>
  <si>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</si>
  <si>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</si>
  <si>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</si>
  <si>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</si>
  <si>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</si>
  <si>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</si>
  <si>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</si>
  <si>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</si>
  <si>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</si>
  <si>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</si>
  <si>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</si>
  <si>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</si>
  <si>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</si>
  <si>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</si>
  <si>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</si>
  <si>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</si>
  <si>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</si>
  <si>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</si>
  <si>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</si>
  <si>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</si>
  <si>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</si>
  <si>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</si>
  <si>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</si>
  <si>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</si>
  <si>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</si>
  <si>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</si>
  <si>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</si>
  <si>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</si>
  <si>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</si>
  <si>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</si>
  <si>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</si>
  <si>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</si>
  <si>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</si>
  <si>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</si>
  <si>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</si>
  <si>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</si>
  <si>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</si>
  <si>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</si>
  <si>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</si>
  <si>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</si>
  <si>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</si>
  <si>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</si>
  <si>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</si>
  <si>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</si>
  <si>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</si>
  <si>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</si>
  <si>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</si>
  <si>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</si>
  <si>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</si>
  <si>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</si>
  <si>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</si>
  <si>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</si>
  <si>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</si>
  <si>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</si>
  <si>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</si>
  <si>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</si>
  <si>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</si>
  <si>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</si>
  <si>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</si>
  <si>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</si>
  <si>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</si>
  <si>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</si>
  <si>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</si>
  <si>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</si>
  <si>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</si>
  <si>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</si>
  <si>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</si>
  <si>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</si>
  <si>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</si>
  <si>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</si>
  <si>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</si>
  <si>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</si>
  <si>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</si>
  <si>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</si>
  <si>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</si>
  <si>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</si>
  <si>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</si>
  <si>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</si>
  <si>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</si>
  <si>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</si>
  <si>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</si>
  <si>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</si>
  <si>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</si>
  <si>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</si>
  <si>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</si>
  <si>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</si>
  <si>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</si>
  <si>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</si>
  <si>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</si>
  <si>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</si>
  <si>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</si>
  <si>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</si>
  <si>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</si>
  <si>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</si>
  <si>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</si>
  <si>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</si>
  <si>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</si>
  <si>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</si>
  <si>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</si>
  <si>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</si>
  <si>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</si>
  <si>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</si>
  <si>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</si>
  <si>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</si>
  <si>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</si>
  <si>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</si>
  <si>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</si>
  <si>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</si>
  <si>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</si>
  <si>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</si>
  <si>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</si>
  <si>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</si>
  <si>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</si>
  <si>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</si>
  <si>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</si>
  <si>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</si>
  <si>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</si>
  <si>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</si>
  <si>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</si>
  <si>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</si>
  <si>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</si>
  <si>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</si>
  <si>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</si>
  <si>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</si>
  <si>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</si>
  <si>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</si>
  <si>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</si>
  <si>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</si>
  <si>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</si>
  <si>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</si>
  <si>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</si>
  <si>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</si>
  <si>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</si>
  <si>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</si>
  <si>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</si>
  <si>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</si>
  <si>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</si>
  <si>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</si>
  <si>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</si>
  <si>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</si>
  <si>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</si>
  <si>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</si>
  <si>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</si>
  <si>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</si>
  <si>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</si>
  <si>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</si>
  <si>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</si>
  <si>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</si>
  <si>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</si>
  <si>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</si>
  <si>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</si>
  <si>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</si>
  <si>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</si>
  <si>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</si>
  <si>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</si>
  <si>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</si>
  <si>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</si>
  <si>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</si>
  <si>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</si>
  <si>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</si>
  <si>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</si>
  <si>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</si>
  <si>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</si>
  <si>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</si>
  <si>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</si>
  <si>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</si>
  <si>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</si>
  <si>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</si>
  <si>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</si>
  <si>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</si>
  <si>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</si>
  <si>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</si>
  <si>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</si>
  <si>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</si>
  <si>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</si>
  <si>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</si>
  <si>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</si>
  <si>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</si>
  <si>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</si>
  <si>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</si>
  <si>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</si>
  <si>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</si>
  <si>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</si>
  <si>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</si>
  <si>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</si>
  <si>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</si>
  <si>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</si>
  <si>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</si>
  <si>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</si>
  <si>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</si>
  <si>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</si>
  <si>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</si>
  <si>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</si>
  <si>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</si>
  <si>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</si>
  <si>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</si>
  <si>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</si>
  <si>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</si>
  <si>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</si>
  <si>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</si>
  <si>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</si>
  <si>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</si>
  <si>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</si>
  <si>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</si>
  <si>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</si>
  <si>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</si>
  <si>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</si>
  <si>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</si>
  <si>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</si>
  <si>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</si>
  <si>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</si>
  <si>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</si>
  <si>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</si>
  <si>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</si>
  <si>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</si>
  <si>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</si>
  <si>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</si>
  <si>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</si>
  <si>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</si>
  <si>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</si>
  <si>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</si>
  <si>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</si>
  <si>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</si>
  <si>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</si>
  <si>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</si>
  <si>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</si>
  <si>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</si>
  <si>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</si>
  <si>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</si>
  <si>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</si>
  <si>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</si>
  <si>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</si>
  <si>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</si>
  <si>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</si>
  <si>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</si>
  <si>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</si>
  <si>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</si>
  <si>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</si>
  <si>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</si>
  <si>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</si>
  <si>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</si>
  <si>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</si>
  <si>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</si>
  <si>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</si>
  <si>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</si>
  <si>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</si>
  <si>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</si>
  <si>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</si>
  <si>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</si>
  <si>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</si>
  <si>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</si>
  <si>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</si>
  <si>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</si>
  <si>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</si>
  <si>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</si>
  <si>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</si>
  <si>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</si>
  <si>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</si>
  <si>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</si>
  <si>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</si>
  <si>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</si>
  <si>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</si>
  <si>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</si>
  <si>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</si>
  <si>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</si>
  <si>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</si>
  <si>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</si>
  <si>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</si>
  <si>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</si>
  <si>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</si>
  <si>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</si>
  <si>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</si>
  <si>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</si>
  <si>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</si>
  <si>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</si>
  <si>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</si>
  <si>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</si>
  <si>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</si>
  <si>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</si>
  <si>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</si>
  <si>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</si>
  <si>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</si>
  <si>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</si>
  <si>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</si>
  <si>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</si>
  <si>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</si>
  <si>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</si>
  <si>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</si>
  <si>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</si>
  <si>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</si>
  <si>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</si>
  <si>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</si>
  <si>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</si>
  <si>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</si>
  <si>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</si>
  <si>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</si>
  <si>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</si>
  <si>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</si>
  <si>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</si>
  <si>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</si>
  <si>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</si>
  <si>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</si>
  <si>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</si>
  <si>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</si>
  <si>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</si>
  <si>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</si>
  <si>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</si>
  <si>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</si>
  <si>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</si>
  <si>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</si>
  <si>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</si>
  <si>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</si>
  <si>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</si>
  <si>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</si>
  <si>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</si>
  <si>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</si>
  <si>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</si>
  <si>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</si>
  <si>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</si>
  <si>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</si>
  <si>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</si>
  <si>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</si>
  <si>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</si>
  <si>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</si>
  <si>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</si>
  <si>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</si>
  <si>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</si>
  <si>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</si>
  <si>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</si>
  <si>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</si>
  <si>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</si>
  <si>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</si>
  <si>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</si>
  <si>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</si>
  <si>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</si>
  <si>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</si>
  <si>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</si>
  <si>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</si>
  <si>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</si>
  <si>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</si>
  <si>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</si>
  <si>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</si>
  <si>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</si>
  <si>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</si>
  <si>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</si>
  <si>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</si>
  <si>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</si>
  <si>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</si>
  <si>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</si>
  <si>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</si>
  <si>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</si>
  <si>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</si>
  <si>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</si>
  <si>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</si>
  <si>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</si>
  <si>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</si>
  <si>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</si>
  <si>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</si>
  <si>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</si>
  <si>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</si>
  <si>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</si>
  <si>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</si>
  <si>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</si>
  <si>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</si>
  <si>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</si>
  <si>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</si>
  <si>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</si>
  <si>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</si>
  <si>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</si>
  <si>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</si>
  <si>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</si>
  <si>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</si>
  <si>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</si>
  <si>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</si>
  <si>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</si>
  <si>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</si>
  <si>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</si>
  <si>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</si>
  <si>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</si>
  <si>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</si>
  <si>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</si>
  <si>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</si>
  <si>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</si>
  <si>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</si>
  <si>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</si>
  <si>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</si>
  <si>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</si>
  <si>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</si>
  <si>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</si>
  <si>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</si>
  <si>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</si>
  <si>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</si>
  <si>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</si>
  <si>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</si>
  <si>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</si>
  <si>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</si>
  <si>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</si>
  <si>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</si>
  <si>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</si>
  <si>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</si>
  <si>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</si>
  <si>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</si>
  <si>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</si>
  <si>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</si>
  <si>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</si>
  <si>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</si>
  <si>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</si>
  <si>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</si>
  <si>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</si>
  <si>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</si>
  <si>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</si>
  <si>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</si>
  <si>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</si>
  <si>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</si>
  <si>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</si>
  <si>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</si>
  <si>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</si>
  <si>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</si>
  <si>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</si>
  <si>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</si>
  <si>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</si>
  <si>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</si>
  <si>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</si>
  <si>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</si>
  <si>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</si>
  <si>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</si>
  <si>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</si>
  <si>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</si>
  <si>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</si>
  <si>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</si>
  <si>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</si>
  <si>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</si>
  <si>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</si>
  <si>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</si>
  <si>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</si>
  <si>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</si>
  <si>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</si>
  <si>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</si>
  <si>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</si>
  <si>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</si>
  <si>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</si>
  <si>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</si>
  <si>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</si>
  <si>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</si>
  <si>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</si>
  <si>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</si>
  <si>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</si>
  <si>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</si>
  <si>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</si>
  <si>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</si>
  <si>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</si>
  <si>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</si>
  <si>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</si>
  <si>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</si>
  <si>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</si>
  <si>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</si>
  <si>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</si>
  <si>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</si>
  <si>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</si>
  <si>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</si>
  <si>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</si>
  <si>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</si>
  <si>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</si>
  <si>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</si>
  <si>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</si>
  <si>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</si>
  <si>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</si>
  <si>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</si>
  <si>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</si>
  <si>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</si>
  <si>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</si>
  <si>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</si>
  <si>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</si>
  <si>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</si>
  <si>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</si>
  <si>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</si>
  <si>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</si>
  <si>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</si>
  <si>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</si>
  <si>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</si>
  <si>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</si>
  <si>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</si>
  <si>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</si>
  <si>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</si>
  <si>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</si>
  <si>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</si>
  <si>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</si>
  <si>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</si>
  <si>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</si>
  <si>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</si>
  <si>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</si>
  <si>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</si>
  <si>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</si>
  <si>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</si>
  <si>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</si>
  <si>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</si>
  <si>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</si>
  <si>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</si>
  <si>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</si>
  <si>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</si>
  <si>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</si>
  <si>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</si>
  <si>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</si>
  <si>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</si>
  <si>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</si>
  <si>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</si>
  <si>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</si>
  <si>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</si>
  <si>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</si>
  <si>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</si>
  <si>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</si>
  <si>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</si>
  <si>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</si>
  <si>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</si>
  <si>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</si>
  <si>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</si>
  <si>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</si>
  <si>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</si>
  <si>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</si>
  <si>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</si>
  <si>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</si>
  <si>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</si>
  <si>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</si>
  <si>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</si>
  <si>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</si>
  <si>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</si>
  <si>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</si>
  <si>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</si>
  <si>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</si>
  <si>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</si>
  <si>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</si>
  <si>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</si>
  <si>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</si>
  <si>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</si>
  <si>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</si>
  <si>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</si>
  <si>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</si>
  <si>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</si>
  <si>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</si>
  <si>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</si>
  <si>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</si>
  <si>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</si>
  <si>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</si>
  <si>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</si>
  <si>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</si>
  <si>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</si>
  <si>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</si>
  <si>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</si>
  <si>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</si>
  <si>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</si>
  <si>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</si>
  <si>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</si>
  <si>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</si>
  <si>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</si>
  <si>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</si>
  <si>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</si>
  <si>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</si>
  <si>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</si>
  <si>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</si>
  <si>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</si>
  <si>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</si>
  <si>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</si>
  <si>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</si>
  <si>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</si>
  <si>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</si>
  <si>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</si>
  <si>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</si>
  <si>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</si>
  <si>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</si>
  <si>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</si>
  <si>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</si>
  <si>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</si>
  <si>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</si>
  <si>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</si>
  <si>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</si>
  <si>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</si>
  <si>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</si>
  <si>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</si>
  <si>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</si>
  <si>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</si>
  <si>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</si>
  <si>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</si>
  <si>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</si>
  <si>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</si>
  <si>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</si>
  <si>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</si>
  <si>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</si>
  <si>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</si>
  <si>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</si>
  <si>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</si>
  <si>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</si>
  <si>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</si>
  <si>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</si>
  <si>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</si>
  <si>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</si>
  <si>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</si>
  <si>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</si>
  <si>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</si>
  <si>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</si>
  <si>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</si>
  <si>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</si>
  <si>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</si>
  <si>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</si>
  <si>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</si>
  <si>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</si>
  <si>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</si>
  <si>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</si>
  <si>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</si>
  <si>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</si>
  <si>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</si>
  <si>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</si>
  <si>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</si>
  <si>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</si>
  <si>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</si>
  <si>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</si>
  <si>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</si>
  <si>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</si>
  <si>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</si>
  <si>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</si>
  <si>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</si>
  <si>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</si>
  <si>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</si>
  <si>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</si>
  <si>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</si>
  <si>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</si>
  <si>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</si>
  <si>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</si>
  <si>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</si>
  <si>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</si>
  <si>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</si>
  <si>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</si>
  <si>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</si>
  <si>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</si>
  <si>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</si>
  <si>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</si>
  <si>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</si>
  <si>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</si>
  <si>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</si>
  <si>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</si>
  <si>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</si>
  <si>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</si>
  <si>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</si>
  <si>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</si>
  <si>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</si>
  <si>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</si>
  <si>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</si>
  <si>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</si>
  <si>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</si>
  <si>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</si>
  <si>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</si>
  <si>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</si>
  <si>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</si>
  <si>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</si>
  <si>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</si>
  <si>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</si>
  <si>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</si>
  <si>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</si>
  <si>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</si>
  <si>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</si>
  <si>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</si>
  <si>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</si>
  <si>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</si>
  <si>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</si>
  <si>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</si>
  <si>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</si>
  <si>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</si>
  <si>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</si>
  <si>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</si>
  <si>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</si>
  <si>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</si>
  <si>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</si>
  <si>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</si>
  <si>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</si>
  <si>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</si>
  <si>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</si>
  <si>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</si>
  <si>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</si>
  <si>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</si>
  <si>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</si>
  <si>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</si>
  <si>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</si>
  <si>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</si>
  <si>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</si>
  <si>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</si>
  <si>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</si>
  <si>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</si>
  <si>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</si>
  <si>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</si>
  <si>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</si>
  <si>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</si>
  <si>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</si>
  <si>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</si>
  <si>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</si>
  <si>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</si>
  <si>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</si>
  <si>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</si>
  <si>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</si>
  <si>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</si>
  <si>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</si>
  <si>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</si>
  <si>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</si>
  <si>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</si>
  <si>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</si>
  <si>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</si>
  <si>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</si>
  <si>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</si>
  <si>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</si>
  <si>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</si>
  <si>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</si>
  <si>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</si>
  <si>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</si>
  <si>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</si>
  <si>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</si>
  <si>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</si>
  <si>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</si>
  <si>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</si>
  <si>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</si>
  <si>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</si>
  <si>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</si>
  <si>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</si>
  <si>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</si>
  <si>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</si>
  <si>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</si>
  <si>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</si>
  <si>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</si>
  <si>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</si>
  <si>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</si>
  <si>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</si>
  <si>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</si>
  <si>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</si>
  <si>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</si>
  <si>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</si>
  <si>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</si>
  <si>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</si>
  <si>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</si>
  <si>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</si>
  <si>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</si>
  <si>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</si>
  <si>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</si>
  <si>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</si>
  <si>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</si>
  <si>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</si>
  <si>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</si>
  <si>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</si>
  <si>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</si>
  <si>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</si>
  <si>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</si>
  <si>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</si>
  <si>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</si>
  <si>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</si>
  <si>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</si>
  <si>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</si>
  <si>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</si>
  <si>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</si>
  <si>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</si>
  <si>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</si>
  <si>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</si>
  <si>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</si>
  <si>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</si>
  <si>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</si>
  <si>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</si>
  <si>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</si>
  <si>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</si>
  <si>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</si>
  <si>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</si>
  <si>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</si>
  <si>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</si>
  <si>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</si>
  <si>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</si>
  <si>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</si>
  <si>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</si>
  <si>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</si>
  <si>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</si>
  <si>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</si>
  <si>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</si>
  <si>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</si>
  <si>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</si>
  <si>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</si>
  <si>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</si>
  <si>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</si>
  <si>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</si>
  <si>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</si>
  <si>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</si>
  <si>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</si>
  <si>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</si>
  <si>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</si>
  <si>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</si>
  <si>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</si>
  <si>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</si>
  <si>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</si>
  <si>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</si>
  <si>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</si>
  <si>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</si>
  <si>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</si>
  <si>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</si>
  <si>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</si>
  <si>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</si>
  <si>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</si>
  <si>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</si>
  <si>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</si>
  <si>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</si>
  <si>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</si>
  <si>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</si>
  <si>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</si>
  <si>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</si>
  <si>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</si>
  <si>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</si>
  <si>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</si>
  <si>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</si>
  <si>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</si>
  <si>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</si>
  <si>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</si>
  <si>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</si>
  <si>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</si>
  <si>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</si>
  <si>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</si>
  <si>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</si>
  <si>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</si>
  <si>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</si>
  <si>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</si>
  <si>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</si>
  <si>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</si>
  <si>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</si>
  <si>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</si>
  <si>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</si>
  <si>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</si>
  <si>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</si>
  <si>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</si>
  <si>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</si>
  <si>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</si>
  <si>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</si>
  <si>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</si>
  <si>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</si>
  <si>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</si>
  <si>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</si>
  <si>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</si>
  <si>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</si>
  <si>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</si>
  <si>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</si>
  <si>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</si>
  <si>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</si>
  <si>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</si>
  <si>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</si>
  <si>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</si>
  <si>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</si>
  <si>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</si>
  <si>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</si>
  <si>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</si>
  <si>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</si>
  <si>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</si>
  <si>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</si>
  <si>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</si>
  <si>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</si>
  <si>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</si>
  <si>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</si>
  <si>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</si>
  <si>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</si>
  <si>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</si>
  <si>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</si>
  <si>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</si>
  <si>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</si>
  <si>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</si>
  <si>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</si>
  <si>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</si>
  <si>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</si>
  <si>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</si>
  <si>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</si>
  <si>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</si>
  <si>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</si>
  <si>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</si>
  <si>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</si>
  <si>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</si>
  <si>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</si>
  <si>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</si>
  <si>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</si>
  <si>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</si>
  <si>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</si>
  <si>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</si>
  <si>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</si>
  <si>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</si>
  <si>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</si>
  <si>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</si>
  <si>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</si>
  <si>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</si>
  <si>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</si>
  <si>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</si>
  <si>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</si>
  <si>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</si>
  <si>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</si>
  <si>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</si>
  <si>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</si>
  <si>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</si>
  <si>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</si>
  <si>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</si>
  <si>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</si>
  <si>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</si>
  <si>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</si>
  <si>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</si>
  <si>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</si>
  <si>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</si>
  <si>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</si>
  <si>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</si>
  <si>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</si>
  <si>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</si>
  <si>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</si>
  <si>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</si>
  <si>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</si>
  <si>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</si>
  <si>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</si>
  <si>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</si>
  <si>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</si>
  <si>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</si>
  <si>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</si>
  <si>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</si>
  <si>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</si>
  <si>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</si>
  <si>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</si>
  <si>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</si>
  <si>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</si>
  <si>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</si>
  <si>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</si>
  <si>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</si>
  <si>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</si>
  <si>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</si>
  <si>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</si>
  <si>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</si>
  <si>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</si>
  <si>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</si>
  <si>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</si>
  <si>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</si>
  <si>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</si>
  <si>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</si>
  <si>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</si>
  <si>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</si>
  <si>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</si>
  <si>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</si>
  <si>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</si>
  <si>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</si>
  <si>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</si>
  <si>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</si>
  <si>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</si>
  <si>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</si>
  <si>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</si>
  <si>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</si>
  <si>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</si>
  <si>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</si>
  <si>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</si>
  <si>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</si>
  <si>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</si>
  <si>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</si>
  <si>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</si>
  <si>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</si>
  <si>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</si>
  <si>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</si>
  <si>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</si>
  <si>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</si>
  <si>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</si>
  <si>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</si>
  <si>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</si>
  <si>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</si>
  <si>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</si>
  <si>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</si>
  <si>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</si>
  <si>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</si>
  <si>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</si>
  <si>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</si>
  <si>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</si>
  <si>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</si>
  <si>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</si>
  <si>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</si>
  <si>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</si>
  <si>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</si>
  <si>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</si>
  <si>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</si>
  <si>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</si>
  <si>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</si>
  <si>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</si>
  <si>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</si>
  <si>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</si>
  <si>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</si>
  <si>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</si>
  <si>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</si>
  <si>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</si>
  <si>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</si>
  <si>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</si>
  <si>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</si>
  <si>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</si>
  <si>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</si>
  <si>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</si>
  <si>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</si>
  <si>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</si>
  <si>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</si>
  <si>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</si>
  <si>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</si>
  <si>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</si>
  <si>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</si>
  <si>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</si>
  <si>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</si>
  <si>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</si>
  <si>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</si>
  <si>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</si>
  <si>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</si>
  <si>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</si>
  <si>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</si>
  <si>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</si>
  <si>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</si>
  <si>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</si>
  <si>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</si>
  <si>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</si>
  <si>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</si>
  <si>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</si>
  <si>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</si>
  <si>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</si>
  <si>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</si>
  <si>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</si>
  <si>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</si>
  <si>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</si>
  <si>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</si>
  <si>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</si>
  <si>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</si>
  <si>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</si>
  <si>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</si>
  <si>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</si>
  <si>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</si>
  <si>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</si>
  <si>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</si>
  <si>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</si>
  <si>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</si>
  <si>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</si>
  <si>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</si>
  <si>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</si>
  <si>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</si>
  <si>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</si>
  <si>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</si>
  <si>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</si>
  <si>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</si>
  <si>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</si>
  <si>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</si>
  <si>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</si>
  <si>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</si>
  <si>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</si>
  <si>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</si>
  <si>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</si>
  <si>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</si>
  <si>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</si>
  <si>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</si>
  <si>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</si>
  <si>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</si>
  <si>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</si>
  <si>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</si>
  <si>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</si>
  <si>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</si>
  <si>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</si>
  <si>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</si>
  <si>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</si>
  <si>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</si>
  <si>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</si>
  <si>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</si>
  <si>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</si>
  <si>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</si>
  <si>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</si>
  <si>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</si>
  <si>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</si>
  <si>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</si>
  <si>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</si>
  <si>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</si>
  <si>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</si>
  <si>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</si>
  <si>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</si>
  <si>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</si>
  <si>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</si>
  <si>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</si>
  <si>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</si>
  <si>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</si>
  <si>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</si>
  <si>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</si>
  <si>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</si>
  <si>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</si>
  <si>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</si>
  <si>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</si>
  <si>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</si>
  <si>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</si>
  <si>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</si>
  <si>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</si>
  <si>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</si>
  <si>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</si>
  <si>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</si>
  <si>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</si>
  <si>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</si>
  <si>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</si>
  <si>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</si>
  <si>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</si>
  <si>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</si>
  <si>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</si>
  <si>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</si>
  <si>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</si>
  <si>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</si>
  <si>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</si>
  <si>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</si>
  <si>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</si>
  <si>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</si>
  <si>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</si>
  <si>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</si>
  <si>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</si>
  <si>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</si>
  <si>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</si>
  <si>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</si>
  <si>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</si>
  <si>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</si>
  <si>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</si>
  <si>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</si>
  <si>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</si>
  <si>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</si>
  <si>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</si>
  <si>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</si>
  <si>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</si>
  <si>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</si>
  <si>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</si>
  <si>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</si>
  <si>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</si>
  <si>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</si>
  <si>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</si>
  <si>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</si>
  <si>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</si>
  <si>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</si>
  <si>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</si>
  <si>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</si>
  <si>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</si>
  <si>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</si>
  <si>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</si>
  <si>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</si>
  <si>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</si>
  <si>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</si>
  <si>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</si>
  <si>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</si>
  <si>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</si>
  <si>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</si>
  <si>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</si>
  <si>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</si>
  <si>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</si>
  <si>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</si>
  <si>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</si>
  <si>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</si>
  <si>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</si>
  <si>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</si>
  <si>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</si>
  <si>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</si>
  <si>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</si>
  <si>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</si>
  <si>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</si>
  <si>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</si>
  <si>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</si>
  <si>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</si>
  <si>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</si>
  <si>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</si>
  <si>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</si>
  <si>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</si>
  <si>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</si>
  <si>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</si>
  <si>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</si>
  <si>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</si>
  <si>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</si>
  <si>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</si>
  <si>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</si>
  <si>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</si>
  <si>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LAFAYETTE REGIONAL SCHOOL DISTRICT</t>
  </si>
  <si>
    <t xml:space="preserve">Activity previously classifed as a Student Activity Fund and therefore fiduciary was determined to be general fund activity.  </t>
  </si>
  <si>
    <t>The FY18 balance is added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</si>
</sst>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3" formatCode="_(* #,##0.00_);_(* \(#,##0.00\);_(* &quot;-&quot;??_);_(@_)"/>
    <numFmt numFmtId="164" formatCode="0.00_)"/>
    <numFmt numFmtId="165" formatCode="0_)"/>
    <numFmt numFmtId="166" formatCode="0.0%"/>
    <numFmt numFmtId="167" formatCode="0.0"/>
    <numFmt numFmtId="168" formatCode="#,##0.0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51">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168" fontId="5" fillId="0" borderId="0" xfId="0" applyNumberFormat="1" applyFont="1" applyProtection="1">
      <protection locked="0"/>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zoomScale="98" zoomScaleNormal="98" workbookViewId="0">
      <pane xSplit="5" ySplit="3" topLeftCell="F634" activePane="bottomRight" state="frozen"/>
      <selection pane="topRight" activeCell="F1" sqref="F1"/>
      <selection pane="bottomLeft" activeCell="A4" sqref="A4"/>
      <selection pane="bottomRight" activeCell="F665" sqref="F665"/>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1610</v>
      </c>
      <c r="B2" s="21">
        <v>288</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92254.74</v>
      </c>
      <c r="G9" s="18"/>
      <c r="H9" s="18"/>
      <c r="I9" s="18"/>
      <c r="J9" s="67">
        <f>SUM(I439)</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254317.92</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6868.09</v>
      </c>
      <c r="G12" s="18">
        <v>8268.35</v>
      </c>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v>11652.8</v>
      </c>
      <c r="G13" s="18">
        <v>972.39</v>
      </c>
      <c r="H13" s="18">
        <f>10940.96+12344</f>
        <v>23284.959999999999</v>
      </c>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v>3596.73</v>
      </c>
      <c r="G14" s="18"/>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906</v>
      </c>
      <c r="G17" s="18">
        <v>626</v>
      </c>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115278.36</v>
      </c>
      <c r="G19" s="41">
        <f>SUM(G9:G18)</f>
        <v>9866.74</v>
      </c>
      <c r="H19" s="41">
        <f>SUM(H9:H18)</f>
        <v>23284.959999999999</v>
      </c>
      <c r="I19" s="41">
        <f>SUM(I9:I18)</f>
        <v>0</v>
      </c>
      <c r="J19" s="41">
        <f>SUM(J9:J18)</f>
        <v>254317.92</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f>2792.44+12344</f>
        <v>15136.44</v>
      </c>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15315.54</v>
      </c>
      <c r="G24" s="18">
        <v>6365.27</v>
      </c>
      <c r="H24" s="18"/>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f>2650-210.13</f>
        <v>2439.87</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v>3501.47</v>
      </c>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17755.41</v>
      </c>
      <c r="G32" s="41">
        <f>SUM(G22:G31)</f>
        <v>9866.74</v>
      </c>
      <c r="H32" s="41">
        <f>SUM(H22:H31)</f>
        <v>15136.44</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v>906</v>
      </c>
      <c r="G36" s="18">
        <v>626</v>
      </c>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v>-626</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v>25000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v>8148.52</v>
      </c>
      <c r="I48" s="18"/>
      <c r="J48" s="13">
        <f>SUM(I459)</f>
        <v>254317.91999999998</v>
      </c>
      <c r="K48" s="24" t="s">
        <v>288</v>
      </c>
      <c r="L48" s="24" t="s">
        <v>288</v>
      </c>
      <c r="M48" s="8"/>
      <c r="N48" s="266"/>
    </row>
    <row r="49" spans="1:14" s="3" customFormat="1" ht="12.2" customHeight="1" x14ac:dyDescent="0.15">
      <c r="A49" s="1" t="s">
        <v>859</v>
      </c>
      <c r="B49" s="2" t="s">
        <v>289</v>
      </c>
      <c r="C49" s="6">
        <v>34</v>
      </c>
      <c r="D49" s="2"/>
      <c r="E49" s="6">
        <v>753</v>
      </c>
      <c r="F49" s="18">
        <v>8000</v>
      </c>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f>107304.78+5724.68-906-35850.51-25000+12344</f>
        <v>63616.949999999983</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97522.949999999983</v>
      </c>
      <c r="G51" s="41">
        <f>SUM(G35:G50)</f>
        <v>0</v>
      </c>
      <c r="H51" s="41">
        <f>SUM(H35:H50)</f>
        <v>8148.52</v>
      </c>
      <c r="I51" s="41">
        <f>SUM(I35:I50)</f>
        <v>0</v>
      </c>
      <c r="J51" s="41">
        <f>SUM(J35:J50)</f>
        <v>254317.91999999998</v>
      </c>
      <c r="K51" s="45" t="s">
        <v>288</v>
      </c>
      <c r="L51" s="45" t="s">
        <v>288</v>
      </c>
      <c r="N51" s="264"/>
    </row>
    <row r="52" spans="1:14" s="3" customFormat="1" ht="12.2" customHeight="1" thickTop="1" x14ac:dyDescent="0.15">
      <c r="A52" s="38" t="s">
        <v>455</v>
      </c>
      <c r="B52" s="39" t="s">
        <v>289</v>
      </c>
      <c r="C52" s="6">
        <v>37</v>
      </c>
      <c r="D52" s="39" t="s">
        <v>653</v>
      </c>
      <c r="E52" s="39"/>
      <c r="F52" s="41">
        <f>F51+F32</f>
        <v>115278.35999999999</v>
      </c>
      <c r="G52" s="41">
        <f>G51+G32</f>
        <v>9866.74</v>
      </c>
      <c r="H52" s="41">
        <f>H51+H32</f>
        <v>23284.959999999999</v>
      </c>
      <c r="I52" s="41">
        <f>I51+I32</f>
        <v>0</v>
      </c>
      <c r="J52" s="41">
        <f>J51+J32</f>
        <v>254317.91999999998</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1856683</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1856683</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f>2.53+630.64</f>
        <v>633.16999999999996</v>
      </c>
      <c r="G96" s="18"/>
      <c r="H96" s="18"/>
      <c r="I96" s="18"/>
      <c r="J96" s="18">
        <v>10071.76</v>
      </c>
      <c r="K96" s="24" t="s">
        <v>288</v>
      </c>
      <c r="L96" s="24" t="s">
        <v>288</v>
      </c>
      <c r="M96" s="8"/>
      <c r="N96" s="266"/>
    </row>
    <row r="97" spans="1:14" s="3" customFormat="1" ht="12.2" customHeight="1" x14ac:dyDescent="0.15">
      <c r="A97" s="1" t="s">
        <v>503</v>
      </c>
      <c r="B97" s="2" t="s">
        <v>315</v>
      </c>
      <c r="C97" s="6">
        <v>12</v>
      </c>
      <c r="D97" s="2" t="s">
        <v>430</v>
      </c>
      <c r="E97" s="6">
        <v>1600</v>
      </c>
      <c r="F97" s="24" t="s">
        <v>288</v>
      </c>
      <c r="G97" s="18">
        <v>24972.799999999999</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v>10946.97</v>
      </c>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v>240</v>
      </c>
      <c r="G99" s="18"/>
      <c r="H99" s="18">
        <v>26555</v>
      </c>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v>1460</v>
      </c>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6349.29</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19629.43</v>
      </c>
      <c r="G111" s="41">
        <f>SUM(G96:G110)</f>
        <v>24972.799999999999</v>
      </c>
      <c r="H111" s="41">
        <f>SUM(H96:H110)</f>
        <v>26555</v>
      </c>
      <c r="I111" s="41">
        <f>SUM(I96:I110)</f>
        <v>0</v>
      </c>
      <c r="J111" s="41">
        <f>SUM(J96:J110)</f>
        <v>10071.76</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1876312.43</v>
      </c>
      <c r="G112" s="41">
        <f>G60+G111</f>
        <v>24972.799999999999</v>
      </c>
      <c r="H112" s="41">
        <f>H60+H79+H94+H111</f>
        <v>26555</v>
      </c>
      <c r="I112" s="41">
        <f>I60+I111</f>
        <v>0</v>
      </c>
      <c r="J112" s="41">
        <f>J60+J111</f>
        <v>10071.76</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617525</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617525</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20557.79</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726.08</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v>11652.8</v>
      </c>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32210.59</v>
      </c>
      <c r="G136" s="41">
        <f>SUM(G123:G135)</f>
        <v>726.08</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649735.59</v>
      </c>
      <c r="G140" s="41">
        <f>G121+SUM(G136:G137)</f>
        <v>726.08</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v>24606.91</v>
      </c>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24606.91</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f>827.26+12344</f>
        <v>13171.26</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2713.41</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17161.77</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32802.339999999997</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0</v>
      </c>
      <c r="G162" s="41">
        <f>SUM(G150:G161)</f>
        <v>17161.77</v>
      </c>
      <c r="H162" s="41">
        <f>SUM(H150:H161)</f>
        <v>48687.009999999995</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v>20207.04</v>
      </c>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20207.04</v>
      </c>
      <c r="G169" s="41">
        <f>G147+G162+SUM(G163:G168)</f>
        <v>17161.77</v>
      </c>
      <c r="H169" s="41">
        <f>H147+H162+SUM(H163:H168)</f>
        <v>73293.919999999998</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18103.5</v>
      </c>
      <c r="H179" s="18"/>
      <c r="I179" s="18"/>
      <c r="J179" s="18">
        <v>10000</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18103.5</v>
      </c>
      <c r="H183" s="41">
        <f>SUM(H179:H182)</f>
        <v>0</v>
      </c>
      <c r="I183" s="41">
        <f>SUM(I179:I182)</f>
        <v>0</v>
      </c>
      <c r="J183" s="41">
        <f>SUM(J179:J182)</f>
        <v>10000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18103.5</v>
      </c>
      <c r="H192" s="41">
        <f>+H183+SUM(H188:H191)</f>
        <v>0</v>
      </c>
      <c r="I192" s="41">
        <f>I177+I183+SUM(I188:I191)</f>
        <v>0</v>
      </c>
      <c r="J192" s="41">
        <f>J183</f>
        <v>10000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2546255.06</v>
      </c>
      <c r="G193" s="47">
        <f>G112+G140+G169+G192</f>
        <v>60964.15</v>
      </c>
      <c r="H193" s="47">
        <f>H112+H140+H169+H192</f>
        <v>99848.92</v>
      </c>
      <c r="I193" s="47">
        <f>I112+I140+I169+I192</f>
        <v>0</v>
      </c>
      <c r="J193" s="47">
        <f>J112+J140+J192</f>
        <v>20071.760000000002</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f>718043.21-12344</f>
        <v>705699.21</v>
      </c>
      <c r="G197" s="18">
        <v>317674.83</v>
      </c>
      <c r="H197" s="18">
        <v>44764.7</v>
      </c>
      <c r="I197" s="18">
        <v>25717.86</v>
      </c>
      <c r="J197" s="18">
        <v>47483.34</v>
      </c>
      <c r="K197" s="18"/>
      <c r="L197" s="19">
        <f>SUM(F197:K197)</f>
        <v>1141339.9400000002</v>
      </c>
      <c r="M197" s="8"/>
      <c r="N197" s="266"/>
    </row>
    <row r="198" spans="1:14" s="3" customFormat="1" ht="12.2" customHeight="1" x14ac:dyDescent="0.15">
      <c r="A198" s="1" t="s">
        <v>439</v>
      </c>
      <c r="B198" s="2" t="s">
        <v>341</v>
      </c>
      <c r="C198" s="2" t="s">
        <v>291</v>
      </c>
      <c r="D198" s="2" t="s">
        <v>431</v>
      </c>
      <c r="E198" s="6">
        <v>1200</v>
      </c>
      <c r="F198" s="18">
        <v>141379.12</v>
      </c>
      <c r="G198" s="18">
        <v>88229.66</v>
      </c>
      <c r="H198" s="18">
        <v>8592.4</v>
      </c>
      <c r="I198" s="18">
        <v>2255.65</v>
      </c>
      <c r="J198" s="18">
        <v>724.94</v>
      </c>
      <c r="K198" s="18"/>
      <c r="L198" s="19">
        <f>SUM(F198:K198)</f>
        <v>241181.77</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v>3320</v>
      </c>
      <c r="G200" s="18">
        <v>755.01</v>
      </c>
      <c r="H200" s="18">
        <v>12483.27</v>
      </c>
      <c r="I200" s="18"/>
      <c r="J200" s="18"/>
      <c r="K200" s="18"/>
      <c r="L200" s="19">
        <f>SUM(F200:K200)</f>
        <v>16558.28</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v>71452.31</v>
      </c>
      <c r="G202" s="18">
        <v>38750.949999999997</v>
      </c>
      <c r="H202" s="18">
        <v>104734.45</v>
      </c>
      <c r="I202" s="18">
        <v>556.21</v>
      </c>
      <c r="J202" s="18"/>
      <c r="K202" s="18">
        <v>598</v>
      </c>
      <c r="L202" s="19">
        <f t="shared" ref="L202:L208" si="0">SUM(F202:K202)</f>
        <v>216091.91999999998</v>
      </c>
      <c r="M202" s="8"/>
      <c r="N202" s="266"/>
    </row>
    <row r="203" spans="1:14" s="3" customFormat="1" ht="12.2" customHeight="1" x14ac:dyDescent="0.15">
      <c r="A203" s="1" t="s">
        <v>443</v>
      </c>
      <c r="B203" s="2" t="s">
        <v>341</v>
      </c>
      <c r="C203" s="2" t="s">
        <v>295</v>
      </c>
      <c r="D203" s="2" t="s">
        <v>431</v>
      </c>
      <c r="E203" s="6">
        <v>2200</v>
      </c>
      <c r="F203" s="18">
        <v>70378.27</v>
      </c>
      <c r="G203" s="18">
        <v>29160.22</v>
      </c>
      <c r="H203" s="18"/>
      <c r="I203" s="18">
        <v>4176.34</v>
      </c>
      <c r="J203" s="18"/>
      <c r="K203" s="18">
        <v>10917.97</v>
      </c>
      <c r="L203" s="19">
        <f t="shared" si="0"/>
        <v>114632.8</v>
      </c>
      <c r="M203" s="8"/>
      <c r="N203" s="266"/>
    </row>
    <row r="204" spans="1:14" s="3" customFormat="1" ht="12.2" customHeight="1" x14ac:dyDescent="0.15">
      <c r="A204" s="1" t="s">
        <v>444</v>
      </c>
      <c r="B204" s="2" t="s">
        <v>341</v>
      </c>
      <c r="C204" s="2" t="s">
        <v>296</v>
      </c>
      <c r="D204" s="2" t="s">
        <v>431</v>
      </c>
      <c r="E204" s="6">
        <v>2300</v>
      </c>
      <c r="F204" s="18">
        <f>1775+150</f>
        <v>1925</v>
      </c>
      <c r="G204" s="18">
        <v>154.06</v>
      </c>
      <c r="H204" s="18">
        <f>195443.23-150</f>
        <v>195293.23</v>
      </c>
      <c r="I204" s="18"/>
      <c r="J204" s="18"/>
      <c r="K204" s="18">
        <v>3965.19</v>
      </c>
      <c r="L204" s="19">
        <f t="shared" si="0"/>
        <v>201337.48</v>
      </c>
      <c r="M204" s="8"/>
      <c r="N204" s="266"/>
    </row>
    <row r="205" spans="1:14" s="3" customFormat="1" ht="12.2" customHeight="1" x14ac:dyDescent="0.15">
      <c r="A205" s="1" t="s">
        <v>445</v>
      </c>
      <c r="B205" s="2" t="s">
        <v>341</v>
      </c>
      <c r="C205" s="2" t="s">
        <v>297</v>
      </c>
      <c r="D205" s="2" t="s">
        <v>431</v>
      </c>
      <c r="E205" s="6">
        <v>2400</v>
      </c>
      <c r="F205" s="18">
        <v>139265</v>
      </c>
      <c r="G205" s="18">
        <v>71057.7</v>
      </c>
      <c r="H205" s="18">
        <v>14961.27</v>
      </c>
      <c r="I205" s="18">
        <v>6522.04</v>
      </c>
      <c r="J205" s="18"/>
      <c r="K205" s="18"/>
      <c r="L205" s="19">
        <f t="shared" si="0"/>
        <v>231806.01</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v>67224.13</v>
      </c>
      <c r="G207" s="18">
        <v>12160.37</v>
      </c>
      <c r="H207" s="18">
        <v>60309.53</v>
      </c>
      <c r="I207" s="18">
        <v>80023.98</v>
      </c>
      <c r="J207" s="18">
        <v>6773.26</v>
      </c>
      <c r="K207" s="18"/>
      <c r="L207" s="19">
        <f t="shared" si="0"/>
        <v>226491.27000000002</v>
      </c>
      <c r="M207" s="8"/>
      <c r="N207" s="266"/>
    </row>
    <row r="208" spans="1:14" s="3" customFormat="1" ht="12.2" customHeight="1" x14ac:dyDescent="0.15">
      <c r="A208" s="1" t="s">
        <v>448</v>
      </c>
      <c r="B208" s="2" t="s">
        <v>341</v>
      </c>
      <c r="C208" s="2" t="s">
        <v>300</v>
      </c>
      <c r="D208" s="2" t="s">
        <v>431</v>
      </c>
      <c r="E208" s="6">
        <v>2700</v>
      </c>
      <c r="F208" s="18"/>
      <c r="G208" s="18"/>
      <c r="H208" s="18">
        <f>76810.89+9407.95</f>
        <v>86218.84</v>
      </c>
      <c r="I208" s="18"/>
      <c r="J208" s="18"/>
      <c r="K208" s="18"/>
      <c r="L208" s="19">
        <f t="shared" si="0"/>
        <v>86218.84</v>
      </c>
      <c r="M208" s="8"/>
      <c r="N208" s="266"/>
    </row>
    <row r="209" spans="1:14" s="3" customFormat="1" ht="12.2" customHeight="1" x14ac:dyDescent="0.15">
      <c r="A209" s="1" t="s">
        <v>449</v>
      </c>
      <c r="B209" s="2" t="s">
        <v>341</v>
      </c>
      <c r="C209" s="2" t="s">
        <v>343</v>
      </c>
      <c r="D209" s="2" t="s">
        <v>431</v>
      </c>
      <c r="E209" s="6">
        <v>2800</v>
      </c>
      <c r="F209" s="18"/>
      <c r="G209" s="18"/>
      <c r="H209" s="18"/>
      <c r="I209" s="18"/>
      <c r="J209" s="18"/>
      <c r="K209" s="18"/>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1200643.04</v>
      </c>
      <c r="G211" s="41">
        <f t="shared" si="1"/>
        <v>557942.80000000005</v>
      </c>
      <c r="H211" s="41">
        <f t="shared" si="1"/>
        <v>527357.69000000006</v>
      </c>
      <c r="I211" s="41">
        <f t="shared" si="1"/>
        <v>119252.07999999999</v>
      </c>
      <c r="J211" s="41">
        <f t="shared" si="1"/>
        <v>54981.54</v>
      </c>
      <c r="K211" s="41">
        <f t="shared" si="1"/>
        <v>15481.16</v>
      </c>
      <c r="L211" s="41">
        <f t="shared" si="1"/>
        <v>2475658.31</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c r="I215" s="18"/>
      <c r="J215" s="18"/>
      <c r="K215" s="18"/>
      <c r="L215" s="19">
        <f>SUM(F215:K215)</f>
        <v>0</v>
      </c>
      <c r="M215" s="8"/>
      <c r="N215" s="266"/>
    </row>
    <row r="216" spans="1:14" s="3" customFormat="1" ht="12.2" customHeight="1" x14ac:dyDescent="0.15">
      <c r="A216" s="1" t="s">
        <v>439</v>
      </c>
      <c r="B216" s="2" t="s">
        <v>346</v>
      </c>
      <c r="C216" s="2" t="s">
        <v>291</v>
      </c>
      <c r="D216" s="2" t="s">
        <v>431</v>
      </c>
      <c r="E216" s="6">
        <v>1200</v>
      </c>
      <c r="F216" s="18"/>
      <c r="G216" s="18"/>
      <c r="H216" s="18"/>
      <c r="I216" s="18"/>
      <c r="J216" s="18"/>
      <c r="K216" s="18"/>
      <c r="L216" s="19">
        <f>SUM(F216:K216)</f>
        <v>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c r="I222" s="18"/>
      <c r="J222" s="18"/>
      <c r="K222" s="18"/>
      <c r="L222" s="19">
        <f t="shared" si="2"/>
        <v>0</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v>27100.38</v>
      </c>
      <c r="I226" s="18"/>
      <c r="J226" s="18"/>
      <c r="K226" s="18"/>
      <c r="L226" s="19">
        <f t="shared" si="2"/>
        <v>27100.38</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27100.38</v>
      </c>
      <c r="I229" s="41">
        <f>SUM(I215:I228)</f>
        <v>0</v>
      </c>
      <c r="J229" s="41">
        <f>SUM(J215:J228)</f>
        <v>0</v>
      </c>
      <c r="K229" s="41">
        <f t="shared" si="3"/>
        <v>0</v>
      </c>
      <c r="L229" s="41">
        <f t="shared" si="3"/>
        <v>27100.38</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c r="G233" s="18"/>
      <c r="H233" s="18"/>
      <c r="I233" s="18"/>
      <c r="J233" s="18"/>
      <c r="K233" s="18"/>
      <c r="L233" s="19">
        <f>SUM(F233:K233)</f>
        <v>0</v>
      </c>
      <c r="M233" s="8"/>
      <c r="N233" s="266"/>
    </row>
    <row r="234" spans="1:14" s="3" customFormat="1" ht="12.2" customHeight="1" x14ac:dyDescent="0.15">
      <c r="A234" s="1" t="s">
        <v>439</v>
      </c>
      <c r="B234" s="2" t="s">
        <v>350</v>
      </c>
      <c r="C234" s="2" t="s">
        <v>291</v>
      </c>
      <c r="D234" s="2" t="s">
        <v>431</v>
      </c>
      <c r="E234" s="6">
        <v>1200</v>
      </c>
      <c r="F234" s="18"/>
      <c r="G234" s="18"/>
      <c r="H234" s="18"/>
      <c r="I234" s="18"/>
      <c r="J234" s="18"/>
      <c r="K234" s="18"/>
      <c r="L234" s="19">
        <f>SUM(F234:K234)</f>
        <v>0</v>
      </c>
      <c r="M234" s="8"/>
      <c r="N234" s="266"/>
    </row>
    <row r="235" spans="1:14" s="3" customFormat="1" ht="12.2" customHeight="1" x14ac:dyDescent="0.15">
      <c r="A235" s="1" t="s">
        <v>440</v>
      </c>
      <c r="B235" s="2" t="s">
        <v>350</v>
      </c>
      <c r="C235" s="2" t="s">
        <v>292</v>
      </c>
      <c r="D235" s="2" t="s">
        <v>431</v>
      </c>
      <c r="E235" s="6">
        <v>1300</v>
      </c>
      <c r="F235" s="18"/>
      <c r="G235" s="18"/>
      <c r="H235" s="18"/>
      <c r="I235" s="18"/>
      <c r="J235" s="18"/>
      <c r="K235" s="18"/>
      <c r="L235" s="19">
        <f>SUM(F235:K235)</f>
        <v>0</v>
      </c>
      <c r="M235" s="8"/>
      <c r="N235" s="266"/>
    </row>
    <row r="236" spans="1:14" s="3" customFormat="1" ht="12.2" customHeight="1" x14ac:dyDescent="0.15">
      <c r="A236" s="1" t="s">
        <v>441</v>
      </c>
      <c r="B236" s="2" t="s">
        <v>350</v>
      </c>
      <c r="C236" s="2" t="s">
        <v>293</v>
      </c>
      <c r="D236" s="2" t="s">
        <v>431</v>
      </c>
      <c r="E236" s="6">
        <v>1400</v>
      </c>
      <c r="F236" s="18"/>
      <c r="G236" s="18"/>
      <c r="H236" s="18"/>
      <c r="I236" s="18"/>
      <c r="J236" s="18"/>
      <c r="K236" s="18"/>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c r="G238" s="18"/>
      <c r="H238" s="18"/>
      <c r="I238" s="18"/>
      <c r="J238" s="18"/>
      <c r="K238" s="18"/>
      <c r="L238" s="19">
        <f t="shared" ref="L238:L244" si="4">SUM(F238:K238)</f>
        <v>0</v>
      </c>
      <c r="M238" s="8"/>
      <c r="N238" s="266"/>
    </row>
    <row r="239" spans="1:14" s="3" customFormat="1" ht="12.2" customHeight="1" x14ac:dyDescent="0.15">
      <c r="A239" s="1" t="s">
        <v>443</v>
      </c>
      <c r="B239" s="2" t="s">
        <v>350</v>
      </c>
      <c r="C239" s="2" t="s">
        <v>295</v>
      </c>
      <c r="D239" s="2" t="s">
        <v>431</v>
      </c>
      <c r="E239" s="6">
        <v>2200</v>
      </c>
      <c r="F239" s="18"/>
      <c r="G239" s="18"/>
      <c r="H239" s="18"/>
      <c r="I239" s="18"/>
      <c r="J239" s="18"/>
      <c r="K239" s="18"/>
      <c r="L239" s="19">
        <f t="shared" si="4"/>
        <v>0</v>
      </c>
      <c r="M239" s="8"/>
      <c r="N239" s="266"/>
    </row>
    <row r="240" spans="1:14" s="3" customFormat="1" ht="12.2" customHeight="1" x14ac:dyDescent="0.15">
      <c r="A240" s="1" t="s">
        <v>444</v>
      </c>
      <c r="B240" s="2" t="s">
        <v>350</v>
      </c>
      <c r="C240" s="2" t="s">
        <v>296</v>
      </c>
      <c r="D240" s="2" t="s">
        <v>431</v>
      </c>
      <c r="E240" s="6">
        <v>2300</v>
      </c>
      <c r="F240" s="18"/>
      <c r="G240" s="18"/>
      <c r="H240" s="18"/>
      <c r="I240" s="18"/>
      <c r="J240" s="18"/>
      <c r="K240" s="18"/>
      <c r="L240" s="19">
        <f t="shared" si="4"/>
        <v>0</v>
      </c>
      <c r="M240" s="8"/>
      <c r="N240" s="266"/>
    </row>
    <row r="241" spans="1:14" s="3" customFormat="1" ht="12.2" customHeight="1" x14ac:dyDescent="0.15">
      <c r="A241" s="1" t="s">
        <v>445</v>
      </c>
      <c r="B241" s="2" t="s">
        <v>350</v>
      </c>
      <c r="C241" s="2" t="s">
        <v>297</v>
      </c>
      <c r="D241" s="2" t="s">
        <v>431</v>
      </c>
      <c r="E241" s="6">
        <v>2400</v>
      </c>
      <c r="F241" s="18"/>
      <c r="G241" s="18"/>
      <c r="H241" s="18"/>
      <c r="I241" s="18"/>
      <c r="J241" s="18"/>
      <c r="K241" s="18"/>
      <c r="L241" s="19">
        <f t="shared" si="4"/>
        <v>0</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c r="G243" s="18"/>
      <c r="H243" s="18"/>
      <c r="I243" s="18"/>
      <c r="J243" s="18"/>
      <c r="K243" s="18"/>
      <c r="L243" s="19">
        <f t="shared" si="4"/>
        <v>0</v>
      </c>
      <c r="M243" s="8"/>
      <c r="N243" s="266"/>
    </row>
    <row r="244" spans="1:14" s="3" customFormat="1" ht="12.2" customHeight="1" x14ac:dyDescent="0.15">
      <c r="A244" s="1" t="s">
        <v>448</v>
      </c>
      <c r="B244" s="2" t="s">
        <v>350</v>
      </c>
      <c r="C244" s="2" t="s">
        <v>300</v>
      </c>
      <c r="D244" s="2" t="s">
        <v>431</v>
      </c>
      <c r="E244" s="6">
        <v>2700</v>
      </c>
      <c r="F244" s="18"/>
      <c r="G244" s="18"/>
      <c r="H244" s="18">
        <v>38899.379999999997</v>
      </c>
      <c r="I244" s="18"/>
      <c r="J244" s="18"/>
      <c r="K244" s="18"/>
      <c r="L244" s="19">
        <f t="shared" si="4"/>
        <v>38899.379999999997</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0</v>
      </c>
      <c r="G247" s="41">
        <f t="shared" si="5"/>
        <v>0</v>
      </c>
      <c r="H247" s="41">
        <f t="shared" si="5"/>
        <v>38899.379999999997</v>
      </c>
      <c r="I247" s="41">
        <f t="shared" si="5"/>
        <v>0</v>
      </c>
      <c r="J247" s="41">
        <f t="shared" si="5"/>
        <v>0</v>
      </c>
      <c r="K247" s="41">
        <f t="shared" si="5"/>
        <v>0</v>
      </c>
      <c r="L247" s="41">
        <f t="shared" si="5"/>
        <v>38899.379999999997</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c r="K255" s="18"/>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66"/>
    </row>
    <row r="257" spans="1:14" s="3" customFormat="1" ht="12.2" customHeight="1" thickTop="1" x14ac:dyDescent="0.15">
      <c r="A257" s="38" t="s">
        <v>462</v>
      </c>
      <c r="B257" s="40">
        <v>10</v>
      </c>
      <c r="C257" s="40">
        <v>8</v>
      </c>
      <c r="D257" s="39" t="s">
        <v>431</v>
      </c>
      <c r="E257" s="40"/>
      <c r="F257" s="41">
        <f t="shared" ref="F257:L257" si="8">F211+F229+F247+F256</f>
        <v>1200643.04</v>
      </c>
      <c r="G257" s="41">
        <f t="shared" si="8"/>
        <v>557942.80000000005</v>
      </c>
      <c r="H257" s="41">
        <f t="shared" si="8"/>
        <v>593357.45000000007</v>
      </c>
      <c r="I257" s="41">
        <f t="shared" si="8"/>
        <v>119252.07999999999</v>
      </c>
      <c r="J257" s="41">
        <f t="shared" si="8"/>
        <v>54981.54</v>
      </c>
      <c r="K257" s="41">
        <f t="shared" si="8"/>
        <v>15481.16</v>
      </c>
      <c r="L257" s="41">
        <f t="shared" si="8"/>
        <v>2541658.0699999998</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c r="L260" s="19">
        <f>SUM(F260:K260)</f>
        <v>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c r="L261" s="19">
        <f>SUM(F261:K261)</f>
        <v>0</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18103.5</v>
      </c>
      <c r="L263" s="19">
        <f>SUM(F263:K263)</f>
        <v>18103.5</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10000</v>
      </c>
      <c r="L266" s="19">
        <f t="shared" si="9"/>
        <v>10000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28103.5</v>
      </c>
      <c r="L270" s="41">
        <f t="shared" si="9"/>
        <v>28103.5</v>
      </c>
      <c r="N270" s="264"/>
    </row>
    <row r="271" spans="1:14" s="3" customFormat="1" ht="12.2" customHeight="1" thickTop="1" x14ac:dyDescent="0.2">
      <c r="A271" s="43" t="s">
        <v>464</v>
      </c>
      <c r="B271" s="40">
        <v>10</v>
      </c>
      <c r="C271" s="40">
        <v>18</v>
      </c>
      <c r="D271" s="39" t="s">
        <v>431</v>
      </c>
      <c r="E271" s="40"/>
      <c r="F271" s="42">
        <f t="shared" ref="F271:L271" si="11">F257+F270</f>
        <v>1200643.04</v>
      </c>
      <c r="G271" s="42">
        <f t="shared" si="11"/>
        <v>557942.80000000005</v>
      </c>
      <c r="H271" s="42">
        <f t="shared" si="11"/>
        <v>593357.45000000007</v>
      </c>
      <c r="I271" s="42">
        <f t="shared" si="11"/>
        <v>119252.07999999999</v>
      </c>
      <c r="J271" s="42">
        <f t="shared" si="11"/>
        <v>54981.54</v>
      </c>
      <c r="K271" s="42">
        <f t="shared" si="11"/>
        <v>43584.66</v>
      </c>
      <c r="L271" s="42">
        <f t="shared" si="11"/>
        <v>2569761.5699999998</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v>12344</v>
      </c>
      <c r="G276" s="18"/>
      <c r="H276" s="18"/>
      <c r="I276" s="18"/>
      <c r="J276" s="18"/>
      <c r="K276" s="18"/>
      <c r="L276" s="19">
        <f>SUM(F276:K276)</f>
        <v>12344</v>
      </c>
      <c r="M276" s="8"/>
      <c r="N276" s="266"/>
    </row>
    <row r="277" spans="1:14" s="3" customFormat="1" ht="12.2" customHeight="1" x14ac:dyDescent="0.15">
      <c r="A277" s="1" t="s">
        <v>439</v>
      </c>
      <c r="B277" s="2" t="s">
        <v>357</v>
      </c>
      <c r="C277" s="2" t="s">
        <v>291</v>
      </c>
      <c r="D277" s="2" t="s">
        <v>431</v>
      </c>
      <c r="E277" s="6">
        <v>1200</v>
      </c>
      <c r="F277" s="18">
        <v>32725</v>
      </c>
      <c r="G277" s="18"/>
      <c r="H277" s="18"/>
      <c r="I277" s="18"/>
      <c r="J277" s="18"/>
      <c r="K277" s="18"/>
      <c r="L277" s="19">
        <f>SUM(F277:K277)</f>
        <v>32725</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v>17001.59</v>
      </c>
      <c r="G279" s="18">
        <v>1305.8900000000001</v>
      </c>
      <c r="H279" s="18"/>
      <c r="I279" s="18"/>
      <c r="J279" s="18"/>
      <c r="K279" s="18">
        <v>99</v>
      </c>
      <c r="L279" s="19">
        <f>SUM(F279:K279)</f>
        <v>18406.48</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c r="I281" s="18"/>
      <c r="J281" s="18"/>
      <c r="K281" s="18"/>
      <c r="L281" s="19">
        <f t="shared" ref="L281:L287" si="12">SUM(F281:K281)</f>
        <v>0</v>
      </c>
      <c r="M281" s="8"/>
      <c r="N281" s="266"/>
    </row>
    <row r="282" spans="1:14" s="3" customFormat="1" ht="12.2" customHeight="1" x14ac:dyDescent="0.15">
      <c r="A282" s="1" t="s">
        <v>443</v>
      </c>
      <c r="B282" s="2" t="s">
        <v>357</v>
      </c>
      <c r="C282" s="2" t="s">
        <v>295</v>
      </c>
      <c r="D282" s="2" t="s">
        <v>431</v>
      </c>
      <c r="E282" s="6">
        <v>2200</v>
      </c>
      <c r="F282" s="18">
        <v>18392.02</v>
      </c>
      <c r="G282" s="18">
        <v>1068.18</v>
      </c>
      <c r="H282" s="18"/>
      <c r="I282" s="18">
        <v>517</v>
      </c>
      <c r="J282" s="18"/>
      <c r="K282" s="18">
        <v>4629.71</v>
      </c>
      <c r="L282" s="19">
        <f t="shared" si="12"/>
        <v>24606.91</v>
      </c>
      <c r="M282" s="8"/>
      <c r="N282" s="266"/>
    </row>
    <row r="283" spans="1:14" s="3" customFormat="1" ht="12.2" customHeight="1" x14ac:dyDescent="0.15">
      <c r="A283" s="1" t="s">
        <v>444</v>
      </c>
      <c r="B283" s="2" t="s">
        <v>357</v>
      </c>
      <c r="C283" s="2" t="s">
        <v>296</v>
      </c>
      <c r="D283" s="2" t="s">
        <v>431</v>
      </c>
      <c r="E283" s="6">
        <v>2300</v>
      </c>
      <c r="F283" s="18">
        <v>2360</v>
      </c>
      <c r="G283" s="18"/>
      <c r="H283" s="18"/>
      <c r="I283" s="18"/>
      <c r="J283" s="18"/>
      <c r="K283" s="18">
        <v>1258.01</v>
      </c>
      <c r="L283" s="19">
        <f t="shared" si="12"/>
        <v>3618.01</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82822.61</v>
      </c>
      <c r="G290" s="42">
        <f t="shared" si="13"/>
        <v>2374.0700000000002</v>
      </c>
      <c r="H290" s="42">
        <f t="shared" si="13"/>
        <v>0</v>
      </c>
      <c r="I290" s="42">
        <f t="shared" si="13"/>
        <v>517</v>
      </c>
      <c r="J290" s="42">
        <f t="shared" si="13"/>
        <v>0</v>
      </c>
      <c r="K290" s="42">
        <f t="shared" si="13"/>
        <v>5986.72</v>
      </c>
      <c r="L290" s="41">
        <f t="shared" si="13"/>
        <v>91700.4</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82822.61</v>
      </c>
      <c r="G338" s="41">
        <f t="shared" si="20"/>
        <v>2374.0700000000002</v>
      </c>
      <c r="H338" s="41">
        <f t="shared" si="20"/>
        <v>0</v>
      </c>
      <c r="I338" s="41">
        <f t="shared" si="20"/>
        <v>517</v>
      </c>
      <c r="J338" s="41">
        <f t="shared" si="20"/>
        <v>0</v>
      </c>
      <c r="K338" s="41">
        <f t="shared" si="20"/>
        <v>5986.72</v>
      </c>
      <c r="L338" s="41">
        <f t="shared" si="20"/>
        <v>91700.4</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82822.61</v>
      </c>
      <c r="G352" s="41">
        <f>G338</f>
        <v>2374.0700000000002</v>
      </c>
      <c r="H352" s="41">
        <f>H338</f>
        <v>0</v>
      </c>
      <c r="I352" s="41">
        <f>I338</f>
        <v>517</v>
      </c>
      <c r="J352" s="41">
        <f>J338</f>
        <v>0</v>
      </c>
      <c r="K352" s="47">
        <f>K338+K351</f>
        <v>5986.72</v>
      </c>
      <c r="L352" s="41">
        <f>L338+L351</f>
        <v>91700.4</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c r="G358" s="18"/>
      <c r="H358" s="18">
        <v>60964.15</v>
      </c>
      <c r="I358" s="18"/>
      <c r="J358" s="18"/>
      <c r="K358" s="18"/>
      <c r="L358" s="13">
        <f>SUM(F358:K358)</f>
        <v>60964.15</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0</v>
      </c>
      <c r="G362" s="47">
        <f t="shared" si="22"/>
        <v>0</v>
      </c>
      <c r="H362" s="47">
        <f t="shared" si="22"/>
        <v>60964.15</v>
      </c>
      <c r="I362" s="47">
        <f t="shared" si="22"/>
        <v>0</v>
      </c>
      <c r="J362" s="47">
        <f t="shared" si="22"/>
        <v>0</v>
      </c>
      <c r="K362" s="47">
        <f t="shared" si="22"/>
        <v>0</v>
      </c>
      <c r="L362" s="47">
        <f t="shared" si="22"/>
        <v>60964.15</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c r="G367" s="18"/>
      <c r="H367" s="18"/>
      <c r="I367" s="56">
        <f>SUM(F367:H367)</f>
        <v>0</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c r="G368" s="63"/>
      <c r="H368" s="63"/>
      <c r="I368" s="56">
        <f>SUM(F368:H368)</f>
        <v>0</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0</v>
      </c>
      <c r="G369" s="47">
        <f>SUM(G367:G368)</f>
        <v>0</v>
      </c>
      <c r="H369" s="47">
        <f>SUM(H367:H368)</f>
        <v>0</v>
      </c>
      <c r="I369" s="47">
        <f>SUM(I367:I368)</f>
        <v>0</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v>6885.64</v>
      </c>
      <c r="I392" s="18"/>
      <c r="J392" s="24" t="s">
        <v>288</v>
      </c>
      <c r="K392" s="24" t="s">
        <v>288</v>
      </c>
      <c r="L392" s="56">
        <f t="shared" si="25"/>
        <v>6885.64</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6885.64</v>
      </c>
      <c r="I393" s="65">
        <f>SUM(I387:I392)</f>
        <v>0</v>
      </c>
      <c r="J393" s="45" t="s">
        <v>288</v>
      </c>
      <c r="K393" s="45" t="s">
        <v>288</v>
      </c>
      <c r="L393" s="47">
        <f>SUM(L387:L392)</f>
        <v>6885.64</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v>10000</v>
      </c>
      <c r="H396" s="18">
        <v>3186.12</v>
      </c>
      <c r="I396" s="18"/>
      <c r="J396" s="24" t="s">
        <v>288</v>
      </c>
      <c r="K396" s="24" t="s">
        <v>288</v>
      </c>
      <c r="L396" s="56">
        <f t="shared" si="26"/>
        <v>13186.119999999999</v>
      </c>
      <c r="M396" s="8"/>
      <c r="N396" s="266"/>
    </row>
    <row r="397" spans="1:14" s="3" customFormat="1" ht="12.2" customHeight="1" x14ac:dyDescent="0.15">
      <c r="A397" s="79" t="s">
        <v>515</v>
      </c>
      <c r="B397" s="2" t="s">
        <v>381</v>
      </c>
      <c r="C397" s="6">
        <v>10</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10000</v>
      </c>
      <c r="H401" s="47">
        <f>SUM(H395:H400)</f>
        <v>3186.12</v>
      </c>
      <c r="I401" s="47">
        <f>SUM(I395:I400)</f>
        <v>0</v>
      </c>
      <c r="J401" s="45" t="s">
        <v>288</v>
      </c>
      <c r="K401" s="45" t="s">
        <v>288</v>
      </c>
      <c r="L401" s="47">
        <f>SUM(L395:L400)</f>
        <v>13186.119999999999</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10000</v>
      </c>
      <c r="H408" s="47">
        <f>H393+H401+H407</f>
        <v>10071.76</v>
      </c>
      <c r="I408" s="47">
        <f>I393+I401+I407</f>
        <v>0</v>
      </c>
      <c r="J408" s="24" t="s">
        <v>288</v>
      </c>
      <c r="K408" s="24" t="s">
        <v>288</v>
      </c>
      <c r="L408" s="47">
        <f>L393+L401+L407</f>
        <v>20071.759999999998</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0</v>
      </c>
      <c r="L434" s="47">
        <f t="shared" si="32"/>
        <v>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v>174971.05000000002</v>
      </c>
      <c r="G440" s="18">
        <v>79346.87</v>
      </c>
      <c r="H440" s="18"/>
      <c r="I440" s="56">
        <f t="shared" si="33"/>
        <v>254317.92</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174971.05000000002</v>
      </c>
      <c r="G446" s="13">
        <f>SUM(G439:G445)</f>
        <v>79346.87</v>
      </c>
      <c r="H446" s="13">
        <f>SUM(H439:H445)</f>
        <v>0</v>
      </c>
      <c r="I446" s="13">
        <f>SUM(I439:I445)</f>
        <v>254317.92</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v>174971.05</v>
      </c>
      <c r="G459" s="18">
        <v>79346.87</v>
      </c>
      <c r="H459" s="18"/>
      <c r="I459" s="56">
        <f t="shared" si="34"/>
        <v>254317.91999999998</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174971.05</v>
      </c>
      <c r="G460" s="83">
        <f>SUM(G454:G459)</f>
        <v>79346.87</v>
      </c>
      <c r="H460" s="83">
        <f>SUM(H454:H459)</f>
        <v>0</v>
      </c>
      <c r="I460" s="83">
        <f>SUM(I454:I459)</f>
        <v>254317.91999999998</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174971.05</v>
      </c>
      <c r="G461" s="42">
        <f>G452+G460</f>
        <v>79346.87</v>
      </c>
      <c r="H461" s="42">
        <f>H452+H460</f>
        <v>0</v>
      </c>
      <c r="I461" s="42">
        <f>I452+I460</f>
        <v>254317.91999999998</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115304.78</v>
      </c>
      <c r="G465" s="18">
        <v>0</v>
      </c>
      <c r="H465" s="18">
        <v>0</v>
      </c>
      <c r="I465" s="18"/>
      <c r="J465" s="18">
        <v>234246.16</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2546255.06</v>
      </c>
      <c r="G468" s="18">
        <v>60964.15</v>
      </c>
      <c r="H468" s="18">
        <f>12344+87504.92</f>
        <v>99848.92</v>
      </c>
      <c r="I468" s="18"/>
      <c r="J468" s="18">
        <v>20071.759999999998</v>
      </c>
      <c r="K468" s="24" t="s">
        <v>288</v>
      </c>
      <c r="L468" s="24" t="s">
        <v>288</v>
      </c>
      <c r="N468" s="265"/>
    </row>
    <row r="469" spans="1:14" s="52" customFormat="1" ht="12.2" customHeight="1" x14ac:dyDescent="0.2">
      <c r="A469" s="93" t="s">
        <v>611</v>
      </c>
      <c r="B469" s="75">
        <v>19</v>
      </c>
      <c r="C469" s="80">
        <v>3</v>
      </c>
      <c r="D469" s="2" t="s">
        <v>432</v>
      </c>
      <c r="E469" s="80"/>
      <c r="F469" s="18">
        <v>5724.68</v>
      </c>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2551979.7400000002</v>
      </c>
      <c r="G470" s="53">
        <f>SUM(G468:G469)</f>
        <v>60964.15</v>
      </c>
      <c r="H470" s="53">
        <f>SUM(H468:H469)</f>
        <v>99848.92</v>
      </c>
      <c r="I470" s="53">
        <f>SUM(I468:I469)</f>
        <v>0</v>
      </c>
      <c r="J470" s="53">
        <f>SUM(J468:J469)</f>
        <v>20071.759999999998</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f>2582105.57-12344</f>
        <v>2569761.5699999998</v>
      </c>
      <c r="G472" s="18">
        <v>60964.15</v>
      </c>
      <c r="H472" s="18">
        <f>79356.4+12344</f>
        <v>91700.4</v>
      </c>
      <c r="I472" s="18"/>
      <c r="J472" s="18"/>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2569761.5699999998</v>
      </c>
      <c r="G474" s="53">
        <f>SUM(G472:G473)</f>
        <v>60964.15</v>
      </c>
      <c r="H474" s="53">
        <f>SUM(H472:H473)</f>
        <v>91700.4</v>
      </c>
      <c r="I474" s="53">
        <f>SUM(I472:I473)</f>
        <v>0</v>
      </c>
      <c r="J474" s="53">
        <f>SUM(J472:J473)</f>
        <v>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97522.950000000186</v>
      </c>
      <c r="G476" s="53">
        <f>(G465+G470)- G474</f>
        <v>0</v>
      </c>
      <c r="H476" s="53">
        <f>(H465+H470)- H474</f>
        <v>8148.5200000000041</v>
      </c>
      <c r="I476" s="53">
        <f>(I465+I470)- I474</f>
        <v>0</v>
      </c>
      <c r="J476" s="53">
        <f>(J465+J470)- J474</f>
        <v>254317.92</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t="s">
        <v>1611</v>
      </c>
      <c r="B480" s="112"/>
      <c r="C480" s="112"/>
      <c r="D480" s="112"/>
      <c r="E480" s="112"/>
      <c r="F480" s="112"/>
      <c r="G480" s="112"/>
      <c r="H480" s="112"/>
      <c r="I480" s="112" t="s">
        <v>401</v>
      </c>
      <c r="J480" s="112"/>
      <c r="K480" s="95"/>
      <c r="L480" s="95"/>
      <c r="N480" s="265"/>
    </row>
    <row r="481" spans="1:14" s="52" customFormat="1" ht="12.2" customHeight="1" x14ac:dyDescent="0.2">
      <c r="A481" s="175" t="s">
        <v>1612</v>
      </c>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c r="G495" s="18"/>
      <c r="H495" s="18"/>
      <c r="I495" s="18"/>
      <c r="J495" s="18"/>
      <c r="K495" s="53">
        <f>SUM(F495:J495)</f>
        <v>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c r="G497" s="18"/>
      <c r="H497" s="18"/>
      <c r="I497" s="18"/>
      <c r="J497" s="18"/>
      <c r="K497" s="53">
        <f t="shared" si="35"/>
        <v>0</v>
      </c>
      <c r="L497" s="24" t="s">
        <v>288</v>
      </c>
      <c r="N497" s="265"/>
    </row>
    <row r="498" spans="1:14" s="52" customFormat="1" ht="12.2" customHeight="1" x14ac:dyDescent="0.2">
      <c r="A498" s="200" t="s">
        <v>622</v>
      </c>
      <c r="B498" s="201">
        <v>20</v>
      </c>
      <c r="C498" s="202">
        <v>9</v>
      </c>
      <c r="D498" s="203" t="s">
        <v>432</v>
      </c>
      <c r="E498" s="202"/>
      <c r="F498" s="204"/>
      <c r="G498" s="204"/>
      <c r="H498" s="204"/>
      <c r="I498" s="204"/>
      <c r="J498" s="204"/>
      <c r="K498" s="205">
        <f t="shared" si="35"/>
        <v>0</v>
      </c>
      <c r="L498" s="206" t="s">
        <v>288</v>
      </c>
      <c r="N498" s="265"/>
    </row>
    <row r="499" spans="1:14" s="52" customFormat="1" ht="12.2" customHeight="1" thickBot="1" x14ac:dyDescent="0.25">
      <c r="A499" s="22" t="s">
        <v>623</v>
      </c>
      <c r="B499" s="75">
        <v>20</v>
      </c>
      <c r="C499" s="115">
        <v>10</v>
      </c>
      <c r="D499" s="2" t="s">
        <v>432</v>
      </c>
      <c r="E499" s="115"/>
      <c r="F499" s="18"/>
      <c r="G499" s="18"/>
      <c r="H499" s="18"/>
      <c r="I499" s="18"/>
      <c r="J499" s="18"/>
      <c r="K499" s="53">
        <f t="shared" si="35"/>
        <v>0</v>
      </c>
      <c r="L499" s="24" t="s">
        <v>288</v>
      </c>
      <c r="N499" s="265"/>
    </row>
    <row r="500" spans="1:14" s="52" customFormat="1" ht="12.2" customHeight="1" thickTop="1" x14ac:dyDescent="0.2">
      <c r="A500" s="139" t="s">
        <v>624</v>
      </c>
      <c r="B500" s="44">
        <v>20</v>
      </c>
      <c r="C500" s="195">
        <v>11</v>
      </c>
      <c r="D500" s="39" t="s">
        <v>432</v>
      </c>
      <c r="E500" s="195"/>
      <c r="F500" s="42">
        <f>SUM(F498:F499)</f>
        <v>0</v>
      </c>
      <c r="G500" s="42">
        <f>SUM(G498:G499)</f>
        <v>0</v>
      </c>
      <c r="H500" s="42">
        <f>SUM(H498:H499)</f>
        <v>0</v>
      </c>
      <c r="I500" s="42">
        <f>SUM(I498:I499)</f>
        <v>0</v>
      </c>
      <c r="J500" s="42">
        <f>SUM(J498:J499)</f>
        <v>0</v>
      </c>
      <c r="K500" s="42">
        <f t="shared" si="35"/>
        <v>0</v>
      </c>
      <c r="L500" s="45" t="s">
        <v>288</v>
      </c>
      <c r="N500" s="265"/>
    </row>
    <row r="501" spans="1:14" s="52" customFormat="1" ht="12.2" customHeight="1" x14ac:dyDescent="0.2">
      <c r="A501" s="200" t="s">
        <v>651</v>
      </c>
      <c r="B501" s="201">
        <v>20</v>
      </c>
      <c r="C501" s="202">
        <v>12</v>
      </c>
      <c r="D501" s="203" t="s">
        <v>432</v>
      </c>
      <c r="E501" s="202"/>
      <c r="F501" s="204"/>
      <c r="G501" s="204"/>
      <c r="H501" s="204"/>
      <c r="I501" s="204"/>
      <c r="J501" s="204"/>
      <c r="K501" s="205">
        <f t="shared" si="35"/>
        <v>0</v>
      </c>
      <c r="L501" s="206" t="s">
        <v>288</v>
      </c>
      <c r="N501" s="265"/>
    </row>
    <row r="502" spans="1:14" s="52" customFormat="1" ht="12.2" customHeight="1" thickBot="1" x14ac:dyDescent="0.25">
      <c r="A502" s="22" t="s">
        <v>625</v>
      </c>
      <c r="B502" s="75">
        <v>20</v>
      </c>
      <c r="C502" s="115">
        <v>13</v>
      </c>
      <c r="D502" s="2" t="s">
        <v>432</v>
      </c>
      <c r="E502" s="115"/>
      <c r="F502" s="18"/>
      <c r="G502" s="18"/>
      <c r="H502" s="18"/>
      <c r="I502" s="18"/>
      <c r="J502" s="18"/>
      <c r="K502" s="53">
        <f t="shared" si="35"/>
        <v>0</v>
      </c>
      <c r="L502" s="24" t="s">
        <v>288</v>
      </c>
      <c r="N502" s="265"/>
    </row>
    <row r="503" spans="1:14" s="52" customFormat="1" ht="12.2" customHeight="1" thickTop="1" x14ac:dyDescent="0.2">
      <c r="A503" s="139" t="s">
        <v>626</v>
      </c>
      <c r="B503" s="44">
        <v>20</v>
      </c>
      <c r="C503" s="195">
        <v>14</v>
      </c>
      <c r="D503" s="39" t="s">
        <v>432</v>
      </c>
      <c r="E503" s="195"/>
      <c r="F503" s="42">
        <f>SUM(F501:F502)</f>
        <v>0</v>
      </c>
      <c r="G503" s="42">
        <f>SUM(G501:G502)</f>
        <v>0</v>
      </c>
      <c r="H503" s="42">
        <f>SUM(H501:H502)</f>
        <v>0</v>
      </c>
      <c r="I503" s="42">
        <f>SUM(I501:I502)</f>
        <v>0</v>
      </c>
      <c r="J503" s="42">
        <f>SUM(J501:J502)</f>
        <v>0</v>
      </c>
      <c r="K503" s="42">
        <f t="shared" si="35"/>
        <v>0</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v>174104.12</v>
      </c>
      <c r="G521" s="18">
        <v>88229.66</v>
      </c>
      <c r="H521" s="18">
        <v>8592.4</v>
      </c>
      <c r="I521" s="18">
        <f>2255.65-103.46</f>
        <v>2152.19</v>
      </c>
      <c r="J521" s="18">
        <v>724.94</v>
      </c>
      <c r="K521" s="18"/>
      <c r="L521" s="88">
        <f>SUM(F521:K521)</f>
        <v>273803.31000000006</v>
      </c>
      <c r="N521" s="265"/>
    </row>
    <row r="522" spans="1:14" s="52" customFormat="1" ht="12.2" customHeight="1" x14ac:dyDescent="0.2">
      <c r="A522" s="22" t="s">
        <v>634</v>
      </c>
      <c r="B522" s="105">
        <v>21</v>
      </c>
      <c r="C522" s="115">
        <v>2</v>
      </c>
      <c r="D522" s="2" t="s">
        <v>432</v>
      </c>
      <c r="E522" s="115"/>
      <c r="F522" s="18"/>
      <c r="G522" s="18"/>
      <c r="H522" s="18"/>
      <c r="I522" s="18"/>
      <c r="J522" s="18"/>
      <c r="K522" s="18"/>
      <c r="L522" s="88">
        <f>SUM(F522:K522)</f>
        <v>0</v>
      </c>
      <c r="N522" s="265"/>
    </row>
    <row r="523" spans="1:14" s="52" customFormat="1" ht="12.2" customHeight="1" thickBot="1" x14ac:dyDescent="0.25">
      <c r="A523" s="22" t="s">
        <v>635</v>
      </c>
      <c r="B523" s="105">
        <v>21</v>
      </c>
      <c r="C523" s="115">
        <v>3</v>
      </c>
      <c r="D523" s="2" t="s">
        <v>432</v>
      </c>
      <c r="E523" s="115"/>
      <c r="F523" s="18"/>
      <c r="G523" s="18"/>
      <c r="H523" s="18"/>
      <c r="I523" s="18"/>
      <c r="J523" s="18"/>
      <c r="K523" s="18"/>
      <c r="L523" s="88">
        <f>SUM(F523:K523)</f>
        <v>0</v>
      </c>
      <c r="N523" s="265"/>
    </row>
    <row r="524" spans="1:14" s="52" customFormat="1" ht="12.2" customHeight="1" thickTop="1" x14ac:dyDescent="0.2">
      <c r="A524" s="139" t="s">
        <v>63</v>
      </c>
      <c r="B524" s="107">
        <v>21</v>
      </c>
      <c r="C524" s="195">
        <v>4</v>
      </c>
      <c r="D524" s="196" t="s">
        <v>432</v>
      </c>
      <c r="E524" s="195"/>
      <c r="F524" s="108">
        <f>SUM(F521:F523)</f>
        <v>174104.12</v>
      </c>
      <c r="G524" s="108">
        <f t="shared" ref="G524:L524" si="36">SUM(G521:G523)</f>
        <v>88229.66</v>
      </c>
      <c r="H524" s="108">
        <f t="shared" si="36"/>
        <v>8592.4</v>
      </c>
      <c r="I524" s="108">
        <f t="shared" si="36"/>
        <v>2152.19</v>
      </c>
      <c r="J524" s="108">
        <f t="shared" si="36"/>
        <v>724.94</v>
      </c>
      <c r="K524" s="108">
        <f t="shared" si="36"/>
        <v>0</v>
      </c>
      <c r="L524" s="89">
        <f t="shared" si="36"/>
        <v>273803.31000000006</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c r="G526" s="18"/>
      <c r="H526" s="18">
        <v>104432.2</v>
      </c>
      <c r="I526" s="18"/>
      <c r="J526" s="18"/>
      <c r="K526" s="18"/>
      <c r="L526" s="88">
        <f>SUM(F526:K526)</f>
        <v>104432.2</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c r="G528" s="18"/>
      <c r="H528" s="18"/>
      <c r="I528" s="18"/>
      <c r="J528" s="18"/>
      <c r="K528" s="18"/>
      <c r="L528" s="88">
        <f>SUM(F528:K528)</f>
        <v>0</v>
      </c>
      <c r="M528" s="8"/>
      <c r="N528" s="266"/>
    </row>
    <row r="529" spans="1:14" s="3" customFormat="1" ht="12.2" customHeight="1" thickTop="1" x14ac:dyDescent="0.15">
      <c r="A529" s="139" t="s">
        <v>65</v>
      </c>
      <c r="B529" s="107">
        <v>21</v>
      </c>
      <c r="C529" s="107">
        <v>8</v>
      </c>
      <c r="D529" s="158" t="s">
        <v>432</v>
      </c>
      <c r="E529" s="107"/>
      <c r="F529" s="89">
        <f>SUM(F526:F528)</f>
        <v>0</v>
      </c>
      <c r="G529" s="89">
        <f t="shared" ref="G529:L529" si="37">SUM(G526:G528)</f>
        <v>0</v>
      </c>
      <c r="H529" s="89">
        <f t="shared" si="37"/>
        <v>104432.2</v>
      </c>
      <c r="I529" s="89">
        <f t="shared" si="37"/>
        <v>0</v>
      </c>
      <c r="J529" s="89">
        <f t="shared" si="37"/>
        <v>0</v>
      </c>
      <c r="K529" s="89">
        <f t="shared" si="37"/>
        <v>0</v>
      </c>
      <c r="L529" s="89">
        <f t="shared" si="37"/>
        <v>104432.2</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c r="G531" s="18"/>
      <c r="H531" s="18"/>
      <c r="I531" s="18"/>
      <c r="J531" s="18"/>
      <c r="K531" s="18"/>
      <c r="L531" s="88">
        <f>SUM(F531:K531)</f>
        <v>0</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c r="G533" s="18"/>
      <c r="H533" s="18"/>
      <c r="I533" s="18"/>
      <c r="J533" s="18"/>
      <c r="K533" s="18"/>
      <c r="L533" s="88">
        <f>SUM(F533:K533)</f>
        <v>0</v>
      </c>
      <c r="M533" s="8"/>
      <c r="N533" s="266"/>
    </row>
    <row r="534" spans="1:14" s="3" customFormat="1" ht="12.2" customHeight="1" thickTop="1" x14ac:dyDescent="0.15">
      <c r="A534" s="139" t="s">
        <v>67</v>
      </c>
      <c r="B534" s="107">
        <v>21</v>
      </c>
      <c r="C534" s="107">
        <v>12</v>
      </c>
      <c r="D534" s="158" t="s">
        <v>432</v>
      </c>
      <c r="E534" s="107"/>
      <c r="F534" s="89">
        <f>SUM(F531:F533)</f>
        <v>0</v>
      </c>
      <c r="G534" s="89">
        <f t="shared" ref="G534:L534" si="38">SUM(G531:G533)</f>
        <v>0</v>
      </c>
      <c r="H534" s="89">
        <f t="shared" si="38"/>
        <v>0</v>
      </c>
      <c r="I534" s="89">
        <f t="shared" si="38"/>
        <v>0</v>
      </c>
      <c r="J534" s="89">
        <f t="shared" si="38"/>
        <v>0</v>
      </c>
      <c r="K534" s="89">
        <f t="shared" si="38"/>
        <v>0</v>
      </c>
      <c r="L534" s="89">
        <f t="shared" si="38"/>
        <v>0</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0</v>
      </c>
      <c r="I539" s="89">
        <f t="shared" si="39"/>
        <v>0</v>
      </c>
      <c r="J539" s="89">
        <f t="shared" si="39"/>
        <v>0</v>
      </c>
      <c r="K539" s="89">
        <f t="shared" si="39"/>
        <v>0</v>
      </c>
      <c r="L539" s="89">
        <f t="shared" si="39"/>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c r="I541" s="18"/>
      <c r="J541" s="18"/>
      <c r="K541" s="18"/>
      <c r="L541" s="88">
        <f>SUM(F541:K541)</f>
        <v>0</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c r="I543" s="18"/>
      <c r="J543" s="18"/>
      <c r="K543" s="18"/>
      <c r="L543" s="88">
        <f>SUM(F543:K543)</f>
        <v>0</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0</v>
      </c>
      <c r="I544" s="193">
        <f t="shared" si="40"/>
        <v>0</v>
      </c>
      <c r="J544" s="193">
        <f t="shared" si="40"/>
        <v>0</v>
      </c>
      <c r="K544" s="193">
        <f t="shared" si="40"/>
        <v>0</v>
      </c>
      <c r="L544" s="193">
        <f t="shared" si="40"/>
        <v>0</v>
      </c>
      <c r="M544" s="8"/>
      <c r="N544" s="266"/>
    </row>
    <row r="545" spans="1:14" s="3" customFormat="1" ht="12.2" customHeight="1" thickTop="1" x14ac:dyDescent="0.15">
      <c r="A545" s="98" t="s">
        <v>72</v>
      </c>
      <c r="B545" s="107">
        <v>21</v>
      </c>
      <c r="C545" s="107">
        <v>21</v>
      </c>
      <c r="D545" s="158" t="s">
        <v>432</v>
      </c>
      <c r="E545" s="107"/>
      <c r="F545" s="89">
        <f>F524+F529+F534+F539+F544</f>
        <v>174104.12</v>
      </c>
      <c r="G545" s="89">
        <f t="shared" ref="G545:L545" si="41">G524+G529+G534+G539+G544</f>
        <v>88229.66</v>
      </c>
      <c r="H545" s="89">
        <f t="shared" si="41"/>
        <v>113024.59999999999</v>
      </c>
      <c r="I545" s="89">
        <f t="shared" si="41"/>
        <v>2152.19</v>
      </c>
      <c r="J545" s="89">
        <f t="shared" si="41"/>
        <v>724.94</v>
      </c>
      <c r="K545" s="89">
        <f t="shared" si="41"/>
        <v>0</v>
      </c>
      <c r="L545" s="89">
        <f t="shared" si="41"/>
        <v>378235.51000000007</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273803.31000000006</v>
      </c>
      <c r="G549" s="87">
        <f>L526</f>
        <v>104432.2</v>
      </c>
      <c r="H549" s="87">
        <f>L531</f>
        <v>0</v>
      </c>
      <c r="I549" s="87">
        <f>L536</f>
        <v>0</v>
      </c>
      <c r="J549" s="87">
        <f>L541</f>
        <v>0</v>
      </c>
      <c r="K549" s="87">
        <f>SUM(F549:J549)</f>
        <v>378235.51000000007</v>
      </c>
      <c r="L549" s="24" t="s">
        <v>288</v>
      </c>
      <c r="M549" s="8"/>
      <c r="N549" s="266"/>
    </row>
    <row r="550" spans="1:14" s="3" customFormat="1" ht="12.2" customHeight="1" x14ac:dyDescent="0.15">
      <c r="A550" s="22" t="s">
        <v>634</v>
      </c>
      <c r="B550" s="75">
        <v>21</v>
      </c>
      <c r="C550" s="75">
        <v>23</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thickBot="1" x14ac:dyDescent="0.2">
      <c r="A551" s="22" t="s">
        <v>635</v>
      </c>
      <c r="B551" s="75">
        <v>21</v>
      </c>
      <c r="C551" s="75">
        <v>24</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273803.31000000006</v>
      </c>
      <c r="G552" s="89">
        <f t="shared" si="42"/>
        <v>104432.2</v>
      </c>
      <c r="H552" s="89">
        <f t="shared" si="42"/>
        <v>0</v>
      </c>
      <c r="I552" s="89">
        <f t="shared" si="42"/>
        <v>0</v>
      </c>
      <c r="J552" s="89">
        <f t="shared" si="42"/>
        <v>0</v>
      </c>
      <c r="K552" s="89">
        <f t="shared" si="42"/>
        <v>378235.51000000007</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v>103.46</v>
      </c>
      <c r="J568" s="18"/>
      <c r="K568" s="18"/>
      <c r="L568" s="88">
        <f>SUM(F568:K568)</f>
        <v>103.46</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103.46</v>
      </c>
      <c r="J570" s="193">
        <f t="shared" si="45"/>
        <v>0</v>
      </c>
      <c r="K570" s="193">
        <f t="shared" si="45"/>
        <v>0</v>
      </c>
      <c r="L570" s="193">
        <f t="shared" si="45"/>
        <v>103.46</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103.46</v>
      </c>
      <c r="J571" s="89">
        <f t="shared" si="46"/>
        <v>0</v>
      </c>
      <c r="K571" s="89">
        <f t="shared" si="46"/>
        <v>0</v>
      </c>
      <c r="L571" s="89">
        <f t="shared" si="46"/>
        <v>103.46</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c r="I575" s="87">
        <f>SUM(F575:H575)</f>
        <v>0</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c r="G579" s="18"/>
      <c r="H579" s="18"/>
      <c r="I579" s="87">
        <f t="shared" si="47"/>
        <v>0</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v>2042.4</v>
      </c>
      <c r="G582" s="18"/>
      <c r="H582" s="18"/>
      <c r="I582" s="87">
        <f t="shared" si="47"/>
        <v>2042.4</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76810.89</v>
      </c>
      <c r="I591" s="18">
        <v>27100.38</v>
      </c>
      <c r="J591" s="18">
        <v>38899.379999999997</v>
      </c>
      <c r="K591" s="104">
        <f t="shared" ref="K591:K597" si="48">SUM(H591:J591)</f>
        <v>142810.65</v>
      </c>
      <c r="L591" s="24" t="s">
        <v>288</v>
      </c>
      <c r="M591" s="8"/>
      <c r="N591" s="266"/>
    </row>
    <row r="592" spans="1:14" s="3" customFormat="1" ht="12.2" customHeight="1" x14ac:dyDescent="0.15">
      <c r="A592" s="3" t="s">
        <v>638</v>
      </c>
      <c r="B592" s="75">
        <v>23</v>
      </c>
      <c r="C592" s="75">
        <v>2</v>
      </c>
      <c r="D592" s="2" t="s">
        <v>432</v>
      </c>
      <c r="E592" s="75"/>
      <c r="F592" s="102">
        <v>2722</v>
      </c>
      <c r="G592" s="103" t="s">
        <v>97</v>
      </c>
      <c r="H592" s="18"/>
      <c r="I592" s="18"/>
      <c r="J592" s="18"/>
      <c r="K592" s="104">
        <f t="shared" si="48"/>
        <v>0</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8"/>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18"/>
      <c r="J594" s="18"/>
      <c r="K594" s="104">
        <f t="shared" si="48"/>
        <v>0</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9407.9500000000007</v>
      </c>
      <c r="I595" s="18"/>
      <c r="J595" s="18"/>
      <c r="K595" s="104">
        <f t="shared" si="48"/>
        <v>9407.9500000000007</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86218.84</v>
      </c>
      <c r="I598" s="108">
        <f>SUM(I591:I597)</f>
        <v>27100.38</v>
      </c>
      <c r="J598" s="108">
        <f>SUM(J591:J597)</f>
        <v>38899.379999999997</v>
      </c>
      <c r="K598" s="108">
        <f>SUM(K591:K597)</f>
        <v>152218.6</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v>54981.54</v>
      </c>
      <c r="I604" s="18"/>
      <c r="J604" s="18"/>
      <c r="K604" s="104">
        <f>SUM(H604:J604)</f>
        <v>54981.54</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54981.54</v>
      </c>
      <c r="I605" s="108">
        <f>SUM(I602:I604)</f>
        <v>0</v>
      </c>
      <c r="J605" s="108">
        <f>SUM(J602:J604)</f>
        <v>0</v>
      </c>
      <c r="K605" s="108">
        <f>SUM(K602:K604)</f>
        <v>54981.54</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v>5370</v>
      </c>
      <c r="G611" s="18">
        <v>1142.57</v>
      </c>
      <c r="H611" s="18"/>
      <c r="I611" s="18"/>
      <c r="J611" s="18"/>
      <c r="K611" s="18"/>
      <c r="L611" s="88">
        <f>SUM(F611:K611)</f>
        <v>6512.57</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5370</v>
      </c>
      <c r="G614" s="108">
        <f t="shared" si="49"/>
        <v>1142.57</v>
      </c>
      <c r="H614" s="108">
        <f t="shared" si="49"/>
        <v>0</v>
      </c>
      <c r="I614" s="108">
        <f t="shared" si="49"/>
        <v>0</v>
      </c>
      <c r="J614" s="108">
        <f t="shared" si="49"/>
        <v>0</v>
      </c>
      <c r="K614" s="108">
        <f t="shared" si="49"/>
        <v>0</v>
      </c>
      <c r="L614" s="89">
        <f t="shared" si="49"/>
        <v>6512.57</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115278.36</v>
      </c>
      <c r="H617" s="109">
        <f>SUM(F52)</f>
        <v>115278.35999999999</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9866.74</v>
      </c>
      <c r="H618" s="109">
        <f>SUM(G52)</f>
        <v>9866.74</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23284.959999999999</v>
      </c>
      <c r="H619" s="109">
        <f>SUM(H52)</f>
        <v>23284.959999999999</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254317.92</v>
      </c>
      <c r="H621" s="109">
        <f>SUM(J52)</f>
        <v>254317.91999999998</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97522.949999999983</v>
      </c>
      <c r="H622" s="109">
        <f>F476</f>
        <v>97522.950000000186</v>
      </c>
      <c r="I622" s="121" t="s">
        <v>101</v>
      </c>
      <c r="J622" s="109">
        <f t="shared" ref="J622:J655" si="50">G622-H622</f>
        <v>-2.0372681319713593E-10</v>
      </c>
      <c r="K622" s="109"/>
      <c r="L622" s="109"/>
      <c r="M622" s="8"/>
    </row>
    <row r="623" spans="1:14" s="3" customFormat="1" ht="12.2" customHeight="1" x14ac:dyDescent="0.15">
      <c r="A623" s="97"/>
      <c r="B623" s="105"/>
      <c r="C623" s="119"/>
      <c r="D623" s="119"/>
      <c r="E623" s="119"/>
      <c r="F623" s="119" t="s">
        <v>866</v>
      </c>
      <c r="G623" s="109">
        <f>G51</f>
        <v>0</v>
      </c>
      <c r="H623" s="109">
        <f>G476</f>
        <v>0</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8148.52</v>
      </c>
      <c r="H624" s="109">
        <f>H476</f>
        <v>8148.5200000000041</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254317.91999999998</v>
      </c>
      <c r="H626" s="109">
        <f>J476</f>
        <v>254317.92</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2546255.06</v>
      </c>
      <c r="H627" s="104">
        <f>SUM(F468)</f>
        <v>2546255.06</v>
      </c>
      <c r="I627" s="140" t="s">
        <v>106</v>
      </c>
      <c r="J627" s="109">
        <f>G627-H627</f>
        <v>0</v>
      </c>
      <c r="K627" s="85"/>
      <c r="L627" s="88"/>
      <c r="M627" s="8"/>
    </row>
    <row r="628" spans="1:13" s="3" customFormat="1" ht="12.2" customHeight="1" x14ac:dyDescent="0.15">
      <c r="A628" s="22"/>
      <c r="B628" s="105"/>
      <c r="C628" s="105"/>
      <c r="D628" s="105"/>
      <c r="E628" s="105"/>
      <c r="F628" s="120" t="s">
        <v>659</v>
      </c>
      <c r="G628" s="109">
        <f>G193</f>
        <v>60964.15</v>
      </c>
      <c r="H628" s="104">
        <f>SUM(G468)</f>
        <v>60964.15</v>
      </c>
      <c r="I628" s="140" t="s">
        <v>107</v>
      </c>
      <c r="J628" s="109">
        <f>G628-H628</f>
        <v>0</v>
      </c>
      <c r="K628" s="85"/>
      <c r="L628" s="88"/>
      <c r="M628" s="8"/>
    </row>
    <row r="629" spans="1:13" s="3" customFormat="1" ht="12.2" customHeight="1" x14ac:dyDescent="0.15">
      <c r="A629" s="22"/>
      <c r="B629" s="105"/>
      <c r="C629" s="105"/>
      <c r="D629" s="105"/>
      <c r="E629" s="105"/>
      <c r="F629" s="120" t="s">
        <v>660</v>
      </c>
      <c r="G629" s="109">
        <f>H193</f>
        <v>99848.92</v>
      </c>
      <c r="H629" s="104">
        <f>SUM(H468)</f>
        <v>99848.92</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20071.760000000002</v>
      </c>
      <c r="H631" s="104">
        <f>SUM(J468)</f>
        <v>20071.759999999998</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2569761.5699999998</v>
      </c>
      <c r="H632" s="104">
        <f>SUM(F472)</f>
        <v>2569761.5699999998</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91700.4</v>
      </c>
      <c r="H633" s="104">
        <f>SUM(H472)</f>
        <v>91700.4</v>
      </c>
      <c r="I633" s="140" t="s">
        <v>112</v>
      </c>
      <c r="J633" s="109">
        <f>G633-H633</f>
        <v>0</v>
      </c>
      <c r="K633" s="85"/>
      <c r="L633" s="88"/>
      <c r="M633" s="8"/>
    </row>
    <row r="634" spans="1:13" s="3" customFormat="1" ht="12.2" customHeight="1" x14ac:dyDescent="0.15">
      <c r="A634" s="22"/>
      <c r="B634" s="105"/>
      <c r="C634" s="105"/>
      <c r="D634" s="105"/>
      <c r="E634" s="105"/>
      <c r="F634" s="142" t="s">
        <v>247</v>
      </c>
      <c r="G634" s="109">
        <f>I362</f>
        <v>0</v>
      </c>
      <c r="H634" s="104">
        <f>I369</f>
        <v>0</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60964.15</v>
      </c>
      <c r="H635" s="104">
        <f>SUM(G472)</f>
        <v>60964.15</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20071.759999999998</v>
      </c>
      <c r="H637" s="164">
        <f>SUM(J468)</f>
        <v>20071.759999999998</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0</v>
      </c>
      <c r="H638" s="164">
        <f>SUM(J472)</f>
        <v>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174971.05000000002</v>
      </c>
      <c r="H639" s="104">
        <f>SUM(F461)</f>
        <v>174971.05</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79346.87</v>
      </c>
      <c r="H640" s="104">
        <f>SUM(G461)</f>
        <v>79346.87</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254317.92</v>
      </c>
      <c r="H642" s="104">
        <f>SUM(I461)</f>
        <v>254317.91999999998</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10071.76</v>
      </c>
      <c r="H644" s="104">
        <f>H408</f>
        <v>10071.76</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10000</v>
      </c>
      <c r="H645" s="104">
        <f>G408</f>
        <v>10000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20071.760000000002</v>
      </c>
      <c r="H646" s="104">
        <f>L408</f>
        <v>20071.759999999998</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152218.6</v>
      </c>
      <c r="H647" s="104">
        <f>L208+L226+L244</f>
        <v>152218.6</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54981.54</v>
      </c>
      <c r="H648" s="104">
        <f>(J257+J338)-(J255+J336)</f>
        <v>54981.54</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86218.84</v>
      </c>
      <c r="H649" s="104">
        <f>H598</f>
        <v>86218.84</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27100.38</v>
      </c>
      <c r="H650" s="104">
        <f>I598</f>
        <v>27100.38</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38899.379999999997</v>
      </c>
      <c r="H651" s="104">
        <f>J598</f>
        <v>38899.379999999997</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18103.5</v>
      </c>
      <c r="H652" s="104">
        <f>K263+K345</f>
        <v>18103.5</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10000</v>
      </c>
      <c r="H655" s="104">
        <f>K266+K347</f>
        <v>10000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2628322.86</v>
      </c>
      <c r="G660" s="19">
        <f>(L229+L309+L359)</f>
        <v>27100.38</v>
      </c>
      <c r="H660" s="19">
        <f>(L247+L328+L360)</f>
        <v>38899.379999999997</v>
      </c>
      <c r="I660" s="19">
        <f>SUM(F660:H660)</f>
        <v>2694322.6199999996</v>
      </c>
      <c r="J660" s="13"/>
      <c r="K660" s="13"/>
      <c r="L660" s="13"/>
      <c r="M660" s="9"/>
    </row>
    <row r="661" spans="1:13" s="3" customFormat="1" ht="12.2" customHeight="1" x14ac:dyDescent="0.2">
      <c r="A661" s="1" t="s">
        <v>127</v>
      </c>
      <c r="F661" s="19">
        <f>(L358/IF(SUM(L358:L360)=0,1,SUM(L358:L360))*(SUM(G97:G110)))</f>
        <v>24972.799999999999</v>
      </c>
      <c r="G661" s="19">
        <f>(L359/IF(SUM(L358:L360)=0,1,SUM(L358:L360))*(SUM(G97:G110)))</f>
        <v>0</v>
      </c>
      <c r="H661" s="19">
        <f>(L360/IF(SUM(L358:L360)=0,1,SUM(L358:L360))*(SUM(G97:G110)))</f>
        <v>0</v>
      </c>
      <c r="I661" s="19">
        <f>SUM(F661:H661)</f>
        <v>24972.799999999999</v>
      </c>
      <c r="J661"/>
      <c r="K661" s="13"/>
      <c r="L661" s="13"/>
      <c r="M661" s="9"/>
    </row>
    <row r="662" spans="1:13" s="3" customFormat="1" ht="12.2" customHeight="1" x14ac:dyDescent="0.2">
      <c r="A662" s="1" t="s">
        <v>128</v>
      </c>
      <c r="F662" s="19">
        <f>(L208+L287)-(J208+J287)</f>
        <v>86218.84</v>
      </c>
      <c r="G662" s="19">
        <f>(L226+L306)-(J226+J306)</f>
        <v>27100.38</v>
      </c>
      <c r="H662" s="19">
        <f>(L244+L325)-(J244+J325)</f>
        <v>38899.379999999997</v>
      </c>
      <c r="I662" s="19">
        <f>SUM(F662:H662)</f>
        <v>152218.6</v>
      </c>
      <c r="J662"/>
      <c r="K662" s="13"/>
      <c r="L662" s="13"/>
      <c r="M662" s="8"/>
    </row>
    <row r="663" spans="1:13" s="3" customFormat="1" ht="12.2" customHeight="1" x14ac:dyDescent="0.15">
      <c r="A663" s="198" t="s">
        <v>129</v>
      </c>
      <c r="B663" s="169"/>
      <c r="C663" s="169"/>
      <c r="D663" s="169"/>
      <c r="E663" s="169"/>
      <c r="F663" s="199">
        <f>SUM(F575:F587)+SUM(H602:H604)+SUM(L611)</f>
        <v>63536.51</v>
      </c>
      <c r="G663" s="199">
        <f>SUM(G575:G587)+SUM(I602:I604)+L612</f>
        <v>0</v>
      </c>
      <c r="H663" s="199">
        <f>SUM(H575:H587)+SUM(J602:J604)+L613</f>
        <v>0</v>
      </c>
      <c r="I663" s="19">
        <f>SUM(F663:H663)</f>
        <v>63536.51</v>
      </c>
      <c r="J663" s="13"/>
      <c r="K663" s="13"/>
      <c r="L663" s="13"/>
      <c r="M663" s="9"/>
    </row>
    <row r="664" spans="1:13" s="3" customFormat="1" ht="12.2" customHeight="1" x14ac:dyDescent="0.15">
      <c r="A664" s="1" t="s">
        <v>130</v>
      </c>
      <c r="F664" s="19">
        <f>F660-SUM(F661:F663)</f>
        <v>2453594.71</v>
      </c>
      <c r="G664" s="19">
        <f>G660-SUM(G661:G663)</f>
        <v>0</v>
      </c>
      <c r="H664" s="19">
        <f>H660-SUM(H661:H663)</f>
        <v>0</v>
      </c>
      <c r="I664" s="19">
        <f>I660-SUM(I661:I663)</f>
        <v>2453594.7099999995</v>
      </c>
      <c r="J664" s="13"/>
      <c r="K664" s="13"/>
      <c r="L664" s="13"/>
      <c r="M664" s="9"/>
    </row>
    <row r="665" spans="1:13" s="3" customFormat="1" ht="12.2" customHeight="1" x14ac:dyDescent="0.2">
      <c r="A665" s="1" t="s">
        <v>131</v>
      </c>
      <c r="F665" s="246">
        <v>113.2</v>
      </c>
      <c r="G665" s="247">
        <v>0</v>
      </c>
      <c r="H665" s="247">
        <v>0</v>
      </c>
      <c r="I665" s="19">
        <f>SUM(F665:H665)</f>
        <v>113.2</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21674.86</v>
      </c>
      <c r="G667" s="19" t="e">
        <f>ROUND(G664/G665,2)</f>
        <v>#DIV/0!</v>
      </c>
      <c r="H667" s="19" t="e">
        <f>ROUND(H664/H665,2)</f>
        <v>#DIV/0!</v>
      </c>
      <c r="I667" s="19">
        <f>ROUND(I664/I665,2)</f>
        <v>21674.86</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21674.86</v>
      </c>
      <c r="G672" s="19" t="e">
        <f>ROUND((G664+G669)/(G665+G670),2)</f>
        <v>#DIV/0!</v>
      </c>
      <c r="H672" s="19" t="e">
        <f>ROUND((H664+H669)/(H665+H670),2)</f>
        <v>#DIV/0!</v>
      </c>
      <c r="I672" s="19">
        <f>ROUND((I664+I669)/(I665+I670),2)</f>
        <v>21674.86</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16" workbookViewId="0">
      <selection activeCell="H469" sqref="H469"/>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LAFAYETTE REGIONAL SCHOOL DISTRICT</v>
      </c>
      <c r="C1" s="238" t="s">
        <v>824</v>
      </c>
    </row>
    <row r="2" spans="1:3" x14ac:dyDescent="0.2">
      <c r="A2" s="233"/>
      <c r="B2" s="232"/>
    </row>
    <row r="3" spans="1:3" x14ac:dyDescent="0.2">
      <c r="A3" s="327" t="s">
        <v>780</v>
      </c>
      <c r="B3" s="327"/>
      <c r="C3" s="327"/>
    </row>
    <row r="4" spans="1:3" x14ac:dyDescent="0.2">
      <c r="A4" s="236"/>
      <c r="B4" s="237" t="str">
        <f>'DOE25'!H1</f>
        <v>DOE 25  2018-2019</v>
      </c>
      <c r="C4" s="236"/>
    </row>
    <row r="5" spans="1:3" x14ac:dyDescent="0.2">
      <c r="A5" s="233"/>
      <c r="B5" s="232"/>
    </row>
    <row r="6" spans="1:3" x14ac:dyDescent="0.2">
      <c r="A6" s="227"/>
      <c r="B6" s="326" t="s">
        <v>779</v>
      </c>
      <c r="C6" s="326"/>
    </row>
    <row r="7" spans="1:3" x14ac:dyDescent="0.2">
      <c r="A7" s="239" t="s">
        <v>782</v>
      </c>
      <c r="B7" s="324" t="s">
        <v>778</v>
      </c>
      <c r="C7" s="325"/>
    </row>
    <row r="8" spans="1:3" x14ac:dyDescent="0.2">
      <c r="B8" s="228" t="s">
        <v>54</v>
      </c>
      <c r="C8" s="228" t="s">
        <v>772</v>
      </c>
    </row>
    <row r="9" spans="1:3" x14ac:dyDescent="0.2">
      <c r="A9" s="33" t="s">
        <v>773</v>
      </c>
      <c r="B9" s="229">
        <f>'DOE25'!F197+'DOE25'!F215+'DOE25'!F233+'DOE25'!F276+'DOE25'!F295+'DOE25'!F314</f>
        <v>718043.21</v>
      </c>
      <c r="C9" s="229">
        <f>'DOE25'!G197+'DOE25'!G215+'DOE25'!G233+'DOE25'!G276+'DOE25'!G295+'DOE25'!G314</f>
        <v>317674.83</v>
      </c>
    </row>
    <row r="10" spans="1:3" x14ac:dyDescent="0.2">
      <c r="A10" t="s">
        <v>775</v>
      </c>
      <c r="B10" s="240">
        <v>694394.72</v>
      </c>
      <c r="C10" s="323">
        <v>314086.01500000001</v>
      </c>
    </row>
    <row r="11" spans="1:3" x14ac:dyDescent="0.2">
      <c r="A11" t="s">
        <v>776</v>
      </c>
      <c r="B11" s="240">
        <v>15638.49</v>
      </c>
      <c r="C11" s="240">
        <f>226.8+969.58+1732.74+46.93</f>
        <v>2976.0499999999997</v>
      </c>
    </row>
    <row r="12" spans="1:3" x14ac:dyDescent="0.2">
      <c r="A12" t="s">
        <v>777</v>
      </c>
      <c r="B12" s="240">
        <v>8010</v>
      </c>
      <c r="C12" s="240">
        <f>0.0765*B12</f>
        <v>612.76499999999999</v>
      </c>
    </row>
    <row r="13" spans="1:3" x14ac:dyDescent="0.2">
      <c r="A13" t="str">
        <f>IF(B9=B13,IF(C9=C13,"Check Total OK","Check Total Error"),"Check Total Error")</f>
        <v>Check Total OK</v>
      </c>
      <c r="B13" s="231">
        <f>SUM(B10:B12)</f>
        <v>718043.21</v>
      </c>
      <c r="C13" s="231">
        <f>SUM(C10:C12)</f>
        <v>317674.83</v>
      </c>
    </row>
    <row r="14" spans="1:3" x14ac:dyDescent="0.2">
      <c r="B14" s="230"/>
      <c r="C14" s="230"/>
    </row>
    <row r="15" spans="1:3" x14ac:dyDescent="0.2">
      <c r="B15" s="326" t="s">
        <v>779</v>
      </c>
      <c r="C15" s="326"/>
    </row>
    <row r="16" spans="1:3" x14ac:dyDescent="0.2">
      <c r="A16" s="239" t="s">
        <v>783</v>
      </c>
      <c r="B16" s="324" t="s">
        <v>703</v>
      </c>
      <c r="C16" s="325"/>
    </row>
    <row r="17" spans="1:3" x14ac:dyDescent="0.2">
      <c r="B17" s="228" t="s">
        <v>54</v>
      </c>
      <c r="C17" s="228" t="s">
        <v>772</v>
      </c>
    </row>
    <row r="18" spans="1:3" x14ac:dyDescent="0.2">
      <c r="A18" s="33" t="s">
        <v>773</v>
      </c>
      <c r="B18" s="229">
        <f>'DOE25'!F198+'DOE25'!F216+'DOE25'!F234+'DOE25'!F277+'DOE25'!F296+'DOE25'!F315</f>
        <v>174104.12</v>
      </c>
      <c r="C18" s="229">
        <f>'DOE25'!G198+'DOE25'!G216+'DOE25'!G234+'DOE25'!G277+'DOE25'!G296+'DOE25'!G315</f>
        <v>88229.66</v>
      </c>
    </row>
    <row r="19" spans="1:3" x14ac:dyDescent="0.2">
      <c r="A19" t="s">
        <v>775</v>
      </c>
      <c r="B19" s="240">
        <v>89310.399999999994</v>
      </c>
      <c r="C19" s="240">
        <v>48184.94</v>
      </c>
    </row>
    <row r="20" spans="1:3" x14ac:dyDescent="0.2">
      <c r="A20" t="s">
        <v>776</v>
      </c>
      <c r="B20" s="240">
        <v>84793.72</v>
      </c>
      <c r="C20" s="240">
        <v>40044.720000000001</v>
      </c>
    </row>
    <row r="21" spans="1:3" x14ac:dyDescent="0.2">
      <c r="A21" t="s">
        <v>777</v>
      </c>
      <c r="B21" s="240"/>
      <c r="C21" s="240"/>
    </row>
    <row r="22" spans="1:3" x14ac:dyDescent="0.2">
      <c r="A22" t="str">
        <f>IF(B18=B22,IF(C18=C22,"Check Total OK","Check Total Error"),"Check Total Error")</f>
        <v>Check Total OK</v>
      </c>
      <c r="B22" s="231">
        <f>SUM(B19:B21)</f>
        <v>174104.12</v>
      </c>
      <c r="C22" s="231">
        <f>SUM(C19:C21)</f>
        <v>88229.66</v>
      </c>
    </row>
    <row r="23" spans="1:3" x14ac:dyDescent="0.2">
      <c r="B23" s="230"/>
      <c r="C23" s="230"/>
    </row>
    <row r="24" spans="1:3" x14ac:dyDescent="0.2">
      <c r="B24" s="326" t="s">
        <v>779</v>
      </c>
      <c r="C24" s="326"/>
    </row>
    <row r="25" spans="1:3" x14ac:dyDescent="0.2">
      <c r="A25" s="239" t="s">
        <v>784</v>
      </c>
      <c r="B25" s="324" t="s">
        <v>704</v>
      </c>
      <c r="C25" s="325"/>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6" t="s">
        <v>779</v>
      </c>
      <c r="C33" s="326"/>
    </row>
    <row r="34" spans="1:3" x14ac:dyDescent="0.2">
      <c r="A34" s="239" t="s">
        <v>785</v>
      </c>
      <c r="B34" s="324" t="s">
        <v>705</v>
      </c>
      <c r="C34" s="325"/>
    </row>
    <row r="35" spans="1:3" x14ac:dyDescent="0.2">
      <c r="B35" s="228" t="s">
        <v>54</v>
      </c>
      <c r="C35" s="228" t="s">
        <v>772</v>
      </c>
    </row>
    <row r="36" spans="1:3" x14ac:dyDescent="0.2">
      <c r="A36" s="33" t="s">
        <v>773</v>
      </c>
      <c r="B36" s="235">
        <f>'DOE25'!F200+'DOE25'!F218+'DOE25'!F236+'DOE25'!F279+'DOE25'!F298+'DOE25'!F317</f>
        <v>20321.59</v>
      </c>
      <c r="C36" s="235">
        <f>'DOE25'!G200+'DOE25'!G218+'DOE25'!G236+'DOE25'!G279+'DOE25'!G298+'DOE25'!G317</f>
        <v>2060.9</v>
      </c>
    </row>
    <row r="37" spans="1:3" x14ac:dyDescent="0.2">
      <c r="A37" t="s">
        <v>775</v>
      </c>
      <c r="B37" s="240">
        <v>2510</v>
      </c>
      <c r="C37" s="240">
        <f>2060.9-C38-C39</f>
        <v>512.80000000000007</v>
      </c>
    </row>
    <row r="38" spans="1:3" x14ac:dyDescent="0.2">
      <c r="A38" t="s">
        <v>776</v>
      </c>
      <c r="B38" s="240">
        <f>510+17001.59</f>
        <v>17511.59</v>
      </c>
      <c r="C38" s="240">
        <v>1493.42</v>
      </c>
    </row>
    <row r="39" spans="1:3" x14ac:dyDescent="0.2">
      <c r="A39" t="s">
        <v>777</v>
      </c>
      <c r="B39" s="240">
        <v>300</v>
      </c>
      <c r="C39" s="240">
        <v>54.68</v>
      </c>
    </row>
    <row r="40" spans="1:3" x14ac:dyDescent="0.2">
      <c r="A40" t="str">
        <f>IF(B36=B40,IF(C36=C40,"Check Total OK","Check Total Error"),"Check Total Error")</f>
        <v>Check Total OK</v>
      </c>
      <c r="B40" s="231">
        <f>SUM(B37:B39)</f>
        <v>20321.59</v>
      </c>
      <c r="C40" s="231">
        <f>SUM(C37:C39)</f>
        <v>2060.9</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106" zoomScaleNormal="106" workbookViewId="0">
      <pane ySplit="4" topLeftCell="A5" activePane="bottomLeft" state="frozen"/>
      <selection activeCell="H469" sqref="H469"/>
      <selection pane="bottomLeft" activeCell="H469" sqref="H469"/>
    </sheetView>
  </sheetViews>
  <sheetFormatPr defaultRowHeight="11.25" x14ac:dyDescent="0.2"/>
  <cols>
    <col min="1" max="1" width="10.83203125" customWidth="1"/>
    <col min="2" max="2" width="41.1640625" customWidth="1"/>
    <col min="3" max="3" width="13.5" bestFit="1" customWidth="1"/>
    <col min="4" max="5" width="17.83203125" customWidth="1"/>
    <col min="6" max="6" width="21.33203125" customWidth="1"/>
    <col min="7" max="7" width="15.5" customWidth="1"/>
    <col min="8" max="8" width="12.83203125" customWidth="1"/>
    <col min="9" max="9" width="13.6640625" customWidth="1"/>
  </cols>
  <sheetData>
    <row r="1" spans="1:9" x14ac:dyDescent="0.2">
      <c r="A1" s="326" t="s">
        <v>894</v>
      </c>
      <c r="B1" s="330"/>
      <c r="C1" s="330"/>
      <c r="D1" s="330"/>
      <c r="E1" s="330"/>
      <c r="F1" s="330"/>
      <c r="G1" s="330"/>
      <c r="H1" s="330"/>
      <c r="I1" s="181"/>
    </row>
    <row r="2" spans="1:9" x14ac:dyDescent="0.2">
      <c r="A2" s="33" t="s">
        <v>713</v>
      </c>
      <c r="B2" s="260" t="str">
        <f>'DOE25'!A2</f>
        <v>LAFAYETTE REGIONAL SCHOOL DISTRICT</v>
      </c>
      <c r="C2" s="278"/>
      <c r="D2" s="181" t="s">
        <v>787</v>
      </c>
      <c r="E2" s="181" t="s">
        <v>789</v>
      </c>
      <c r="F2" s="328" t="s">
        <v>893</v>
      </c>
      <c r="G2" s="329"/>
      <c r="H2" s="329"/>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1399079.9900000002</v>
      </c>
      <c r="D5" s="20">
        <f>SUM('DOE25'!L197:L200)+SUM('DOE25'!L215:L218)+SUM('DOE25'!L233:L236)-F5-G5-H5</f>
        <v>1331107.0100000002</v>
      </c>
      <c r="E5" s="243"/>
      <c r="F5" s="244">
        <f>44764.7-25000</f>
        <v>19764.699999999997</v>
      </c>
      <c r="G5" s="53">
        <f>SUM('DOE25'!J197:J200)+SUM('DOE25'!J215:J218)+SUM('DOE25'!J233:J236)</f>
        <v>48208.28</v>
      </c>
      <c r="H5" s="53">
        <f>SUM('DOE25'!K197:K200)+SUM('DOE25'!K215:K218)+SUM('DOE25'!K233:K236)</f>
        <v>0</v>
      </c>
      <c r="I5" s="256"/>
    </row>
    <row r="6" spans="1:9" x14ac:dyDescent="0.2">
      <c r="A6" s="32">
        <v>2100</v>
      </c>
      <c r="B6" t="s">
        <v>796</v>
      </c>
      <c r="C6" s="276">
        <f t="shared" si="0"/>
        <v>216091.91999999998</v>
      </c>
      <c r="D6" s="20">
        <f>'DOE25'!L202+'DOE25'!L220+'DOE25'!L238-F6-G6-H6</f>
        <v>215493.91999999998</v>
      </c>
      <c r="E6" s="243"/>
      <c r="F6" s="244"/>
      <c r="G6" s="53">
        <f>'DOE25'!J202+'DOE25'!J220+'DOE25'!J238</f>
        <v>0</v>
      </c>
      <c r="H6" s="53">
        <f>'DOE25'!K202+'DOE25'!K220+'DOE25'!K238</f>
        <v>598</v>
      </c>
      <c r="I6" s="256"/>
    </row>
    <row r="7" spans="1:9" x14ac:dyDescent="0.2">
      <c r="A7" s="32">
        <v>2200</v>
      </c>
      <c r="B7" t="s">
        <v>821</v>
      </c>
      <c r="C7" s="276">
        <f t="shared" si="0"/>
        <v>114632.8</v>
      </c>
      <c r="D7" s="20">
        <f>'DOE25'!L203+'DOE25'!L221+'DOE25'!L239-F7-G7-H7</f>
        <v>103714.83</v>
      </c>
      <c r="E7" s="243"/>
      <c r="F7" s="244"/>
      <c r="G7" s="53">
        <f>'DOE25'!J203+'DOE25'!J221+'DOE25'!J239</f>
        <v>0</v>
      </c>
      <c r="H7" s="53">
        <f>'DOE25'!K203+'DOE25'!K221+'DOE25'!K239</f>
        <v>10917.97</v>
      </c>
      <c r="I7" s="256"/>
    </row>
    <row r="8" spans="1:9" x14ac:dyDescent="0.2">
      <c r="A8" s="32">
        <v>2300</v>
      </c>
      <c r="B8" t="s">
        <v>797</v>
      </c>
      <c r="C8" s="276">
        <f t="shared" si="0"/>
        <v>122792.8</v>
      </c>
      <c r="D8" s="243"/>
      <c r="E8" s="20">
        <f>'DOE25'!L204+'DOE25'!L222+'DOE25'!L240-F8-G8-H8-D9-D11</f>
        <v>118827.61</v>
      </c>
      <c r="F8" s="244"/>
      <c r="G8" s="53">
        <f>'DOE25'!J204+'DOE25'!J222+'DOE25'!J240</f>
        <v>0</v>
      </c>
      <c r="H8" s="53">
        <f>'DOE25'!K204+'DOE25'!K222+'DOE25'!K240</f>
        <v>3965.19</v>
      </c>
      <c r="I8" s="256"/>
    </row>
    <row r="9" spans="1:9" ht="14.25" x14ac:dyDescent="0.2">
      <c r="A9" s="32">
        <v>2310</v>
      </c>
      <c r="B9" s="185" t="s">
        <v>890</v>
      </c>
      <c r="C9" s="276">
        <f t="shared" si="0"/>
        <v>26956.48</v>
      </c>
      <c r="D9" s="244">
        <v>26956.48</v>
      </c>
      <c r="E9" s="243"/>
      <c r="F9" s="253"/>
      <c r="G9" s="253"/>
      <c r="H9" s="253"/>
      <c r="I9" s="256"/>
    </row>
    <row r="10" spans="1:9" ht="14.25" x14ac:dyDescent="0.2">
      <c r="A10" s="32">
        <v>2317</v>
      </c>
      <c r="B10" s="185" t="s">
        <v>891</v>
      </c>
      <c r="C10" s="276">
        <f t="shared" si="0"/>
        <v>7501</v>
      </c>
      <c r="D10" s="243"/>
      <c r="E10" s="244">
        <v>7501</v>
      </c>
      <c r="F10" s="253"/>
      <c r="G10" s="253"/>
      <c r="H10" s="253"/>
      <c r="I10" s="256"/>
    </row>
    <row r="11" spans="1:9" ht="14.25" x14ac:dyDescent="0.2">
      <c r="A11" s="32">
        <v>2321</v>
      </c>
      <c r="B11" s="185" t="s">
        <v>892</v>
      </c>
      <c r="C11" s="276">
        <f t="shared" si="0"/>
        <v>51588.2</v>
      </c>
      <c r="D11" s="244">
        <v>51588.2</v>
      </c>
      <c r="E11" s="243"/>
      <c r="F11" s="253"/>
      <c r="G11" s="253"/>
      <c r="H11" s="253"/>
      <c r="I11" s="256"/>
    </row>
    <row r="12" spans="1:9" x14ac:dyDescent="0.2">
      <c r="A12" s="32">
        <v>2400</v>
      </c>
      <c r="B12" t="s">
        <v>711</v>
      </c>
      <c r="C12" s="276">
        <f t="shared" si="0"/>
        <v>231806.01</v>
      </c>
      <c r="D12" s="20">
        <f>'DOE25'!L205+'DOE25'!L223+'DOE25'!L241-F12-G12-H12</f>
        <v>231806.01</v>
      </c>
      <c r="E12" s="243"/>
      <c r="F12" s="244"/>
      <c r="G12" s="53">
        <f>'DOE25'!J205+'DOE25'!J223+'DOE25'!J241</f>
        <v>0</v>
      </c>
      <c r="H12" s="53">
        <f>'DOE25'!K205+'DOE25'!K223+'DOE25'!K241</f>
        <v>0</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226491.27000000002</v>
      </c>
      <c r="D14" s="20">
        <f>'DOE25'!L207+'DOE25'!L225+'DOE25'!L243-F14-G14-H14</f>
        <v>219718.01</v>
      </c>
      <c r="E14" s="243"/>
      <c r="F14" s="244"/>
      <c r="G14" s="53">
        <f>'DOE25'!J207+'DOE25'!J225+'DOE25'!J243</f>
        <v>6773.26</v>
      </c>
      <c r="H14" s="53">
        <f>'DOE25'!K207+'DOE25'!K225+'DOE25'!K243</f>
        <v>0</v>
      </c>
      <c r="I14" s="256"/>
    </row>
    <row r="15" spans="1:9" x14ac:dyDescent="0.2">
      <c r="A15" s="32">
        <v>2700</v>
      </c>
      <c r="B15" t="s">
        <v>799</v>
      </c>
      <c r="C15" s="276">
        <f t="shared" si="0"/>
        <v>152218.6</v>
      </c>
      <c r="D15" s="20">
        <f>'DOE25'!L208+'DOE25'!L226+'DOE25'!L244-F15-G15-H15</f>
        <v>34407.950000000012</v>
      </c>
      <c r="E15" s="243"/>
      <c r="F15" s="244">
        <f>142810.65-25000</f>
        <v>117810.65</v>
      </c>
      <c r="G15" s="53">
        <f>'DOE25'!J208+'DOE25'!J226+'DOE25'!J244</f>
        <v>0</v>
      </c>
      <c r="H15" s="53">
        <f>'DOE25'!K208+'DOE25'!K226+'DOE25'!K244</f>
        <v>0</v>
      </c>
      <c r="I15" s="256"/>
    </row>
    <row r="16" spans="1:9" x14ac:dyDescent="0.2">
      <c r="A16" s="32">
        <v>2800</v>
      </c>
      <c r="B16" t="s">
        <v>800</v>
      </c>
      <c r="C16" s="276">
        <f t="shared" si="0"/>
        <v>0</v>
      </c>
      <c r="D16" s="243"/>
      <c r="E16" s="20">
        <f>'DOE25'!L209+'DOE25'!L227+'DOE25'!L245-F16-G16-H16</f>
        <v>0</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'DOE25'!L260+'DOE25'!L261+'DOE25'!L341+'DOE25'!L342</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60964.15</v>
      </c>
      <c r="D29" s="284">
        <f>'DOE25'!L358+'DOE25'!L359+'DOE25'!L360-'DOE25'!I367-F29-G29-H29</f>
        <v>24172</v>
      </c>
      <c r="E29" s="243"/>
      <c r="F29" s="244">
        <f>61792.15-25000</f>
        <v>36792.15</v>
      </c>
      <c r="G29" s="53">
        <f>'DOE25'!J358+'DOE25'!J359+'DOE25'!J360</f>
        <v>0</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91700.4</v>
      </c>
      <c r="D31" s="20">
        <f>'DOE25'!L290+'DOE25'!L309+'DOE25'!L328+'DOE25'!L333+'DOE25'!L334+'DOE25'!L335-F31-G31-H31</f>
        <v>85713.68</v>
      </c>
      <c r="E31" s="243"/>
      <c r="F31" s="244"/>
      <c r="G31" s="53">
        <f>'DOE25'!J290+'DOE25'!J309+'DOE25'!J328+'DOE25'!J333+'DOE25'!J334+'DOE25'!J335</f>
        <v>0</v>
      </c>
      <c r="H31" s="53">
        <f>'DOE25'!K290+'DOE25'!K309+'DOE25'!K328+'DOE25'!K333+'DOE25'!K334+'DOE25'!K335</f>
        <v>5986.72</v>
      </c>
      <c r="I31" s="256"/>
    </row>
    <row r="32" spans="1:9" ht="12" thickBot="1" x14ac:dyDescent="0.25">
      <c r="C32" s="277"/>
      <c r="G32" s="251"/>
      <c r="H32" s="251"/>
      <c r="I32" s="258"/>
    </row>
    <row r="33" spans="1:9" ht="12" thickTop="1" x14ac:dyDescent="0.2">
      <c r="B33" t="s">
        <v>809</v>
      </c>
      <c r="D33" s="245">
        <f t="shared" ref="D33:I33" si="1">SUM(D5:D31)</f>
        <v>2324678.0900000003</v>
      </c>
      <c r="E33" s="245">
        <f t="shared" si="1"/>
        <v>126328.61</v>
      </c>
      <c r="F33" s="245">
        <f t="shared" si="1"/>
        <v>174367.49999999997</v>
      </c>
      <c r="G33" s="245">
        <f t="shared" si="1"/>
        <v>54981.54</v>
      </c>
      <c r="H33" s="245">
        <f t="shared" si="1"/>
        <v>21467.88</v>
      </c>
      <c r="I33" s="245">
        <f t="shared" si="1"/>
        <v>0</v>
      </c>
    </row>
    <row r="35" spans="1:9" ht="12" thickBot="1" x14ac:dyDescent="0.25">
      <c r="B35" s="251" t="s">
        <v>831</v>
      </c>
      <c r="D35" s="252">
        <f>E33</f>
        <v>126328.61</v>
      </c>
      <c r="E35" s="248"/>
    </row>
    <row r="36" spans="1:9" ht="12" thickTop="1" x14ac:dyDescent="0.2">
      <c r="B36" t="s">
        <v>810</v>
      </c>
      <c r="D36" s="20">
        <f>D33</f>
        <v>2324678.0900000003</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31" t="s">
        <v>908</v>
      </c>
      <c r="C53" s="331"/>
      <c r="D53" s="331"/>
      <c r="E53" s="331"/>
      <c r="F53" s="331"/>
      <c r="G53" s="331"/>
      <c r="H53" s="331"/>
      <c r="I53" s="282"/>
    </row>
  </sheetData>
  <sheetProtection password="930A" sheet="1" objects="1" scenarios="1"/>
  <mergeCells count="3">
    <mergeCell ref="F2:H2"/>
    <mergeCell ref="A1:H1"/>
    <mergeCell ref="B53:H53"/>
  </mergeCells>
  <phoneticPr fontId="0" type="noConversion"/>
  <pageMargins left="0.5" right="0.5" top="0.5" bottom="0.5" header="0.5" footer="0.5"/>
  <pageSetup scale="88"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abSelected="1" zoomScaleNormal="100" workbookViewId="0">
      <selection activeCell="A29" sqref="A29"/>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322" t="s">
        <v>1609</v>
      </c>
      <c r="E1" s="126"/>
      <c r="F1" s="126"/>
      <c r="G1" s="126"/>
      <c r="H1" s="126"/>
    </row>
    <row r="2" spans="1:18" ht="12" thickBot="1" x14ac:dyDescent="0.25">
      <c r="A2" s="295" t="str">
        <f>'DOE25'!A2</f>
        <v>LAFAYETTE REGIONAL SCHOOL DISTRICT</v>
      </c>
      <c r="B2" s="126">
        <f>'DOE25'!B2</f>
        <v>288</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2567358.71</v>
      </c>
      <c r="G4" s="303">
        <f>'DOE25'!L211+'DOE25'!L290</f>
        <v>2567358.71</v>
      </c>
      <c r="H4" s="304">
        <f>F4-G4</f>
        <v>0</v>
      </c>
      <c r="I4" s="310" t="str">
        <f>IF(H4=0,"","Does not match DOE25 page 7 and 11 Totals!!")</f>
        <v/>
      </c>
      <c r="N4"/>
    </row>
    <row r="5" spans="1:18" x14ac:dyDescent="0.2">
      <c r="A5" s="21" t="s">
        <v>1190</v>
      </c>
      <c r="B5" s="305">
        <f>IFERROR(VLOOKUP(A5,'School Tables'!$C$3:$D$368,2,FALSE),"")</f>
        <v>21405</v>
      </c>
      <c r="C5" s="297" t="str">
        <f>IFERROR(INDEX('School Tables'!$B$3:$B$368,MATCH('School Level Expenditures'!B5,'School Tables'!$D$3:$D$368,0)),"")</f>
        <v>Lafayette Regional</v>
      </c>
      <c r="D5" s="294">
        <v>2506408.79</v>
      </c>
      <c r="E5" s="294">
        <v>60949.919999999998</v>
      </c>
      <c r="F5" s="313">
        <f>D5+E5</f>
        <v>2567358.71</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t="str">
        <f>IFERROR(VLOOKUP(A8,'School Tables'!$C$3:$D$368,2,FALSE),"")</f>
        <v/>
      </c>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27100.38</v>
      </c>
      <c r="G24" s="303">
        <f>'DOE25'!L229+'DOE25'!L309</f>
        <v>27100.38</v>
      </c>
      <c r="H24" s="304">
        <f>F24-G24</f>
        <v>0</v>
      </c>
      <c r="I24" s="310" t="str">
        <f>IF(H24=0,"","Does not match DOE25 page 8 and 12 Totals!!")</f>
        <v/>
      </c>
      <c r="N24"/>
    </row>
    <row r="25" spans="1:14" x14ac:dyDescent="0.2">
      <c r="A25" s="21" t="s">
        <v>1586</v>
      </c>
      <c r="B25" s="305">
        <f>IFERROR(VLOOKUP(A25,'School Tables'!$I$3:$J$80,2,FALSE),"")</f>
        <v>99999</v>
      </c>
      <c r="C25" s="297" t="str">
        <f t="array" ref="C25">IFERROR(INDEX('School Tables'!$H$3:$H$80,MATCH('School Level Expenditures'!B25,'School Tables'!$J$3:$J$80,0)),"")</f>
        <v>Other District Expenditures</v>
      </c>
      <c r="D25" s="294">
        <v>27100.38</v>
      </c>
      <c r="E25" s="294"/>
      <c r="F25" s="308">
        <f>D25+E25</f>
        <v>27100.38</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38899.379999999997</v>
      </c>
      <c r="G36" s="303">
        <f>'DOE25'!L247+'DOE25'!L328</f>
        <v>38899.379999999997</v>
      </c>
      <c r="H36" s="304">
        <f>F36-G36</f>
        <v>0</v>
      </c>
      <c r="I36" s="310" t="str">
        <f>IF(H36=0,"","Does not match DOE25 page 9 and 13 Totals!!")</f>
        <v/>
      </c>
      <c r="N36"/>
    </row>
    <row r="37" spans="1:14" x14ac:dyDescent="0.2">
      <c r="A37" s="21" t="s">
        <v>1586</v>
      </c>
      <c r="B37" s="305">
        <f>IFERROR(VLOOKUP(A37,'School Tables'!$O$3:$P$122,2,FALSE),"")</f>
        <v>99999</v>
      </c>
      <c r="C37" s="297" t="str">
        <f t="array" ref="C37">IFERROR(INDEX('School Tables'!$N$3:$N$122,MATCH('School Level Expenditures'!B37,'School Tables'!$P$3:$P$122,0)),"")</f>
        <v>Other District Expenditures</v>
      </c>
      <c r="D37" s="294">
        <v>38899.379999999997</v>
      </c>
      <c r="E37" s="294"/>
      <c r="F37" s="308">
        <f>D37+E37</f>
        <v>38899.379999999997</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31"/>
      <c r="B58" s="331"/>
      <c r="C58" s="331"/>
      <c r="D58" s="331"/>
      <c r="E58" s="331"/>
      <c r="F58" s="331"/>
      <c r="G58" s="331"/>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H469" sqref="H469"/>
      <selection pane="bottomLeft" activeCell="H469" sqref="H469"/>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LAFAYETTE REGIONAL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92254.74</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254317.92</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6868.09</v>
      </c>
      <c r="D11" s="95">
        <f>'DOE25'!G12</f>
        <v>8268.35</v>
      </c>
      <c r="E11" s="95">
        <f>'DOE25'!H12</f>
        <v>0</v>
      </c>
      <c r="F11" s="95">
        <f>'DOE25'!I12</f>
        <v>0</v>
      </c>
      <c r="G11" s="95">
        <f>'DOE25'!J12</f>
        <v>0</v>
      </c>
      <c r="H11" s="124"/>
      <c r="I11" s="124"/>
    </row>
    <row r="12" spans="1:9" x14ac:dyDescent="0.2">
      <c r="A12" s="1" t="s">
        <v>143</v>
      </c>
      <c r="B12" s="6">
        <v>140</v>
      </c>
      <c r="C12" s="95">
        <f>'DOE25'!F13</f>
        <v>11652.8</v>
      </c>
      <c r="D12" s="95">
        <f>'DOE25'!G13</f>
        <v>972.39</v>
      </c>
      <c r="E12" s="95">
        <f>'DOE25'!H13</f>
        <v>23284.959999999999</v>
      </c>
      <c r="F12" s="95">
        <f>'DOE25'!I13</f>
        <v>0</v>
      </c>
      <c r="G12" s="95">
        <f>'DOE25'!J13</f>
        <v>0</v>
      </c>
      <c r="H12" s="124"/>
      <c r="I12" s="124"/>
    </row>
    <row r="13" spans="1:9" x14ac:dyDescent="0.2">
      <c r="A13" s="1" t="s">
        <v>144</v>
      </c>
      <c r="B13" s="6">
        <v>150</v>
      </c>
      <c r="C13" s="95">
        <f>'DOE25'!F14</f>
        <v>3596.73</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906</v>
      </c>
      <c r="D16" s="95">
        <f>'DOE25'!G17</f>
        <v>626</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115278.36</v>
      </c>
      <c r="D18" s="41">
        <f>SUM(D8:D17)</f>
        <v>9866.74</v>
      </c>
      <c r="E18" s="41">
        <f>SUM(E8:E17)</f>
        <v>23284.959999999999</v>
      </c>
      <c r="F18" s="41">
        <f>SUM(F8:F17)</f>
        <v>0</v>
      </c>
      <c r="G18" s="41">
        <f>SUM(G8:G17)</f>
        <v>254317.92</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15136.44</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15315.54</v>
      </c>
      <c r="D23" s="95">
        <f>'DOE25'!G24</f>
        <v>6365.27</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2439.87</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3501.47</v>
      </c>
      <c r="E30" s="95">
        <f>'DOE25'!H31</f>
        <v>0</v>
      </c>
      <c r="F30" s="95">
        <f>'DOE25'!I31</f>
        <v>0</v>
      </c>
      <c r="G30" s="95">
        <f>'DOE25'!J31</f>
        <v>0</v>
      </c>
      <c r="H30" s="124"/>
      <c r="I30" s="124"/>
    </row>
    <row r="31" spans="1:9" ht="12" thickTop="1" x14ac:dyDescent="0.2">
      <c r="A31" s="38" t="s">
        <v>160</v>
      </c>
      <c r="B31" s="2"/>
      <c r="C31" s="41">
        <f>SUM(C21:C30)</f>
        <v>17755.41</v>
      </c>
      <c r="D31" s="41">
        <f>SUM(D21:D30)</f>
        <v>9866.74</v>
      </c>
      <c r="E31" s="41">
        <f>SUM(E21:E30)</f>
        <v>15136.44</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906</v>
      </c>
      <c r="D35" s="95">
        <f>'DOE25'!G36</f>
        <v>626</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-626</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25000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8148.52</v>
      </c>
      <c r="F47" s="95">
        <f>'DOE25'!I48</f>
        <v>0</v>
      </c>
      <c r="G47" s="95">
        <f>'DOE25'!J48</f>
        <v>254317.91999999998</v>
      </c>
      <c r="H47" s="124"/>
      <c r="I47" s="124"/>
    </row>
    <row r="48" spans="1:9" x14ac:dyDescent="0.2">
      <c r="A48" s="1" t="s">
        <v>882</v>
      </c>
      <c r="B48" s="6">
        <v>753</v>
      </c>
      <c r="C48" s="95">
        <f>'DOE25'!F49</f>
        <v>8000</v>
      </c>
      <c r="D48" s="95">
        <f>'DOE25'!G49</f>
        <v>0</v>
      </c>
      <c r="E48" s="95">
        <f>'DOE25'!H49</f>
        <v>0</v>
      </c>
      <c r="F48" s="95">
        <f>'DOE25'!I49</f>
        <v>0</v>
      </c>
      <c r="G48" s="95">
        <f>'DOE25'!J49</f>
        <v>0</v>
      </c>
      <c r="H48" s="124"/>
      <c r="I48" s="124"/>
    </row>
    <row r="49" spans="1:9" ht="12" thickBot="1" x14ac:dyDescent="0.25">
      <c r="A49" s="29" t="s">
        <v>883</v>
      </c>
      <c r="B49" s="71">
        <v>770</v>
      </c>
      <c r="C49" s="95">
        <f>'DOE25'!F50</f>
        <v>63616.949999999983</v>
      </c>
      <c r="D49" s="24" t="s">
        <v>288</v>
      </c>
      <c r="E49" s="24" t="s">
        <v>288</v>
      </c>
      <c r="F49" s="24" t="s">
        <v>288</v>
      </c>
      <c r="G49" s="24" t="s">
        <v>288</v>
      </c>
      <c r="H49" s="124"/>
      <c r="I49" s="124"/>
    </row>
    <row r="50" spans="1:9" ht="12.75" thickTop="1" thickBot="1" x14ac:dyDescent="0.25">
      <c r="A50" s="38" t="s">
        <v>884</v>
      </c>
      <c r="B50" s="48"/>
      <c r="C50" s="41">
        <f>SUM(C34:C49)</f>
        <v>97522.949999999983</v>
      </c>
      <c r="D50" s="41">
        <f>SUM(D34:D49)</f>
        <v>0</v>
      </c>
      <c r="E50" s="41">
        <f>SUM(E34:E49)</f>
        <v>8148.52</v>
      </c>
      <c r="F50" s="41">
        <f>SUM(F34:F49)</f>
        <v>0</v>
      </c>
      <c r="G50" s="41">
        <f>SUM(G34:G49)</f>
        <v>254317.91999999998</v>
      </c>
      <c r="H50" s="124"/>
      <c r="I50" s="124"/>
    </row>
    <row r="51" spans="1:9" ht="12" thickTop="1" x14ac:dyDescent="0.2">
      <c r="A51" s="38" t="s">
        <v>885</v>
      </c>
      <c r="B51" s="2"/>
      <c r="C51" s="41">
        <f>C50+C31</f>
        <v>115278.35999999999</v>
      </c>
      <c r="D51" s="41">
        <f>D50+D31</f>
        <v>9866.74</v>
      </c>
      <c r="E51" s="41">
        <f>E50+E31</f>
        <v>23284.959999999999</v>
      </c>
      <c r="F51" s="41">
        <f>F50+F31</f>
        <v>0</v>
      </c>
      <c r="G51" s="41">
        <f>G50+G31</f>
        <v>254317.91999999998</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1856683</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633.16999999999996</v>
      </c>
      <c r="D59" s="95">
        <f>'DOE25'!G96</f>
        <v>0</v>
      </c>
      <c r="E59" s="95">
        <f>'DOE25'!H96</f>
        <v>0</v>
      </c>
      <c r="F59" s="95">
        <f>'DOE25'!I96</f>
        <v>0</v>
      </c>
      <c r="G59" s="95">
        <f>'DOE25'!J96</f>
        <v>10071.76</v>
      </c>
      <c r="H59"/>
      <c r="I59"/>
    </row>
    <row r="60" spans="1:9" x14ac:dyDescent="0.2">
      <c r="A60" s="1" t="s">
        <v>170</v>
      </c>
      <c r="B60" s="118" t="s">
        <v>171</v>
      </c>
      <c r="C60" s="24" t="s">
        <v>288</v>
      </c>
      <c r="D60" s="95">
        <f>'DOE25'!G97</f>
        <v>24972.799999999999</v>
      </c>
      <c r="E60" s="24" t="s">
        <v>288</v>
      </c>
      <c r="F60" s="24" t="s">
        <v>288</v>
      </c>
      <c r="G60" s="24" t="s">
        <v>288</v>
      </c>
      <c r="H60"/>
      <c r="I60"/>
    </row>
    <row r="61" spans="1:9" ht="12" thickBot="1" x14ac:dyDescent="0.25">
      <c r="A61" s="1" t="s">
        <v>172</v>
      </c>
      <c r="B61" s="118" t="s">
        <v>173</v>
      </c>
      <c r="C61" s="95">
        <f>SUM('DOE25'!F98:F110)</f>
        <v>18996.259999999998</v>
      </c>
      <c r="D61" s="95">
        <f>SUM('DOE25'!G98:G110)</f>
        <v>0</v>
      </c>
      <c r="E61" s="95">
        <f>SUM('DOE25'!H98:H110)</f>
        <v>26555</v>
      </c>
      <c r="F61" s="95">
        <f>SUM('DOE25'!I98:I110)</f>
        <v>0</v>
      </c>
      <c r="G61" s="95">
        <f>SUM('DOE25'!J98:J110)</f>
        <v>0</v>
      </c>
      <c r="H61"/>
      <c r="I61"/>
    </row>
    <row r="62" spans="1:9" ht="12.75" thickTop="1" thickBot="1" x14ac:dyDescent="0.25">
      <c r="A62" s="29" t="s">
        <v>174</v>
      </c>
      <c r="B62" s="6"/>
      <c r="C62" s="130">
        <f>SUM(C57:C61)</f>
        <v>19629.429999999997</v>
      </c>
      <c r="D62" s="130">
        <f>SUM(D57:D61)</f>
        <v>24972.799999999999</v>
      </c>
      <c r="E62" s="130">
        <f>SUM(E57:E61)</f>
        <v>26555</v>
      </c>
      <c r="F62" s="130">
        <f>SUM(F57:F61)</f>
        <v>0</v>
      </c>
      <c r="G62" s="130">
        <f>SUM(G57:G61)</f>
        <v>10071.76</v>
      </c>
      <c r="H62"/>
      <c r="I62"/>
    </row>
    <row r="63" spans="1:9" ht="12" thickTop="1" x14ac:dyDescent="0.2">
      <c r="A63" s="29" t="s">
        <v>175</v>
      </c>
      <c r="B63" s="6"/>
      <c r="C63" s="22">
        <f>C56+C62</f>
        <v>1876312.43</v>
      </c>
      <c r="D63" s="22">
        <f>D56+D62</f>
        <v>24972.799999999999</v>
      </c>
      <c r="E63" s="22">
        <f>E56+E62</f>
        <v>26555</v>
      </c>
      <c r="F63" s="22">
        <f>F56+F62</f>
        <v>0</v>
      </c>
      <c r="G63" s="22">
        <f>G56+G62</f>
        <v>10071.76</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0</v>
      </c>
      <c r="D66" s="24" t="s">
        <v>288</v>
      </c>
      <c r="E66" s="24" t="s">
        <v>288</v>
      </c>
      <c r="F66" s="24" t="s">
        <v>288</v>
      </c>
      <c r="G66" s="24" t="s">
        <v>288</v>
      </c>
      <c r="H66"/>
      <c r="I66"/>
    </row>
    <row r="67" spans="1:9" x14ac:dyDescent="0.2">
      <c r="A67" s="1" t="s">
        <v>770</v>
      </c>
      <c r="B67" s="6">
        <v>3112</v>
      </c>
      <c r="C67" s="95">
        <f>'DOE25'!F118</f>
        <v>617525</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617525</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20557.79</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11652.8</v>
      </c>
      <c r="D77" s="95">
        <f>SUM('DOE25'!G131:G135)</f>
        <v>726.08</v>
      </c>
      <c r="E77" s="95">
        <f>SUM('DOE25'!H131:H135)</f>
        <v>0</v>
      </c>
      <c r="F77" s="95">
        <f>SUM('DOE25'!I131:I135)</f>
        <v>0</v>
      </c>
      <c r="G77" s="95">
        <f>SUM('DOE25'!J131:J135)</f>
        <v>0</v>
      </c>
      <c r="H77"/>
      <c r="I77"/>
    </row>
    <row r="78" spans="1:9" ht="12.75" thickTop="1" thickBot="1" x14ac:dyDescent="0.25">
      <c r="A78" s="29" t="s">
        <v>259</v>
      </c>
      <c r="B78" s="6"/>
      <c r="C78" s="130">
        <f>SUM(C72:C77)</f>
        <v>32210.59</v>
      </c>
      <c r="D78" s="130">
        <f>SUM(D72:D77)</f>
        <v>726.08</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649735.59</v>
      </c>
      <c r="D81" s="130">
        <f>SUM(D79:D80)+D78+D70</f>
        <v>726.08</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24606.91</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0</v>
      </c>
      <c r="D88" s="95">
        <f>SUM('DOE25'!G153:G161)</f>
        <v>17161.77</v>
      </c>
      <c r="E88" s="95">
        <f>SUM('DOE25'!H153:H161)</f>
        <v>48687.009999999995</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20207.04</v>
      </c>
      <c r="D90" s="24" t="s">
        <v>288</v>
      </c>
      <c r="E90" s="24" t="s">
        <v>288</v>
      </c>
      <c r="F90" s="24" t="s">
        <v>288</v>
      </c>
      <c r="G90" s="24" t="s">
        <v>288</v>
      </c>
    </row>
    <row r="91" spans="1:9" ht="12.75" thickTop="1" thickBot="1" x14ac:dyDescent="0.25">
      <c r="A91" s="33" t="s">
        <v>750</v>
      </c>
      <c r="C91" s="131">
        <f>SUM(C85:C90)</f>
        <v>20207.04</v>
      </c>
      <c r="D91" s="131">
        <f>SUM(D85:D90)</f>
        <v>17161.77</v>
      </c>
      <c r="E91" s="131">
        <f>SUM(E85:E90)</f>
        <v>73293.919999999998</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18103.5</v>
      </c>
      <c r="E96" s="95">
        <f>'DOE25'!H179</f>
        <v>0</v>
      </c>
      <c r="F96" s="95">
        <f>'DOE25'!I179</f>
        <v>0</v>
      </c>
      <c r="G96" s="95">
        <f>'DOE25'!J179</f>
        <v>10000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18103.5</v>
      </c>
      <c r="E103" s="86">
        <f>SUM(E93:E102)</f>
        <v>0</v>
      </c>
      <c r="F103" s="86">
        <f>SUM(F93:F102)</f>
        <v>0</v>
      </c>
      <c r="G103" s="86">
        <f>SUM(G93:G102)</f>
        <v>10000</v>
      </c>
    </row>
    <row r="104" spans="1:7" ht="12.75" thickTop="1" thickBot="1" x14ac:dyDescent="0.25">
      <c r="A104" s="33" t="s">
        <v>761</v>
      </c>
      <c r="C104" s="86">
        <f>C63+C81+C91+C103</f>
        <v>2546255.06</v>
      </c>
      <c r="D104" s="86">
        <f>D63+D81+D91+D103</f>
        <v>60964.15</v>
      </c>
      <c r="E104" s="86">
        <f>E63+E81+E91+E103</f>
        <v>99848.92</v>
      </c>
      <c r="F104" s="86">
        <f>F63+F81+F91+F103</f>
        <v>0</v>
      </c>
      <c r="G104" s="86">
        <f>G63+G81+G103</f>
        <v>20071.760000000002</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1141339.9400000002</v>
      </c>
      <c r="D109" s="24" t="s">
        <v>288</v>
      </c>
      <c r="E109" s="95">
        <f>('DOE25'!L276)+('DOE25'!L295)+('DOE25'!L314)</f>
        <v>12344</v>
      </c>
      <c r="F109" s="24" t="s">
        <v>288</v>
      </c>
      <c r="G109" s="24" t="s">
        <v>288</v>
      </c>
    </row>
    <row r="110" spans="1:7" x14ac:dyDescent="0.2">
      <c r="A110" t="s">
        <v>198</v>
      </c>
      <c r="B110" s="32" t="s">
        <v>199</v>
      </c>
      <c r="C110" s="95">
        <f>('DOE25'!L198)+('DOE25'!L216)+('DOE25'!L234)</f>
        <v>241181.77</v>
      </c>
      <c r="D110" s="24" t="s">
        <v>288</v>
      </c>
      <c r="E110" s="95">
        <f>('DOE25'!L277)+('DOE25'!L296)+('DOE25'!L315)</f>
        <v>32725</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16558.28</v>
      </c>
      <c r="D112" s="24" t="s">
        <v>288</v>
      </c>
      <c r="E112" s="95">
        <f>+('DOE25'!L279)+('DOE25'!L298)+('DOE25'!L317)</f>
        <v>18406.48</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1399079.9900000002</v>
      </c>
      <c r="D115" s="86">
        <f>SUM(D109:D114)</f>
        <v>0</v>
      </c>
      <c r="E115" s="86">
        <f>SUM(E109:E114)</f>
        <v>63475.479999999996</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216091.91999999998</v>
      </c>
      <c r="D118" s="24" t="s">
        <v>288</v>
      </c>
      <c r="E118" s="95">
        <f>+('DOE25'!L281)+('DOE25'!L300)+('DOE25'!L319)</f>
        <v>0</v>
      </c>
      <c r="F118" s="24" t="s">
        <v>288</v>
      </c>
      <c r="G118" s="24" t="s">
        <v>288</v>
      </c>
    </row>
    <row r="119" spans="1:7" x14ac:dyDescent="0.2">
      <c r="A119" t="s">
        <v>208</v>
      </c>
      <c r="B119" s="32" t="s">
        <v>209</v>
      </c>
      <c r="C119" s="95">
        <f>('DOE25'!L203)+('DOE25'!L221)+('DOE25'!L239)</f>
        <v>114632.8</v>
      </c>
      <c r="D119" s="24" t="s">
        <v>288</v>
      </c>
      <c r="E119" s="95">
        <f>+('DOE25'!L282)+('DOE25'!L301)+('DOE25'!L320)</f>
        <v>24606.91</v>
      </c>
      <c r="F119" s="24" t="s">
        <v>288</v>
      </c>
      <c r="G119" s="24" t="s">
        <v>288</v>
      </c>
    </row>
    <row r="120" spans="1:7" x14ac:dyDescent="0.2">
      <c r="A120" t="s">
        <v>210</v>
      </c>
      <c r="B120" s="32" t="s">
        <v>211</v>
      </c>
      <c r="C120" s="95">
        <f>('DOE25'!L204)+('DOE25'!L222)+('DOE25'!L240)</f>
        <v>201337.48</v>
      </c>
      <c r="D120" s="24" t="s">
        <v>288</v>
      </c>
      <c r="E120" s="95">
        <f>+('DOE25'!L283)+('DOE25'!L302)+('DOE25'!L321)</f>
        <v>3618.01</v>
      </c>
      <c r="F120" s="24" t="s">
        <v>288</v>
      </c>
      <c r="G120" s="24" t="s">
        <v>288</v>
      </c>
    </row>
    <row r="121" spans="1:7" x14ac:dyDescent="0.2">
      <c r="A121" t="s">
        <v>212</v>
      </c>
      <c r="B121" s="32" t="s">
        <v>213</v>
      </c>
      <c r="C121" s="95">
        <f>('DOE25'!L205)+('DOE25'!L223)+('DOE25'!L241)</f>
        <v>231806.01</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0</v>
      </c>
      <c r="F122" s="24" t="s">
        <v>288</v>
      </c>
      <c r="G122" s="24" t="s">
        <v>288</v>
      </c>
    </row>
    <row r="123" spans="1:7" x14ac:dyDescent="0.2">
      <c r="A123" t="s">
        <v>216</v>
      </c>
      <c r="B123" s="32" t="s">
        <v>217</v>
      </c>
      <c r="C123" s="95">
        <f>('DOE25'!L207)+('DOE25'!L225)+('DOE25'!L243)</f>
        <v>226491.27000000002</v>
      </c>
      <c r="D123" s="24" t="s">
        <v>288</v>
      </c>
      <c r="E123" s="95">
        <f>+('DOE25'!L286)+('DOE25'!L305)+('DOE25'!L324)</f>
        <v>0</v>
      </c>
      <c r="F123" s="24" t="s">
        <v>288</v>
      </c>
      <c r="G123" s="24" t="s">
        <v>288</v>
      </c>
    </row>
    <row r="124" spans="1:7" x14ac:dyDescent="0.2">
      <c r="A124" t="s">
        <v>218</v>
      </c>
      <c r="B124" s="32" t="s">
        <v>219</v>
      </c>
      <c r="C124" s="95">
        <f>('DOE25'!L208)+('DOE25'!L226)+('DOE25'!L244+'DOE25'!L254)</f>
        <v>152218.6</v>
      </c>
      <c r="D124" s="24" t="s">
        <v>288</v>
      </c>
      <c r="E124" s="95">
        <f>+('DOE25'!L287)+('DOE25'!L306)+('DOE25'!L325)</f>
        <v>0</v>
      </c>
      <c r="F124" s="24" t="s">
        <v>288</v>
      </c>
      <c r="G124" s="24" t="s">
        <v>288</v>
      </c>
    </row>
    <row r="125" spans="1:7" x14ac:dyDescent="0.2">
      <c r="A125" t="s">
        <v>220</v>
      </c>
      <c r="B125" s="32" t="s">
        <v>221</v>
      </c>
      <c r="C125" s="95">
        <f>('DOE25'!L209)+('DOE25'!L227)+('DOE25'!L245)</f>
        <v>0</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60964.15</v>
      </c>
      <c r="E127" s="24" t="s">
        <v>288</v>
      </c>
      <c r="F127" s="24" t="s">
        <v>288</v>
      </c>
      <c r="G127" s="24" t="s">
        <v>288</v>
      </c>
    </row>
    <row r="128" spans="1:7" ht="12.75" thickTop="1" thickBot="1" x14ac:dyDescent="0.25">
      <c r="A128" s="33" t="s">
        <v>226</v>
      </c>
      <c r="C128" s="86">
        <f>SUM(C118:C127)</f>
        <v>1142578.08</v>
      </c>
      <c r="D128" s="86">
        <f>SUM(D118:D127)</f>
        <v>60964.15</v>
      </c>
      <c r="E128" s="86">
        <f>SUM(E118:E127)</f>
        <v>28224.92</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0</v>
      </c>
      <c r="G130" s="24" t="s">
        <v>288</v>
      </c>
    </row>
    <row r="131" spans="1:7" x14ac:dyDescent="0.2">
      <c r="A131" t="s">
        <v>229</v>
      </c>
      <c r="B131" s="32">
        <v>5110</v>
      </c>
      <c r="C131" s="95">
        <f>'DOE25'!L260</f>
        <v>0</v>
      </c>
      <c r="D131" s="24" t="s">
        <v>288</v>
      </c>
      <c r="E131" s="129">
        <f>'DOE25'!L341</f>
        <v>0</v>
      </c>
      <c r="F131" s="24" t="s">
        <v>288</v>
      </c>
      <c r="G131" s="24" t="s">
        <v>288</v>
      </c>
    </row>
    <row r="132" spans="1:7" x14ac:dyDescent="0.2">
      <c r="A132" t="s">
        <v>230</v>
      </c>
      <c r="B132" s="32">
        <v>5120</v>
      </c>
      <c r="C132" s="95">
        <f>'DOE25'!L261</f>
        <v>0</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18103.5</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6885.64</v>
      </c>
      <c r="D138" s="24" t="s">
        <v>288</v>
      </c>
      <c r="E138" s="24" t="s">
        <v>288</v>
      </c>
      <c r="F138" s="24" t="s">
        <v>288</v>
      </c>
      <c r="G138" s="24" t="s">
        <v>288</v>
      </c>
    </row>
    <row r="139" spans="1:7" x14ac:dyDescent="0.2">
      <c r="A139" t="s">
        <v>239</v>
      </c>
      <c r="B139" s="32">
        <v>5252</v>
      </c>
      <c r="C139" s="95">
        <f>'DOE25'!L401</f>
        <v>13186.119999999999</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-10071.759999999998</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28103.499999999996</v>
      </c>
      <c r="D144" s="141">
        <f>SUM(D130:D143)</f>
        <v>0</v>
      </c>
      <c r="E144" s="141">
        <f>SUM(E130:E143)</f>
        <v>0</v>
      </c>
      <c r="F144" s="141">
        <f>SUM(F130:F143)</f>
        <v>0</v>
      </c>
      <c r="G144" s="141">
        <f>SUM(G130:G143)</f>
        <v>0</v>
      </c>
    </row>
    <row r="145" spans="1:9" ht="12.75" thickTop="1" thickBot="1" x14ac:dyDescent="0.25">
      <c r="A145" s="33" t="s">
        <v>244</v>
      </c>
      <c r="C145" s="86">
        <f>(C115+C128+C144)</f>
        <v>2569761.5700000003</v>
      </c>
      <c r="D145" s="86">
        <f>(D115+D128+D144)</f>
        <v>60964.15</v>
      </c>
      <c r="E145" s="86">
        <f>(E115+E128+E144)</f>
        <v>91700.4</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0</v>
      </c>
      <c r="C151" s="153">
        <f>'DOE25'!G490</f>
        <v>0</v>
      </c>
      <c r="D151" s="153">
        <f>'DOE25'!H490</f>
        <v>0</v>
      </c>
      <c r="E151" s="153">
        <f>'DOE25'!I490</f>
        <v>0</v>
      </c>
      <c r="F151" s="153">
        <f>'DOE25'!J490</f>
        <v>0</v>
      </c>
      <c r="G151" s="24" t="s">
        <v>288</v>
      </c>
    </row>
    <row r="152" spans="1:9" x14ac:dyDescent="0.2">
      <c r="A152" s="136" t="s">
        <v>28</v>
      </c>
      <c r="B152" s="152">
        <f>'DOE25'!F491</f>
        <v>0</v>
      </c>
      <c r="C152" s="152">
        <f>'DOE25'!G491</f>
        <v>0</v>
      </c>
      <c r="D152" s="152">
        <f>'DOE25'!H491</f>
        <v>0</v>
      </c>
      <c r="E152" s="152">
        <f>'DOE25'!I491</f>
        <v>0</v>
      </c>
      <c r="F152" s="152">
        <f>'DOE25'!J491</f>
        <v>0</v>
      </c>
      <c r="G152" s="24" t="s">
        <v>288</v>
      </c>
    </row>
    <row r="153" spans="1:9" x14ac:dyDescent="0.2">
      <c r="A153" s="136" t="s">
        <v>29</v>
      </c>
      <c r="B153" s="152">
        <f>'DOE25'!F492</f>
        <v>0</v>
      </c>
      <c r="C153" s="152">
        <f>'DOE25'!G492</f>
        <v>0</v>
      </c>
      <c r="D153" s="152">
        <f>'DOE25'!H492</f>
        <v>0</v>
      </c>
      <c r="E153" s="152">
        <f>'DOE25'!I492</f>
        <v>0</v>
      </c>
      <c r="F153" s="152">
        <f>'DOE25'!J492</f>
        <v>0</v>
      </c>
      <c r="G153" s="24" t="s">
        <v>288</v>
      </c>
    </row>
    <row r="154" spans="1:9" x14ac:dyDescent="0.2">
      <c r="A154" s="136" t="s">
        <v>30</v>
      </c>
      <c r="B154" s="137">
        <f>'DOE25'!F493</f>
        <v>0</v>
      </c>
      <c r="C154" s="137">
        <f>'DOE25'!G493</f>
        <v>0</v>
      </c>
      <c r="D154" s="137">
        <f>'DOE25'!H493</f>
        <v>0</v>
      </c>
      <c r="E154" s="137">
        <f>'DOE25'!I493</f>
        <v>0</v>
      </c>
      <c r="F154" s="137">
        <f>'DOE25'!J493</f>
        <v>0</v>
      </c>
      <c r="G154" s="24" t="s">
        <v>288</v>
      </c>
    </row>
    <row r="155" spans="1:9" x14ac:dyDescent="0.2">
      <c r="A155" s="136" t="s">
        <v>31</v>
      </c>
      <c r="B155" s="137">
        <f>'DOE25'!F494</f>
        <v>0</v>
      </c>
      <c r="C155" s="137">
        <f>'DOE25'!G494</f>
        <v>0</v>
      </c>
      <c r="D155" s="137">
        <f>'DOE25'!H494</f>
        <v>0</v>
      </c>
      <c r="E155" s="137">
        <f>'DOE25'!I494</f>
        <v>0</v>
      </c>
      <c r="F155" s="137">
        <f>'DOE25'!J494</f>
        <v>0</v>
      </c>
      <c r="G155" s="24" t="s">
        <v>288</v>
      </c>
    </row>
    <row r="156" spans="1:9" x14ac:dyDescent="0.2">
      <c r="A156" s="22" t="s">
        <v>32</v>
      </c>
      <c r="B156" s="137">
        <f>'DOE25'!F495</f>
        <v>0</v>
      </c>
      <c r="C156" s="137">
        <f>'DOE25'!G495</f>
        <v>0</v>
      </c>
      <c r="D156" s="137">
        <f>'DOE25'!H495</f>
        <v>0</v>
      </c>
      <c r="E156" s="137">
        <f>'DOE25'!I495</f>
        <v>0</v>
      </c>
      <c r="F156" s="137">
        <f>'DOE25'!J495</f>
        <v>0</v>
      </c>
      <c r="G156" s="138">
        <f>SUM(B156:F156)</f>
        <v>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0</v>
      </c>
      <c r="C158" s="137">
        <f>'DOE25'!G497</f>
        <v>0</v>
      </c>
      <c r="D158" s="137">
        <f>'DOE25'!H497</f>
        <v>0</v>
      </c>
      <c r="E158" s="137">
        <f>'DOE25'!I497</f>
        <v>0</v>
      </c>
      <c r="F158" s="137">
        <f>'DOE25'!J497</f>
        <v>0</v>
      </c>
      <c r="G158" s="138">
        <f t="shared" si="0"/>
        <v>0</v>
      </c>
    </row>
    <row r="159" spans="1:9" x14ac:dyDescent="0.2">
      <c r="A159" s="22" t="s">
        <v>35</v>
      </c>
      <c r="B159" s="137">
        <f>'DOE25'!F498</f>
        <v>0</v>
      </c>
      <c r="C159" s="137">
        <f>'DOE25'!G498</f>
        <v>0</v>
      </c>
      <c r="D159" s="137">
        <f>'DOE25'!H498</f>
        <v>0</v>
      </c>
      <c r="E159" s="137">
        <f>'DOE25'!I498</f>
        <v>0</v>
      </c>
      <c r="F159" s="137">
        <f>'DOE25'!J498</f>
        <v>0</v>
      </c>
      <c r="G159" s="138">
        <f t="shared" si="0"/>
        <v>0</v>
      </c>
    </row>
    <row r="160" spans="1:9" x14ac:dyDescent="0.2">
      <c r="A160" s="22" t="s">
        <v>36</v>
      </c>
      <c r="B160" s="137">
        <f>'DOE25'!F499</f>
        <v>0</v>
      </c>
      <c r="C160" s="137">
        <f>'DOE25'!G499</f>
        <v>0</v>
      </c>
      <c r="D160" s="137">
        <f>'DOE25'!H499</f>
        <v>0</v>
      </c>
      <c r="E160" s="137">
        <f>'DOE25'!I499</f>
        <v>0</v>
      </c>
      <c r="F160" s="137">
        <f>'DOE25'!J499</f>
        <v>0</v>
      </c>
      <c r="G160" s="138">
        <f t="shared" si="0"/>
        <v>0</v>
      </c>
    </row>
    <row r="161" spans="1:7" x14ac:dyDescent="0.2">
      <c r="A161" s="22" t="s">
        <v>37</v>
      </c>
      <c r="B161" s="137">
        <f>'DOE25'!F500</f>
        <v>0</v>
      </c>
      <c r="C161" s="137">
        <f>'DOE25'!G500</f>
        <v>0</v>
      </c>
      <c r="D161" s="137">
        <f>'DOE25'!H500</f>
        <v>0</v>
      </c>
      <c r="E161" s="137">
        <f>'DOE25'!I500</f>
        <v>0</v>
      </c>
      <c r="F161" s="137">
        <f>'DOE25'!J500</f>
        <v>0</v>
      </c>
      <c r="G161" s="138">
        <f t="shared" si="0"/>
        <v>0</v>
      </c>
    </row>
    <row r="162" spans="1:7" x14ac:dyDescent="0.2">
      <c r="A162" s="22" t="s">
        <v>38</v>
      </c>
      <c r="B162" s="137">
        <f>'DOE25'!F501</f>
        <v>0</v>
      </c>
      <c r="C162" s="137">
        <f>'DOE25'!G501</f>
        <v>0</v>
      </c>
      <c r="D162" s="137">
        <f>'DOE25'!H501</f>
        <v>0</v>
      </c>
      <c r="E162" s="137">
        <f>'DOE25'!I501</f>
        <v>0</v>
      </c>
      <c r="F162" s="137">
        <f>'DOE25'!J501</f>
        <v>0</v>
      </c>
      <c r="G162" s="138">
        <f t="shared" si="0"/>
        <v>0</v>
      </c>
    </row>
    <row r="163" spans="1:7" x14ac:dyDescent="0.2">
      <c r="A163" s="22" t="s">
        <v>39</v>
      </c>
      <c r="B163" s="137">
        <f>'DOE25'!F502</f>
        <v>0</v>
      </c>
      <c r="C163" s="137">
        <f>'DOE25'!G502</f>
        <v>0</v>
      </c>
      <c r="D163" s="137">
        <f>'DOE25'!H502</f>
        <v>0</v>
      </c>
      <c r="E163" s="137">
        <f>'DOE25'!I502</f>
        <v>0</v>
      </c>
      <c r="F163" s="137">
        <f>'DOE25'!J502</f>
        <v>0</v>
      </c>
      <c r="G163" s="138">
        <f t="shared" si="0"/>
        <v>0</v>
      </c>
    </row>
    <row r="164" spans="1:7" x14ac:dyDescent="0.2">
      <c r="A164" s="22" t="s">
        <v>246</v>
      </c>
      <c r="B164" s="137">
        <f>'DOE25'!F503</f>
        <v>0</v>
      </c>
      <c r="C164" s="137">
        <f>'DOE25'!G503</f>
        <v>0</v>
      </c>
      <c r="D164" s="137">
        <f>'DOE25'!H503</f>
        <v>0</v>
      </c>
      <c r="E164" s="137">
        <f>'DOE25'!I503</f>
        <v>0</v>
      </c>
      <c r="F164" s="137">
        <f>'DOE25'!J503</f>
        <v>0</v>
      </c>
      <c r="G164" s="138">
        <f t="shared" si="0"/>
        <v>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H469" sqref="H469"/>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2" t="s">
        <v>736</v>
      </c>
      <c r="B1" s="332"/>
      <c r="C1" s="332"/>
      <c r="D1" s="332"/>
    </row>
    <row r="2" spans="1:4" x14ac:dyDescent="0.2">
      <c r="A2" s="187" t="s">
        <v>713</v>
      </c>
      <c r="B2" s="186" t="str">
        <f>'DOE25'!A2</f>
        <v>LAFAYETTE REGIONAL SCHOOL DISTRICT</v>
      </c>
    </row>
    <row r="3" spans="1:4" x14ac:dyDescent="0.2">
      <c r="B3" s="188" t="s">
        <v>1602</v>
      </c>
    </row>
    <row r="4" spans="1:4" x14ac:dyDescent="0.2">
      <c r="B4" t="s">
        <v>61</v>
      </c>
      <c r="C4" s="179">
        <f>IF('DOE25'!F665+'DOE25'!F670=0,0,ROUND('DOE25'!F672,0))</f>
        <v>21675</v>
      </c>
    </row>
    <row r="5" spans="1:4" x14ac:dyDescent="0.2">
      <c r="B5" t="s">
        <v>700</v>
      </c>
      <c r="C5" s="179">
        <f>IF('DOE25'!G665+'DOE25'!G670=0,0,ROUND('DOE25'!G672,0))</f>
        <v>0</v>
      </c>
    </row>
    <row r="6" spans="1:4" x14ac:dyDescent="0.2">
      <c r="B6" t="s">
        <v>62</v>
      </c>
      <c r="C6" s="179">
        <f>IF('DOE25'!H665+'DOE25'!H670=0,0,ROUND('DOE25'!H672,0))</f>
        <v>0</v>
      </c>
    </row>
    <row r="7" spans="1:4" x14ac:dyDescent="0.2">
      <c r="B7" t="s">
        <v>701</v>
      </c>
      <c r="C7" s="179">
        <f>IF('DOE25'!I665+'DOE25'!I670=0,0,ROUND('DOE25'!I672,0))</f>
        <v>21675</v>
      </c>
    </row>
    <row r="9" spans="1:4" x14ac:dyDescent="0.2">
      <c r="A9" s="187" t="s">
        <v>94</v>
      </c>
      <c r="B9" s="188" t="s">
        <v>1603</v>
      </c>
      <c r="C9" s="181" t="s">
        <v>720</v>
      </c>
      <c r="D9" s="181" t="s">
        <v>721</v>
      </c>
    </row>
    <row r="10" spans="1:4" x14ac:dyDescent="0.2">
      <c r="A10">
        <v>1100</v>
      </c>
      <c r="B10" t="s">
        <v>702</v>
      </c>
      <c r="C10" s="179">
        <f>ROUND('DOE25'!L197+'DOE25'!L215+'DOE25'!L233+'DOE25'!L276+'DOE25'!L295+'DOE25'!L314,0)</f>
        <v>1153684</v>
      </c>
      <c r="D10" s="182">
        <f>ROUND((C10/$C$28)*100,1)</f>
        <v>43.2</v>
      </c>
    </row>
    <row r="11" spans="1:4" x14ac:dyDescent="0.2">
      <c r="A11">
        <v>1200</v>
      </c>
      <c r="B11" t="s">
        <v>703</v>
      </c>
      <c r="C11" s="179">
        <f>ROUND('DOE25'!L198+'DOE25'!L216+'DOE25'!L234+'DOE25'!L277+'DOE25'!L296+'DOE25'!L315,0)</f>
        <v>273907</v>
      </c>
      <c r="D11" s="182">
        <f>ROUND((C11/$C$28)*100,1)</f>
        <v>10.3</v>
      </c>
    </row>
    <row r="12" spans="1:4" x14ac:dyDescent="0.2">
      <c r="A12">
        <v>1300</v>
      </c>
      <c r="B12" t="s">
        <v>704</v>
      </c>
      <c r="C12" s="179">
        <f>ROUND('DOE25'!L199+'DOE25'!L217+'DOE25'!L235+'DOE25'!L278+'DOE25'!L297+'DOE25'!L316,0)</f>
        <v>0</v>
      </c>
      <c r="D12" s="182">
        <f>ROUND((C12/$C$28)*100,1)</f>
        <v>0</v>
      </c>
    </row>
    <row r="13" spans="1:4" x14ac:dyDescent="0.2">
      <c r="A13">
        <v>1400</v>
      </c>
      <c r="B13" t="s">
        <v>705</v>
      </c>
      <c r="C13" s="179">
        <f>ROUND('DOE25'!L200+'DOE25'!L218+'DOE25'!L236+'DOE25'!L279+'DOE25'!L298+'DOE25'!L317,0)</f>
        <v>34965</v>
      </c>
      <c r="D13" s="182">
        <f>ROUND((C13/$C$28)*100,1)</f>
        <v>1.3</v>
      </c>
    </row>
    <row r="14" spans="1:4" x14ac:dyDescent="0.2">
      <c r="D14" s="182"/>
    </row>
    <row r="15" spans="1:4" x14ac:dyDescent="0.2">
      <c r="A15">
        <v>2100</v>
      </c>
      <c r="B15" t="s">
        <v>706</v>
      </c>
      <c r="C15" s="179">
        <f>ROUND('DOE25'!L202+'DOE25'!L220+'DOE25'!L238+'DOE25'!L281+'DOE25'!L300+'DOE25'!L319,0)</f>
        <v>216092</v>
      </c>
      <c r="D15" s="182">
        <f t="shared" ref="D15:D27" si="0">ROUND((C15/$C$28)*100,1)</f>
        <v>8.1</v>
      </c>
    </row>
    <row r="16" spans="1:4" x14ac:dyDescent="0.2">
      <c r="A16">
        <v>2200</v>
      </c>
      <c r="B16" t="s">
        <v>707</v>
      </c>
      <c r="C16" s="179">
        <f>ROUND('DOE25'!L203+'DOE25'!L221+'DOE25'!L239+'DOE25'!L282+'DOE25'!L301+'DOE25'!L320,0)</f>
        <v>139240</v>
      </c>
      <c r="D16" s="182">
        <f t="shared" si="0"/>
        <v>5.2</v>
      </c>
    </row>
    <row r="17" spans="1:4" x14ac:dyDescent="0.2">
      <c r="A17" s="183" t="s">
        <v>723</v>
      </c>
      <c r="B17" t="s">
        <v>738</v>
      </c>
      <c r="C17" s="179">
        <f>ROUND('DOE25'!L204+'DOE25'!L209+'DOE25'!L222+'DOE25'!L227+'DOE25'!L240+'DOE25'!L245+'DOE25'!L283+'DOE25'!L288+'DOE25'!L302+'DOE25'!L307+'DOE25'!L321+'DOE25'!L326,0)</f>
        <v>204955</v>
      </c>
      <c r="D17" s="182">
        <f t="shared" si="0"/>
        <v>7.7</v>
      </c>
    </row>
    <row r="18" spans="1:4" x14ac:dyDescent="0.2">
      <c r="A18">
        <v>2400</v>
      </c>
      <c r="B18" t="s">
        <v>711</v>
      </c>
      <c r="C18" s="179">
        <f>ROUND('DOE25'!L205+'DOE25'!L223+'DOE25'!L241+'DOE25'!L284+'DOE25'!L303+'DOE25'!L322,0)</f>
        <v>231806</v>
      </c>
      <c r="D18" s="182">
        <f t="shared" si="0"/>
        <v>8.6999999999999993</v>
      </c>
    </row>
    <row r="19" spans="1:4" x14ac:dyDescent="0.2">
      <c r="A19">
        <v>2500</v>
      </c>
      <c r="B19" t="s">
        <v>708</v>
      </c>
      <c r="C19" s="179">
        <f>ROUND('DOE25'!L206+'DOE25'!L224+'DOE25'!L242+'DOE25'!L285+'DOE25'!L304+'DOE25'!L323,0)</f>
        <v>0</v>
      </c>
      <c r="D19" s="182">
        <f t="shared" si="0"/>
        <v>0</v>
      </c>
    </row>
    <row r="20" spans="1:4" x14ac:dyDescent="0.2">
      <c r="A20">
        <v>2600</v>
      </c>
      <c r="B20" t="s">
        <v>709</v>
      </c>
      <c r="C20" s="179">
        <f>ROUND('DOE25'!L207+'DOE25'!L225+'DOE25'!L243+'DOE25'!L286+'DOE25'!L305+'DOE25'!L324,0)</f>
        <v>226491</v>
      </c>
      <c r="D20" s="182">
        <f t="shared" si="0"/>
        <v>8.5</v>
      </c>
    </row>
    <row r="21" spans="1:4" x14ac:dyDescent="0.2">
      <c r="A21">
        <v>2700</v>
      </c>
      <c r="B21" t="s">
        <v>710</v>
      </c>
      <c r="C21" s="179">
        <f>ROUND('DOE25'!L208+'DOE25'!L226+'DOE25'!L244+'DOE25'!L287+'DOE25'!L306+'DOE25'!L325,0)</f>
        <v>152219</v>
      </c>
      <c r="D21" s="182">
        <f t="shared" si="0"/>
        <v>5.7</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0</v>
      </c>
      <c r="D25" s="182">
        <f t="shared" si="0"/>
        <v>0</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35991.199999999997</v>
      </c>
      <c r="D27" s="182">
        <f t="shared" si="0"/>
        <v>1.3</v>
      </c>
    </row>
    <row r="28" spans="1:4" x14ac:dyDescent="0.2">
      <c r="B28" s="187" t="s">
        <v>719</v>
      </c>
      <c r="C28" s="180">
        <f>SUM(C10:C27)</f>
        <v>2669350.2000000002</v>
      </c>
      <c r="D28" s="184">
        <f>ROUND(SUM(D10:D27),0)</f>
        <v>100</v>
      </c>
    </row>
    <row r="29" spans="1:4" x14ac:dyDescent="0.2">
      <c r="A29">
        <v>4000</v>
      </c>
      <c r="B29" t="s">
        <v>724</v>
      </c>
      <c r="C29" s="179">
        <f>ROUND('DOE25'!L255+'DOE25'!L336+'DOE25'!L374+'DOE25'!L375+'DOE25'!L376+'DOE25'!L377+'DOE25'!L378+'DOE25'!L379+'DOE25'!L380,0)</f>
        <v>0</v>
      </c>
    </row>
    <row r="30" spans="1:4" x14ac:dyDescent="0.2">
      <c r="B30" s="187" t="s">
        <v>725</v>
      </c>
      <c r="C30" s="180">
        <f>SUM(C28:C29)</f>
        <v>2669350.2000000002</v>
      </c>
    </row>
    <row r="31" spans="1:4" x14ac:dyDescent="0.2">
      <c r="B31" s="33"/>
      <c r="C31" s="180"/>
    </row>
    <row r="32" spans="1:4" x14ac:dyDescent="0.2">
      <c r="A32">
        <v>5100</v>
      </c>
      <c r="B32" s="33" t="s">
        <v>726</v>
      </c>
      <c r="C32" s="180">
        <f>ROUND('DOE25'!L260+'DOE25'!L341,0)</f>
        <v>0</v>
      </c>
    </row>
    <row r="34" spans="1:4" x14ac:dyDescent="0.2">
      <c r="A34" s="187" t="s">
        <v>94</v>
      </c>
      <c r="B34" s="188" t="s">
        <v>1604</v>
      </c>
      <c r="C34" s="181" t="s">
        <v>720</v>
      </c>
      <c r="D34" s="181" t="s">
        <v>721</v>
      </c>
    </row>
    <row r="35" spans="1:4" x14ac:dyDescent="0.2">
      <c r="A35">
        <v>1100</v>
      </c>
      <c r="B35" s="185" t="s">
        <v>727</v>
      </c>
      <c r="C35" s="179">
        <f>ROUND('DOE25'!F60+'DOE25'!G60+'DOE25'!H60+'DOE25'!I60+'DOE25'!J60,0)</f>
        <v>1856683</v>
      </c>
      <c r="D35" s="182">
        <f t="shared" ref="D35:D40" si="1">ROUND((C35/$C$41)*100,1)</f>
        <v>69.400000000000006</v>
      </c>
    </row>
    <row r="36" spans="1:4" x14ac:dyDescent="0.2">
      <c r="B36" s="185" t="s">
        <v>739</v>
      </c>
      <c r="C36" s="179">
        <f>SUM('DOE25'!F112:J112)-SUM('DOE25'!G97:G110)+('DOE25'!F174+'DOE25'!F175+'DOE25'!I174+'DOE25'!I175)-C35</f>
        <v>56256.189999999944</v>
      </c>
      <c r="D36" s="182">
        <f t="shared" si="1"/>
        <v>2.1</v>
      </c>
    </row>
    <row r="37" spans="1:4" x14ac:dyDescent="0.2">
      <c r="A37" s="183" t="s">
        <v>835</v>
      </c>
      <c r="B37" s="185" t="s">
        <v>728</v>
      </c>
      <c r="C37" s="179">
        <f>ROUND('DOE25'!F117+'DOE25'!F118,0)</f>
        <v>617525</v>
      </c>
      <c r="D37" s="182">
        <f t="shared" si="1"/>
        <v>23.1</v>
      </c>
    </row>
    <row r="38" spans="1:4" x14ac:dyDescent="0.2">
      <c r="A38" s="183" t="s">
        <v>734</v>
      </c>
      <c r="B38" s="185" t="s">
        <v>729</v>
      </c>
      <c r="C38" s="179">
        <f>ROUND(SUM('DOE25'!F140:J140)-SUM('DOE25'!F117:F119),0)</f>
        <v>32937</v>
      </c>
      <c r="D38" s="182">
        <f t="shared" si="1"/>
        <v>1.2</v>
      </c>
    </row>
    <row r="39" spans="1:4" x14ac:dyDescent="0.2">
      <c r="A39">
        <v>4000</v>
      </c>
      <c r="B39" s="185" t="s">
        <v>730</v>
      </c>
      <c r="C39" s="179">
        <f>ROUND('DOE25'!F169+'DOE25'!G169+'DOE25'!H169+'DOE25'!I169,0)</f>
        <v>110663</v>
      </c>
      <c r="D39" s="182">
        <f t="shared" si="1"/>
        <v>4.0999999999999996</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2674064.19</v>
      </c>
      <c r="D41" s="184">
        <f>SUM(D35:D40)</f>
        <v>99.899999999999991</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H469" sqref="H469"/>
      <selection pane="bottomLeft" activeCell="H469" sqref="H469"/>
    </sheetView>
  </sheetViews>
  <sheetFormatPr defaultRowHeight="11.25" x14ac:dyDescent="0.2"/>
  <cols>
    <col min="1" max="1" width="10.33203125" customWidth="1"/>
    <col min="14" max="14" width="6.1640625" customWidth="1"/>
  </cols>
  <sheetData>
    <row r="1" spans="1:26" ht="16.5" thickTop="1" x14ac:dyDescent="0.25">
      <c r="A1" s="343" t="s">
        <v>766</v>
      </c>
      <c r="B1" s="344"/>
      <c r="C1" s="344"/>
      <c r="D1" s="344"/>
      <c r="E1" s="344"/>
      <c r="F1" s="344"/>
      <c r="G1" s="344"/>
      <c r="H1" s="344"/>
      <c r="I1" s="344"/>
      <c r="J1" s="213"/>
      <c r="K1" s="213"/>
      <c r="L1" s="213"/>
      <c r="M1" s="214"/>
    </row>
    <row r="2" spans="1:26" ht="12.75" x14ac:dyDescent="0.2">
      <c r="A2" s="349" t="s">
        <v>763</v>
      </c>
      <c r="B2" s="350"/>
      <c r="C2" s="350"/>
      <c r="D2" s="350"/>
      <c r="E2" s="350"/>
      <c r="F2" s="347" t="str">
        <f>'DOE25'!A2</f>
        <v>LAFAYETTE REGIONAL SCHOOL DISTRICT</v>
      </c>
      <c r="G2" s="348"/>
      <c r="H2" s="348"/>
      <c r="I2" s="348"/>
      <c r="J2" s="52"/>
      <c r="K2" s="52"/>
      <c r="L2" s="52"/>
      <c r="M2" s="215"/>
    </row>
    <row r="3" spans="1:26" x14ac:dyDescent="0.2">
      <c r="A3" s="216" t="s">
        <v>764</v>
      </c>
      <c r="B3" s="217" t="s">
        <v>765</v>
      </c>
      <c r="C3" s="345" t="s">
        <v>767</v>
      </c>
      <c r="D3" s="345"/>
      <c r="E3" s="345"/>
      <c r="F3" s="345"/>
      <c r="G3" s="345"/>
      <c r="H3" s="345"/>
      <c r="I3" s="345"/>
      <c r="J3" s="345"/>
      <c r="K3" s="345"/>
      <c r="L3" s="345"/>
      <c r="M3" s="346"/>
    </row>
    <row r="4" spans="1:26" x14ac:dyDescent="0.2">
      <c r="A4" s="218"/>
      <c r="B4" s="219"/>
      <c r="C4" s="334"/>
      <c r="D4" s="334"/>
      <c r="E4" s="334"/>
      <c r="F4" s="334"/>
      <c r="G4" s="334"/>
      <c r="H4" s="334"/>
      <c r="I4" s="334"/>
      <c r="J4" s="334"/>
      <c r="K4" s="334"/>
      <c r="L4" s="334"/>
      <c r="M4" s="335"/>
      <c r="N4" s="126"/>
      <c r="O4" s="126"/>
      <c r="P4" s="126"/>
      <c r="Q4" s="126"/>
      <c r="R4" s="126"/>
      <c r="S4" s="126"/>
      <c r="T4" s="126"/>
      <c r="U4" s="126"/>
      <c r="V4" s="126"/>
      <c r="W4" s="126"/>
      <c r="X4" s="126"/>
      <c r="Y4" s="126"/>
      <c r="Z4" s="126"/>
    </row>
    <row r="5" spans="1:26" x14ac:dyDescent="0.2">
      <c r="A5" s="218"/>
      <c r="B5" s="219"/>
      <c r="C5" s="334"/>
      <c r="D5" s="334"/>
      <c r="E5" s="334"/>
      <c r="F5" s="334"/>
      <c r="G5" s="334"/>
      <c r="H5" s="334"/>
      <c r="I5" s="334"/>
      <c r="J5" s="334"/>
      <c r="K5" s="334"/>
      <c r="L5" s="334"/>
      <c r="M5" s="335"/>
      <c r="N5" s="126"/>
      <c r="O5" s="126"/>
      <c r="P5" s="126"/>
      <c r="Q5" s="126"/>
      <c r="R5" s="126"/>
      <c r="S5" s="126"/>
      <c r="T5" s="126"/>
      <c r="U5" s="126"/>
      <c r="V5" s="126"/>
      <c r="W5" s="126"/>
      <c r="X5" s="126"/>
      <c r="Y5" s="126"/>
      <c r="Z5" s="126"/>
    </row>
    <row r="6" spans="1:26" x14ac:dyDescent="0.2">
      <c r="A6" s="218"/>
      <c r="B6" s="219"/>
      <c r="C6" s="334"/>
      <c r="D6" s="334"/>
      <c r="E6" s="334"/>
      <c r="F6" s="334"/>
      <c r="G6" s="334"/>
      <c r="H6" s="334"/>
      <c r="I6" s="334"/>
      <c r="J6" s="334"/>
      <c r="K6" s="334"/>
      <c r="L6" s="334"/>
      <c r="M6" s="335"/>
      <c r="N6" s="126"/>
      <c r="O6" s="126"/>
      <c r="P6" s="126"/>
      <c r="Q6" s="126"/>
      <c r="R6" s="126"/>
      <c r="S6" s="126"/>
      <c r="T6" s="126"/>
      <c r="U6" s="126"/>
      <c r="V6" s="126"/>
      <c r="W6" s="126"/>
      <c r="X6" s="126"/>
      <c r="Y6" s="126"/>
      <c r="Z6" s="126"/>
    </row>
    <row r="7" spans="1:26" x14ac:dyDescent="0.2">
      <c r="A7" s="218"/>
      <c r="B7" s="219"/>
      <c r="C7" s="334"/>
      <c r="D7" s="334"/>
      <c r="E7" s="334"/>
      <c r="F7" s="334"/>
      <c r="G7" s="334"/>
      <c r="H7" s="334"/>
      <c r="I7" s="334"/>
      <c r="J7" s="334"/>
      <c r="K7" s="334"/>
      <c r="L7" s="334"/>
      <c r="M7" s="335"/>
      <c r="N7" s="126"/>
      <c r="O7" s="126"/>
      <c r="P7" s="126"/>
      <c r="Q7" s="126"/>
      <c r="R7" s="126"/>
      <c r="S7" s="126"/>
      <c r="T7" s="126"/>
      <c r="U7" s="126"/>
      <c r="V7" s="126"/>
      <c r="W7" s="126"/>
      <c r="X7" s="126"/>
      <c r="Y7" s="126"/>
      <c r="Z7" s="126"/>
    </row>
    <row r="8" spans="1:26" x14ac:dyDescent="0.2">
      <c r="A8" s="218"/>
      <c r="B8" s="219"/>
      <c r="C8" s="334"/>
      <c r="D8" s="334"/>
      <c r="E8" s="334"/>
      <c r="F8" s="334"/>
      <c r="G8" s="334"/>
      <c r="H8" s="334"/>
      <c r="I8" s="334"/>
      <c r="J8" s="334"/>
      <c r="K8" s="334"/>
      <c r="L8" s="334"/>
      <c r="M8" s="335"/>
      <c r="N8" s="126"/>
      <c r="O8" s="126"/>
      <c r="P8" s="126"/>
      <c r="Q8" s="126"/>
      <c r="R8" s="126"/>
      <c r="S8" s="126"/>
      <c r="T8" s="126"/>
      <c r="U8" s="126"/>
      <c r="V8" s="126"/>
      <c r="W8" s="126"/>
      <c r="X8" s="126"/>
      <c r="Y8" s="126"/>
      <c r="Z8" s="126"/>
    </row>
    <row r="9" spans="1:26" x14ac:dyDescent="0.2">
      <c r="A9" s="218"/>
      <c r="B9" s="219"/>
      <c r="C9" s="334"/>
      <c r="D9" s="334"/>
      <c r="E9" s="334"/>
      <c r="F9" s="334"/>
      <c r="G9" s="334"/>
      <c r="H9" s="334"/>
      <c r="I9" s="334"/>
      <c r="J9" s="334"/>
      <c r="K9" s="334"/>
      <c r="L9" s="334"/>
      <c r="M9" s="335"/>
      <c r="N9" s="126"/>
      <c r="O9" s="126"/>
      <c r="P9" s="126"/>
      <c r="Q9" s="126"/>
      <c r="R9" s="126"/>
      <c r="S9" s="126"/>
      <c r="T9" s="126"/>
      <c r="U9" s="126"/>
      <c r="V9" s="126"/>
      <c r="W9" s="126"/>
      <c r="X9" s="126"/>
      <c r="Y9" s="126"/>
      <c r="Z9" s="126"/>
    </row>
    <row r="10" spans="1:26" x14ac:dyDescent="0.2">
      <c r="A10" s="218"/>
      <c r="B10" s="219"/>
      <c r="C10" s="334"/>
      <c r="D10" s="334"/>
      <c r="E10" s="334"/>
      <c r="F10" s="334"/>
      <c r="G10" s="334"/>
      <c r="H10" s="334"/>
      <c r="I10" s="334"/>
      <c r="J10" s="334"/>
      <c r="K10" s="334"/>
      <c r="L10" s="334"/>
      <c r="M10" s="335"/>
      <c r="N10" s="126"/>
      <c r="O10" s="126"/>
      <c r="P10" s="126"/>
      <c r="Q10" s="126"/>
      <c r="R10" s="126"/>
      <c r="S10" s="126"/>
      <c r="T10" s="126"/>
      <c r="U10" s="126"/>
      <c r="V10" s="126"/>
      <c r="W10" s="126"/>
      <c r="X10" s="126"/>
      <c r="Y10" s="126"/>
      <c r="Z10" s="126"/>
    </row>
    <row r="11" spans="1:26" x14ac:dyDescent="0.2">
      <c r="A11" s="218"/>
      <c r="B11" s="219"/>
      <c r="C11" s="334"/>
      <c r="D11" s="334"/>
      <c r="E11" s="334"/>
      <c r="F11" s="334"/>
      <c r="G11" s="334"/>
      <c r="H11" s="334"/>
      <c r="I11" s="334"/>
      <c r="J11" s="334"/>
      <c r="K11" s="334"/>
      <c r="L11" s="334"/>
      <c r="M11" s="335"/>
      <c r="N11" s="126"/>
      <c r="O11" s="126"/>
      <c r="P11" s="126"/>
      <c r="Q11" s="126"/>
      <c r="R11" s="126"/>
      <c r="S11" s="126"/>
      <c r="T11" s="126"/>
      <c r="U11" s="126"/>
      <c r="V11" s="126"/>
      <c r="W11" s="126"/>
      <c r="X11" s="126"/>
      <c r="Y11" s="126"/>
      <c r="Z11" s="126"/>
    </row>
    <row r="12" spans="1:26" x14ac:dyDescent="0.2">
      <c r="A12" s="218"/>
      <c r="B12" s="219"/>
      <c r="C12" s="334"/>
      <c r="D12" s="334"/>
      <c r="E12" s="334"/>
      <c r="F12" s="334"/>
      <c r="G12" s="334"/>
      <c r="H12" s="334"/>
      <c r="I12" s="334"/>
      <c r="J12" s="334"/>
      <c r="K12" s="334"/>
      <c r="L12" s="334"/>
      <c r="M12" s="335"/>
      <c r="N12" s="126"/>
      <c r="O12" s="126"/>
      <c r="P12" s="126"/>
      <c r="Q12" s="126"/>
      <c r="R12" s="126"/>
      <c r="S12" s="126"/>
      <c r="T12" s="126"/>
      <c r="U12" s="126"/>
      <c r="V12" s="126"/>
      <c r="W12" s="126"/>
      <c r="X12" s="126"/>
      <c r="Y12" s="126"/>
      <c r="Z12" s="126"/>
    </row>
    <row r="13" spans="1:26" x14ac:dyDescent="0.2">
      <c r="A13" s="218"/>
      <c r="B13" s="219"/>
      <c r="C13" s="334"/>
      <c r="D13" s="334"/>
      <c r="E13" s="334"/>
      <c r="F13" s="334"/>
      <c r="G13" s="334"/>
      <c r="H13" s="334"/>
      <c r="I13" s="334"/>
      <c r="J13" s="334"/>
      <c r="K13" s="334"/>
      <c r="L13" s="334"/>
      <c r="M13" s="335"/>
      <c r="N13" s="126"/>
      <c r="O13" s="126"/>
      <c r="P13" s="126"/>
      <c r="Q13" s="126"/>
      <c r="R13" s="126"/>
      <c r="S13" s="126"/>
      <c r="T13" s="126"/>
      <c r="U13" s="126"/>
      <c r="V13" s="126"/>
      <c r="W13" s="126"/>
      <c r="X13" s="126"/>
      <c r="Y13" s="126"/>
      <c r="Z13" s="126"/>
    </row>
    <row r="14" spans="1:26" x14ac:dyDescent="0.2">
      <c r="A14" s="218"/>
      <c r="B14" s="219"/>
      <c r="C14" s="334"/>
      <c r="D14" s="334"/>
      <c r="E14" s="334"/>
      <c r="F14" s="334"/>
      <c r="G14" s="334"/>
      <c r="H14" s="334"/>
      <c r="I14" s="334"/>
      <c r="J14" s="334"/>
      <c r="K14" s="334"/>
      <c r="L14" s="334"/>
      <c r="M14" s="335"/>
      <c r="N14" s="126"/>
      <c r="O14" s="126"/>
      <c r="P14" s="126"/>
      <c r="Q14" s="126"/>
      <c r="R14" s="126"/>
      <c r="S14" s="126"/>
      <c r="T14" s="126"/>
      <c r="U14" s="126"/>
      <c r="V14" s="126"/>
      <c r="W14" s="126"/>
      <c r="X14" s="126"/>
      <c r="Y14" s="126"/>
      <c r="Z14" s="126"/>
    </row>
    <row r="15" spans="1:26" x14ac:dyDescent="0.2">
      <c r="A15" s="218"/>
      <c r="B15" s="219"/>
      <c r="C15" s="334"/>
      <c r="D15" s="334"/>
      <c r="E15" s="334"/>
      <c r="F15" s="334"/>
      <c r="G15" s="334"/>
      <c r="H15" s="334"/>
      <c r="I15" s="334"/>
      <c r="J15" s="334"/>
      <c r="K15" s="334"/>
      <c r="L15" s="334"/>
      <c r="M15" s="335"/>
      <c r="N15" s="126"/>
      <c r="O15" s="126"/>
      <c r="P15" s="126"/>
      <c r="Q15" s="126"/>
      <c r="R15" s="126"/>
      <c r="S15" s="126"/>
      <c r="T15" s="126"/>
      <c r="U15" s="126"/>
      <c r="V15" s="126"/>
      <c r="W15" s="126"/>
      <c r="X15" s="126"/>
      <c r="Y15" s="126"/>
      <c r="Z15" s="126"/>
    </row>
    <row r="16" spans="1:26" x14ac:dyDescent="0.2">
      <c r="A16" s="218"/>
      <c r="B16" s="219"/>
      <c r="C16" s="334"/>
      <c r="D16" s="334"/>
      <c r="E16" s="334"/>
      <c r="F16" s="334"/>
      <c r="G16" s="334"/>
      <c r="H16" s="334"/>
      <c r="I16" s="334"/>
      <c r="J16" s="334"/>
      <c r="K16" s="334"/>
      <c r="L16" s="334"/>
      <c r="M16" s="335"/>
      <c r="N16" s="126"/>
      <c r="O16" s="126"/>
      <c r="P16" s="126"/>
      <c r="Q16" s="126"/>
      <c r="R16" s="126"/>
      <c r="S16" s="126"/>
      <c r="T16" s="126"/>
      <c r="U16" s="126"/>
      <c r="V16" s="126"/>
      <c r="W16" s="126"/>
      <c r="X16" s="126"/>
      <c r="Y16" s="126"/>
      <c r="Z16" s="126"/>
    </row>
    <row r="17" spans="1:256" x14ac:dyDescent="0.2">
      <c r="A17" s="218"/>
      <c r="B17" s="219"/>
      <c r="C17" s="334"/>
      <c r="D17" s="334"/>
      <c r="E17" s="334"/>
      <c r="F17" s="334"/>
      <c r="G17" s="334"/>
      <c r="H17" s="334"/>
      <c r="I17" s="334"/>
      <c r="J17" s="334"/>
      <c r="K17" s="334"/>
      <c r="L17" s="334"/>
      <c r="M17" s="335"/>
      <c r="N17" s="126"/>
      <c r="O17" s="126"/>
      <c r="P17" s="126"/>
      <c r="Q17" s="126"/>
      <c r="R17" s="126"/>
      <c r="S17" s="126"/>
      <c r="T17" s="126"/>
      <c r="U17" s="126"/>
      <c r="V17" s="126"/>
      <c r="W17" s="126"/>
      <c r="X17" s="126"/>
      <c r="Y17" s="126"/>
      <c r="Z17" s="126"/>
    </row>
    <row r="18" spans="1:256" x14ac:dyDescent="0.2">
      <c r="A18" s="218"/>
      <c r="B18" s="219"/>
      <c r="C18" s="334"/>
      <c r="D18" s="334"/>
      <c r="E18" s="334"/>
      <c r="F18" s="334"/>
      <c r="G18" s="334"/>
      <c r="H18" s="334"/>
      <c r="I18" s="334"/>
      <c r="J18" s="334"/>
      <c r="K18" s="334"/>
      <c r="L18" s="334"/>
      <c r="M18" s="335"/>
      <c r="N18" s="126"/>
      <c r="O18" s="126"/>
      <c r="P18" s="126"/>
      <c r="Q18" s="126"/>
      <c r="R18" s="126"/>
      <c r="S18" s="126"/>
      <c r="T18" s="126"/>
      <c r="U18" s="126"/>
      <c r="V18" s="126"/>
      <c r="W18" s="126"/>
      <c r="X18" s="126"/>
      <c r="Y18" s="126"/>
      <c r="Z18" s="126"/>
    </row>
    <row r="19" spans="1:256" x14ac:dyDescent="0.2">
      <c r="A19" s="218"/>
      <c r="B19" s="219"/>
      <c r="C19" s="334"/>
      <c r="D19" s="334"/>
      <c r="E19" s="334"/>
      <c r="F19" s="334"/>
      <c r="G19" s="334"/>
      <c r="H19" s="334"/>
      <c r="I19" s="334"/>
      <c r="J19" s="334"/>
      <c r="K19" s="334"/>
      <c r="L19" s="334"/>
      <c r="M19" s="335"/>
      <c r="N19" s="126"/>
      <c r="O19" s="126"/>
      <c r="P19" s="126"/>
      <c r="Q19" s="126"/>
      <c r="R19" s="126"/>
      <c r="S19" s="126"/>
      <c r="T19" s="126"/>
      <c r="U19" s="126"/>
      <c r="V19" s="126"/>
      <c r="W19" s="126"/>
      <c r="X19" s="126"/>
      <c r="Y19" s="126"/>
      <c r="Z19" s="126"/>
    </row>
    <row r="20" spans="1:256" x14ac:dyDescent="0.2">
      <c r="A20" s="218"/>
      <c r="B20" s="219"/>
      <c r="C20" s="334"/>
      <c r="D20" s="334"/>
      <c r="E20" s="334"/>
      <c r="F20" s="334"/>
      <c r="G20" s="334"/>
      <c r="H20" s="334"/>
      <c r="I20" s="334"/>
      <c r="J20" s="334"/>
      <c r="K20" s="334"/>
      <c r="L20" s="334"/>
      <c r="M20" s="335"/>
      <c r="N20" s="126"/>
      <c r="O20" s="126"/>
      <c r="P20" s="126"/>
      <c r="Q20" s="126"/>
      <c r="R20" s="126"/>
      <c r="S20" s="126"/>
      <c r="T20" s="126"/>
      <c r="U20" s="126"/>
      <c r="V20" s="126"/>
      <c r="W20" s="126"/>
      <c r="X20" s="126"/>
      <c r="Y20" s="126"/>
      <c r="Z20" s="126"/>
    </row>
    <row r="21" spans="1:256" x14ac:dyDescent="0.2">
      <c r="A21" s="218"/>
      <c r="B21" s="219"/>
      <c r="C21" s="334"/>
      <c r="D21" s="334"/>
      <c r="E21" s="334"/>
      <c r="F21" s="334"/>
      <c r="G21" s="334"/>
      <c r="H21" s="334"/>
      <c r="I21" s="334"/>
      <c r="J21" s="334"/>
      <c r="K21" s="334"/>
      <c r="L21" s="334"/>
      <c r="M21" s="335"/>
      <c r="N21" s="126"/>
      <c r="O21" s="126"/>
      <c r="P21" s="126"/>
      <c r="Q21" s="126"/>
      <c r="R21" s="126"/>
      <c r="S21" s="126"/>
      <c r="T21" s="126"/>
      <c r="U21" s="126"/>
      <c r="V21" s="126"/>
      <c r="W21" s="126"/>
      <c r="X21" s="126"/>
      <c r="Y21" s="126"/>
      <c r="Z21" s="126"/>
    </row>
    <row r="22" spans="1:256" x14ac:dyDescent="0.2">
      <c r="A22" s="218"/>
      <c r="B22" s="219"/>
      <c r="C22" s="334"/>
      <c r="D22" s="334"/>
      <c r="E22" s="334"/>
      <c r="F22" s="334"/>
      <c r="G22" s="334"/>
      <c r="H22" s="334"/>
      <c r="I22" s="334"/>
      <c r="J22" s="334"/>
      <c r="K22" s="334"/>
      <c r="L22" s="334"/>
      <c r="M22" s="335"/>
      <c r="N22" s="126"/>
      <c r="O22" s="126"/>
      <c r="P22" s="126"/>
      <c r="Q22" s="126"/>
      <c r="R22" s="126"/>
      <c r="S22" s="126"/>
      <c r="T22" s="126"/>
      <c r="U22" s="126"/>
      <c r="V22" s="126"/>
      <c r="W22" s="126"/>
      <c r="X22" s="126"/>
      <c r="Y22" s="126"/>
      <c r="Z22" s="126"/>
    </row>
    <row r="23" spans="1:256" x14ac:dyDescent="0.2">
      <c r="A23" s="218"/>
      <c r="B23" s="219"/>
      <c r="C23" s="334"/>
      <c r="D23" s="334"/>
      <c r="E23" s="334"/>
      <c r="F23" s="334"/>
      <c r="G23" s="334"/>
      <c r="H23" s="334"/>
      <c r="I23" s="334"/>
      <c r="J23" s="334"/>
      <c r="K23" s="334"/>
      <c r="L23" s="334"/>
      <c r="M23" s="335"/>
      <c r="N23" s="126"/>
      <c r="O23" s="126"/>
      <c r="P23" s="126"/>
      <c r="Q23" s="126"/>
      <c r="R23" s="126"/>
      <c r="S23" s="126"/>
      <c r="T23" s="126"/>
      <c r="U23" s="126"/>
      <c r="V23" s="126"/>
      <c r="W23" s="126"/>
      <c r="X23" s="126"/>
      <c r="Y23" s="126"/>
      <c r="Z23" s="126"/>
    </row>
    <row r="24" spans="1:256" x14ac:dyDescent="0.2">
      <c r="A24" s="218"/>
      <c r="B24" s="219"/>
      <c r="C24" s="334"/>
      <c r="D24" s="334"/>
      <c r="E24" s="334"/>
      <c r="F24" s="334"/>
      <c r="G24" s="334"/>
      <c r="H24" s="334"/>
      <c r="I24" s="334"/>
      <c r="J24" s="334"/>
      <c r="K24" s="334"/>
      <c r="L24" s="334"/>
      <c r="M24" s="335"/>
      <c r="N24" s="126"/>
      <c r="O24" s="126"/>
      <c r="P24" s="126"/>
      <c r="Q24" s="126"/>
      <c r="R24" s="126"/>
      <c r="S24" s="126"/>
      <c r="T24" s="126"/>
      <c r="U24" s="126"/>
      <c r="V24" s="126"/>
      <c r="W24" s="126"/>
      <c r="X24" s="126"/>
      <c r="Y24" s="126"/>
      <c r="Z24" s="126"/>
    </row>
    <row r="25" spans="1:256" x14ac:dyDescent="0.2">
      <c r="A25" s="218"/>
      <c r="B25" s="219"/>
      <c r="C25" s="334"/>
      <c r="D25" s="334"/>
      <c r="E25" s="334"/>
      <c r="F25" s="334"/>
      <c r="G25" s="334"/>
      <c r="H25" s="334"/>
      <c r="I25" s="334"/>
      <c r="J25" s="334"/>
      <c r="K25" s="334"/>
      <c r="L25" s="334"/>
      <c r="M25" s="335"/>
      <c r="N25" s="126"/>
      <c r="O25" s="126"/>
      <c r="P25" s="126"/>
      <c r="Q25" s="126"/>
      <c r="R25" s="126"/>
      <c r="S25" s="126"/>
      <c r="T25" s="126"/>
      <c r="U25" s="126"/>
      <c r="V25" s="126"/>
      <c r="W25" s="126"/>
      <c r="X25" s="126"/>
      <c r="Y25" s="126"/>
      <c r="Z25" s="126"/>
    </row>
    <row r="26" spans="1:256" x14ac:dyDescent="0.2">
      <c r="A26" s="218"/>
      <c r="B26" s="219"/>
      <c r="C26" s="334"/>
      <c r="D26" s="334"/>
      <c r="E26" s="334"/>
      <c r="F26" s="334"/>
      <c r="G26" s="334"/>
      <c r="H26" s="334"/>
      <c r="I26" s="334"/>
      <c r="J26" s="334"/>
      <c r="K26" s="334"/>
      <c r="L26" s="334"/>
      <c r="M26" s="335"/>
      <c r="N26" s="126"/>
      <c r="O26" s="126"/>
      <c r="P26" s="126"/>
      <c r="Q26" s="126"/>
      <c r="R26" s="126"/>
      <c r="S26" s="126"/>
      <c r="T26" s="126"/>
      <c r="U26" s="126"/>
      <c r="V26" s="126"/>
      <c r="W26" s="126"/>
      <c r="X26" s="126"/>
      <c r="Y26" s="126"/>
      <c r="Z26" s="126"/>
    </row>
    <row r="27" spans="1:256" x14ac:dyDescent="0.2">
      <c r="A27" s="218"/>
      <c r="B27" s="219"/>
      <c r="C27" s="334"/>
      <c r="D27" s="334"/>
      <c r="E27" s="334"/>
      <c r="F27" s="334"/>
      <c r="G27" s="334"/>
      <c r="H27" s="334"/>
      <c r="I27" s="334"/>
      <c r="J27" s="334"/>
      <c r="K27" s="334"/>
      <c r="L27" s="334"/>
      <c r="M27" s="335"/>
      <c r="N27" s="126"/>
      <c r="O27" s="126"/>
      <c r="P27" s="126"/>
      <c r="Q27" s="126"/>
      <c r="R27" s="126"/>
      <c r="S27" s="126"/>
      <c r="T27" s="126"/>
      <c r="U27" s="126"/>
      <c r="V27" s="126"/>
      <c r="W27" s="126"/>
      <c r="X27" s="126"/>
      <c r="Y27" s="126"/>
      <c r="Z27" s="126"/>
    </row>
    <row r="28" spans="1:256" x14ac:dyDescent="0.2">
      <c r="A28" s="218"/>
      <c r="B28" s="219"/>
      <c r="C28" s="334"/>
      <c r="D28" s="334"/>
      <c r="E28" s="334"/>
      <c r="F28" s="334"/>
      <c r="G28" s="334"/>
      <c r="H28" s="334"/>
      <c r="I28" s="334"/>
      <c r="J28" s="334"/>
      <c r="K28" s="334"/>
      <c r="L28" s="334"/>
      <c r="M28" s="335"/>
      <c r="N28" s="126"/>
      <c r="O28" s="126"/>
      <c r="P28" s="126"/>
      <c r="Q28" s="126"/>
      <c r="R28" s="126"/>
      <c r="S28" s="126"/>
      <c r="T28" s="126"/>
      <c r="U28" s="126"/>
      <c r="V28" s="126"/>
      <c r="W28" s="126"/>
      <c r="X28" s="126"/>
      <c r="Y28" s="126"/>
      <c r="Z28" s="126"/>
    </row>
    <row r="29" spans="1:256" x14ac:dyDescent="0.2">
      <c r="A29" s="218"/>
      <c r="B29" s="219"/>
      <c r="C29" s="334"/>
      <c r="D29" s="334"/>
      <c r="E29" s="334"/>
      <c r="F29" s="334"/>
      <c r="G29" s="334"/>
      <c r="H29" s="334"/>
      <c r="I29" s="334"/>
      <c r="J29" s="334"/>
      <c r="K29" s="334"/>
      <c r="L29" s="334"/>
      <c r="M29" s="335"/>
      <c r="N29" s="211"/>
      <c r="O29" s="211"/>
      <c r="P29" s="340"/>
      <c r="Q29" s="340"/>
      <c r="R29" s="340"/>
      <c r="S29" s="340"/>
      <c r="T29" s="340"/>
      <c r="U29" s="340"/>
      <c r="V29" s="340"/>
      <c r="W29" s="340"/>
      <c r="X29" s="340"/>
      <c r="Y29" s="340"/>
      <c r="Z29" s="340"/>
      <c r="AA29" s="207"/>
      <c r="AB29" s="207"/>
      <c r="AC29" s="339"/>
      <c r="AD29" s="339"/>
      <c r="AE29" s="339"/>
      <c r="AF29" s="339"/>
      <c r="AG29" s="339"/>
      <c r="AH29" s="339"/>
      <c r="AI29" s="339"/>
      <c r="AJ29" s="339"/>
      <c r="AK29" s="339"/>
      <c r="AL29" s="339"/>
      <c r="AM29" s="339"/>
      <c r="AN29" s="207"/>
      <c r="AO29" s="207"/>
      <c r="AP29" s="339"/>
      <c r="AQ29" s="339"/>
      <c r="AR29" s="339"/>
      <c r="AS29" s="339"/>
      <c r="AT29" s="339"/>
      <c r="AU29" s="339"/>
      <c r="AV29" s="339"/>
      <c r="AW29" s="339"/>
      <c r="AX29" s="339"/>
      <c r="AY29" s="339"/>
      <c r="AZ29" s="339"/>
      <c r="BA29" s="207"/>
      <c r="BB29" s="207"/>
      <c r="BC29" s="339"/>
      <c r="BD29" s="339"/>
      <c r="BE29" s="339"/>
      <c r="BF29" s="339"/>
      <c r="BG29" s="339"/>
      <c r="BH29" s="339"/>
      <c r="BI29" s="339"/>
      <c r="BJ29" s="339"/>
      <c r="BK29" s="339"/>
      <c r="BL29" s="339"/>
      <c r="BM29" s="339"/>
      <c r="BN29" s="207"/>
      <c r="BO29" s="207"/>
      <c r="BP29" s="339"/>
      <c r="BQ29" s="339"/>
      <c r="BR29" s="339"/>
      <c r="BS29" s="339"/>
      <c r="BT29" s="339"/>
      <c r="BU29" s="339"/>
      <c r="BV29" s="339"/>
      <c r="BW29" s="339"/>
      <c r="BX29" s="339"/>
      <c r="BY29" s="339"/>
      <c r="BZ29" s="339"/>
      <c r="CA29" s="207"/>
      <c r="CB29" s="207"/>
      <c r="CC29" s="339"/>
      <c r="CD29" s="339"/>
      <c r="CE29" s="339"/>
      <c r="CF29" s="339"/>
      <c r="CG29" s="339"/>
      <c r="CH29" s="339"/>
      <c r="CI29" s="339"/>
      <c r="CJ29" s="339"/>
      <c r="CK29" s="339"/>
      <c r="CL29" s="339"/>
      <c r="CM29" s="339"/>
      <c r="CN29" s="207"/>
      <c r="CO29" s="207"/>
      <c r="CP29" s="339"/>
      <c r="CQ29" s="339"/>
      <c r="CR29" s="339"/>
      <c r="CS29" s="339"/>
      <c r="CT29" s="339"/>
      <c r="CU29" s="339"/>
      <c r="CV29" s="339"/>
      <c r="CW29" s="339"/>
      <c r="CX29" s="339"/>
      <c r="CY29" s="339"/>
      <c r="CZ29" s="339"/>
      <c r="DA29" s="207"/>
      <c r="DB29" s="207"/>
      <c r="DC29" s="339"/>
      <c r="DD29" s="339"/>
      <c r="DE29" s="339"/>
      <c r="DF29" s="339"/>
      <c r="DG29" s="339"/>
      <c r="DH29" s="339"/>
      <c r="DI29" s="339"/>
      <c r="DJ29" s="339"/>
      <c r="DK29" s="339"/>
      <c r="DL29" s="339"/>
      <c r="DM29" s="339"/>
      <c r="DN29" s="207"/>
      <c r="DO29" s="207"/>
      <c r="DP29" s="339"/>
      <c r="DQ29" s="339"/>
      <c r="DR29" s="339"/>
      <c r="DS29" s="339"/>
      <c r="DT29" s="339"/>
      <c r="DU29" s="339"/>
      <c r="DV29" s="339"/>
      <c r="DW29" s="339"/>
      <c r="DX29" s="339"/>
      <c r="DY29" s="339"/>
      <c r="DZ29" s="339"/>
      <c r="EA29" s="207"/>
      <c r="EB29" s="207"/>
      <c r="EC29" s="339"/>
      <c r="ED29" s="339"/>
      <c r="EE29" s="339"/>
      <c r="EF29" s="339"/>
      <c r="EG29" s="339"/>
      <c r="EH29" s="339"/>
      <c r="EI29" s="339"/>
      <c r="EJ29" s="339"/>
      <c r="EK29" s="339"/>
      <c r="EL29" s="339"/>
      <c r="EM29" s="339"/>
      <c r="EN29" s="207"/>
      <c r="EO29" s="207"/>
      <c r="EP29" s="339"/>
      <c r="EQ29" s="339"/>
      <c r="ER29" s="339"/>
      <c r="ES29" s="339"/>
      <c r="ET29" s="339"/>
      <c r="EU29" s="339"/>
      <c r="EV29" s="339"/>
      <c r="EW29" s="339"/>
      <c r="EX29" s="339"/>
      <c r="EY29" s="339"/>
      <c r="EZ29" s="339"/>
      <c r="FA29" s="207"/>
      <c r="FB29" s="207"/>
      <c r="FC29" s="339"/>
      <c r="FD29" s="339"/>
      <c r="FE29" s="339"/>
      <c r="FF29" s="339"/>
      <c r="FG29" s="339"/>
      <c r="FH29" s="339"/>
      <c r="FI29" s="339"/>
      <c r="FJ29" s="339"/>
      <c r="FK29" s="339"/>
      <c r="FL29" s="339"/>
      <c r="FM29" s="339"/>
      <c r="FN29" s="207"/>
      <c r="FO29" s="207"/>
      <c r="FP29" s="339"/>
      <c r="FQ29" s="339"/>
      <c r="FR29" s="339"/>
      <c r="FS29" s="339"/>
      <c r="FT29" s="339"/>
      <c r="FU29" s="339"/>
      <c r="FV29" s="339"/>
      <c r="FW29" s="339"/>
      <c r="FX29" s="339"/>
      <c r="FY29" s="339"/>
      <c r="FZ29" s="339"/>
      <c r="GA29" s="207"/>
      <c r="GB29" s="207"/>
      <c r="GC29" s="339"/>
      <c r="GD29" s="339"/>
      <c r="GE29" s="339"/>
      <c r="GF29" s="339"/>
      <c r="GG29" s="339"/>
      <c r="GH29" s="339"/>
      <c r="GI29" s="339"/>
      <c r="GJ29" s="339"/>
      <c r="GK29" s="339"/>
      <c r="GL29" s="339"/>
      <c r="GM29" s="339"/>
      <c r="GN29" s="207"/>
      <c r="GO29" s="207"/>
      <c r="GP29" s="339"/>
      <c r="GQ29" s="339"/>
      <c r="GR29" s="339"/>
      <c r="GS29" s="339"/>
      <c r="GT29" s="339"/>
      <c r="GU29" s="339"/>
      <c r="GV29" s="339"/>
      <c r="GW29" s="339"/>
      <c r="GX29" s="339"/>
      <c r="GY29" s="339"/>
      <c r="GZ29" s="339"/>
      <c r="HA29" s="207"/>
      <c r="HB29" s="207"/>
      <c r="HC29" s="339"/>
      <c r="HD29" s="339"/>
      <c r="HE29" s="339"/>
      <c r="HF29" s="339"/>
      <c r="HG29" s="339"/>
      <c r="HH29" s="339"/>
      <c r="HI29" s="339"/>
      <c r="HJ29" s="339"/>
      <c r="HK29" s="339"/>
      <c r="HL29" s="339"/>
      <c r="HM29" s="339"/>
      <c r="HN29" s="207"/>
      <c r="HO29" s="207"/>
      <c r="HP29" s="339"/>
      <c r="HQ29" s="339"/>
      <c r="HR29" s="339"/>
      <c r="HS29" s="339"/>
      <c r="HT29" s="339"/>
      <c r="HU29" s="339"/>
      <c r="HV29" s="339"/>
      <c r="HW29" s="339"/>
      <c r="HX29" s="339"/>
      <c r="HY29" s="339"/>
      <c r="HZ29" s="339"/>
      <c r="IA29" s="207"/>
      <c r="IB29" s="207"/>
      <c r="IC29" s="339"/>
      <c r="ID29" s="339"/>
      <c r="IE29" s="339"/>
      <c r="IF29" s="339"/>
      <c r="IG29" s="339"/>
      <c r="IH29" s="339"/>
      <c r="II29" s="339"/>
      <c r="IJ29" s="339"/>
      <c r="IK29" s="339"/>
      <c r="IL29" s="339"/>
      <c r="IM29" s="339"/>
      <c r="IN29" s="207"/>
      <c r="IO29" s="207"/>
      <c r="IP29" s="339"/>
      <c r="IQ29" s="339"/>
      <c r="IR29" s="339"/>
      <c r="IS29" s="339"/>
      <c r="IT29" s="339"/>
      <c r="IU29" s="339"/>
      <c r="IV29" s="339"/>
    </row>
    <row r="30" spans="1:256" x14ac:dyDescent="0.2">
      <c r="A30" s="218"/>
      <c r="B30" s="219"/>
      <c r="C30" s="334"/>
      <c r="D30" s="334"/>
      <c r="E30" s="334"/>
      <c r="F30" s="334"/>
      <c r="G30" s="334"/>
      <c r="H30" s="334"/>
      <c r="I30" s="334"/>
      <c r="J30" s="334"/>
      <c r="K30" s="334"/>
      <c r="L30" s="334"/>
      <c r="M30" s="335"/>
      <c r="N30" s="211"/>
      <c r="O30" s="211"/>
      <c r="P30" s="340"/>
      <c r="Q30" s="340"/>
      <c r="R30" s="340"/>
      <c r="S30" s="340"/>
      <c r="T30" s="340"/>
      <c r="U30" s="340"/>
      <c r="V30" s="340"/>
      <c r="W30" s="340"/>
      <c r="X30" s="340"/>
      <c r="Y30" s="340"/>
      <c r="Z30" s="340"/>
      <c r="AA30" s="207"/>
      <c r="AB30" s="207"/>
      <c r="AC30" s="339"/>
      <c r="AD30" s="339"/>
      <c r="AE30" s="339"/>
      <c r="AF30" s="339"/>
      <c r="AG30" s="339"/>
      <c r="AH30" s="339"/>
      <c r="AI30" s="339"/>
      <c r="AJ30" s="339"/>
      <c r="AK30" s="339"/>
      <c r="AL30" s="339"/>
      <c r="AM30" s="339"/>
      <c r="AN30" s="207"/>
      <c r="AO30" s="207"/>
      <c r="AP30" s="339"/>
      <c r="AQ30" s="339"/>
      <c r="AR30" s="339"/>
      <c r="AS30" s="339"/>
      <c r="AT30" s="339"/>
      <c r="AU30" s="339"/>
      <c r="AV30" s="339"/>
      <c r="AW30" s="339"/>
      <c r="AX30" s="339"/>
      <c r="AY30" s="339"/>
      <c r="AZ30" s="339"/>
      <c r="BA30" s="207"/>
      <c r="BB30" s="207"/>
      <c r="BC30" s="339"/>
      <c r="BD30" s="339"/>
      <c r="BE30" s="339"/>
      <c r="BF30" s="339"/>
      <c r="BG30" s="339"/>
      <c r="BH30" s="339"/>
      <c r="BI30" s="339"/>
      <c r="BJ30" s="339"/>
      <c r="BK30" s="339"/>
      <c r="BL30" s="339"/>
      <c r="BM30" s="339"/>
      <c r="BN30" s="207"/>
      <c r="BO30" s="207"/>
      <c r="BP30" s="339"/>
      <c r="BQ30" s="339"/>
      <c r="BR30" s="339"/>
      <c r="BS30" s="339"/>
      <c r="BT30" s="339"/>
      <c r="BU30" s="339"/>
      <c r="BV30" s="339"/>
      <c r="BW30" s="339"/>
      <c r="BX30" s="339"/>
      <c r="BY30" s="339"/>
      <c r="BZ30" s="339"/>
      <c r="CA30" s="207"/>
      <c r="CB30" s="207"/>
      <c r="CC30" s="339"/>
      <c r="CD30" s="339"/>
      <c r="CE30" s="339"/>
      <c r="CF30" s="339"/>
      <c r="CG30" s="339"/>
      <c r="CH30" s="339"/>
      <c r="CI30" s="339"/>
      <c r="CJ30" s="339"/>
      <c r="CK30" s="339"/>
      <c r="CL30" s="339"/>
      <c r="CM30" s="339"/>
      <c r="CN30" s="207"/>
      <c r="CO30" s="207"/>
      <c r="CP30" s="339"/>
      <c r="CQ30" s="339"/>
      <c r="CR30" s="339"/>
      <c r="CS30" s="339"/>
      <c r="CT30" s="339"/>
      <c r="CU30" s="339"/>
      <c r="CV30" s="339"/>
      <c r="CW30" s="339"/>
      <c r="CX30" s="339"/>
      <c r="CY30" s="339"/>
      <c r="CZ30" s="339"/>
      <c r="DA30" s="207"/>
      <c r="DB30" s="207"/>
      <c r="DC30" s="339"/>
      <c r="DD30" s="339"/>
      <c r="DE30" s="339"/>
      <c r="DF30" s="339"/>
      <c r="DG30" s="339"/>
      <c r="DH30" s="339"/>
      <c r="DI30" s="339"/>
      <c r="DJ30" s="339"/>
      <c r="DK30" s="339"/>
      <c r="DL30" s="339"/>
      <c r="DM30" s="339"/>
      <c r="DN30" s="207"/>
      <c r="DO30" s="207"/>
      <c r="DP30" s="339"/>
      <c r="DQ30" s="339"/>
      <c r="DR30" s="339"/>
      <c r="DS30" s="339"/>
      <c r="DT30" s="339"/>
      <c r="DU30" s="339"/>
      <c r="DV30" s="339"/>
      <c r="DW30" s="339"/>
      <c r="DX30" s="339"/>
      <c r="DY30" s="339"/>
      <c r="DZ30" s="339"/>
      <c r="EA30" s="207"/>
      <c r="EB30" s="207"/>
      <c r="EC30" s="339"/>
      <c r="ED30" s="339"/>
      <c r="EE30" s="339"/>
      <c r="EF30" s="339"/>
      <c r="EG30" s="339"/>
      <c r="EH30" s="339"/>
      <c r="EI30" s="339"/>
      <c r="EJ30" s="339"/>
      <c r="EK30" s="339"/>
      <c r="EL30" s="339"/>
      <c r="EM30" s="339"/>
      <c r="EN30" s="207"/>
      <c r="EO30" s="207"/>
      <c r="EP30" s="339"/>
      <c r="EQ30" s="339"/>
      <c r="ER30" s="339"/>
      <c r="ES30" s="339"/>
      <c r="ET30" s="339"/>
      <c r="EU30" s="339"/>
      <c r="EV30" s="339"/>
      <c r="EW30" s="339"/>
      <c r="EX30" s="339"/>
      <c r="EY30" s="339"/>
      <c r="EZ30" s="339"/>
      <c r="FA30" s="207"/>
      <c r="FB30" s="207"/>
      <c r="FC30" s="339"/>
      <c r="FD30" s="339"/>
      <c r="FE30" s="339"/>
      <c r="FF30" s="339"/>
      <c r="FG30" s="339"/>
      <c r="FH30" s="339"/>
      <c r="FI30" s="339"/>
      <c r="FJ30" s="339"/>
      <c r="FK30" s="339"/>
      <c r="FL30" s="339"/>
      <c r="FM30" s="339"/>
      <c r="FN30" s="207"/>
      <c r="FO30" s="207"/>
      <c r="FP30" s="339"/>
      <c r="FQ30" s="339"/>
      <c r="FR30" s="339"/>
      <c r="FS30" s="339"/>
      <c r="FT30" s="339"/>
      <c r="FU30" s="339"/>
      <c r="FV30" s="339"/>
      <c r="FW30" s="339"/>
      <c r="FX30" s="339"/>
      <c r="FY30" s="339"/>
      <c r="FZ30" s="339"/>
      <c r="GA30" s="207"/>
      <c r="GB30" s="207"/>
      <c r="GC30" s="339"/>
      <c r="GD30" s="339"/>
      <c r="GE30" s="339"/>
      <c r="GF30" s="339"/>
      <c r="GG30" s="339"/>
      <c r="GH30" s="339"/>
      <c r="GI30" s="339"/>
      <c r="GJ30" s="339"/>
      <c r="GK30" s="339"/>
      <c r="GL30" s="339"/>
      <c r="GM30" s="339"/>
      <c r="GN30" s="207"/>
      <c r="GO30" s="207"/>
      <c r="GP30" s="339"/>
      <c r="GQ30" s="339"/>
      <c r="GR30" s="339"/>
      <c r="GS30" s="339"/>
      <c r="GT30" s="339"/>
      <c r="GU30" s="339"/>
      <c r="GV30" s="339"/>
      <c r="GW30" s="339"/>
      <c r="GX30" s="339"/>
      <c r="GY30" s="339"/>
      <c r="GZ30" s="339"/>
      <c r="HA30" s="207"/>
      <c r="HB30" s="207"/>
      <c r="HC30" s="339"/>
      <c r="HD30" s="339"/>
      <c r="HE30" s="339"/>
      <c r="HF30" s="339"/>
      <c r="HG30" s="339"/>
      <c r="HH30" s="339"/>
      <c r="HI30" s="339"/>
      <c r="HJ30" s="339"/>
      <c r="HK30" s="339"/>
      <c r="HL30" s="339"/>
      <c r="HM30" s="339"/>
      <c r="HN30" s="207"/>
      <c r="HO30" s="207"/>
      <c r="HP30" s="339"/>
      <c r="HQ30" s="339"/>
      <c r="HR30" s="339"/>
      <c r="HS30" s="339"/>
      <c r="HT30" s="339"/>
      <c r="HU30" s="339"/>
      <c r="HV30" s="339"/>
      <c r="HW30" s="339"/>
      <c r="HX30" s="339"/>
      <c r="HY30" s="339"/>
      <c r="HZ30" s="339"/>
      <c r="IA30" s="207"/>
      <c r="IB30" s="207"/>
      <c r="IC30" s="339"/>
      <c r="ID30" s="339"/>
      <c r="IE30" s="339"/>
      <c r="IF30" s="339"/>
      <c r="IG30" s="339"/>
      <c r="IH30" s="339"/>
      <c r="II30" s="339"/>
      <c r="IJ30" s="339"/>
      <c r="IK30" s="339"/>
      <c r="IL30" s="339"/>
      <c r="IM30" s="339"/>
      <c r="IN30" s="207"/>
      <c r="IO30" s="207"/>
      <c r="IP30" s="339"/>
      <c r="IQ30" s="339"/>
      <c r="IR30" s="339"/>
      <c r="IS30" s="339"/>
      <c r="IT30" s="339"/>
      <c r="IU30" s="339"/>
      <c r="IV30" s="339"/>
    </row>
    <row r="31" spans="1:256" x14ac:dyDescent="0.2">
      <c r="A31" s="218"/>
      <c r="B31" s="219"/>
      <c r="C31" s="334"/>
      <c r="D31" s="334"/>
      <c r="E31" s="334"/>
      <c r="F31" s="334"/>
      <c r="G31" s="334"/>
      <c r="H31" s="334"/>
      <c r="I31" s="334"/>
      <c r="J31" s="334"/>
      <c r="K31" s="334"/>
      <c r="L31" s="334"/>
      <c r="M31" s="335"/>
      <c r="N31" s="211"/>
      <c r="O31" s="211"/>
      <c r="P31" s="340"/>
      <c r="Q31" s="340"/>
      <c r="R31" s="340"/>
      <c r="S31" s="340"/>
      <c r="T31" s="340"/>
      <c r="U31" s="340"/>
      <c r="V31" s="340"/>
      <c r="W31" s="340"/>
      <c r="X31" s="340"/>
      <c r="Y31" s="340"/>
      <c r="Z31" s="340"/>
      <c r="AA31" s="207"/>
      <c r="AB31" s="207"/>
      <c r="AC31" s="339"/>
      <c r="AD31" s="339"/>
      <c r="AE31" s="339"/>
      <c r="AF31" s="339"/>
      <c r="AG31" s="339"/>
      <c r="AH31" s="339"/>
      <c r="AI31" s="339"/>
      <c r="AJ31" s="339"/>
      <c r="AK31" s="339"/>
      <c r="AL31" s="339"/>
      <c r="AM31" s="339"/>
      <c r="AN31" s="207"/>
      <c r="AO31" s="207"/>
      <c r="AP31" s="339"/>
      <c r="AQ31" s="339"/>
      <c r="AR31" s="339"/>
      <c r="AS31" s="339"/>
      <c r="AT31" s="339"/>
      <c r="AU31" s="339"/>
      <c r="AV31" s="339"/>
      <c r="AW31" s="339"/>
      <c r="AX31" s="339"/>
      <c r="AY31" s="339"/>
      <c r="AZ31" s="339"/>
      <c r="BA31" s="207"/>
      <c r="BB31" s="207"/>
      <c r="BC31" s="339"/>
      <c r="BD31" s="339"/>
      <c r="BE31" s="339"/>
      <c r="BF31" s="339"/>
      <c r="BG31" s="339"/>
      <c r="BH31" s="339"/>
      <c r="BI31" s="339"/>
      <c r="BJ31" s="339"/>
      <c r="BK31" s="339"/>
      <c r="BL31" s="339"/>
      <c r="BM31" s="339"/>
      <c r="BN31" s="207"/>
      <c r="BO31" s="207"/>
      <c r="BP31" s="339"/>
      <c r="BQ31" s="339"/>
      <c r="BR31" s="339"/>
      <c r="BS31" s="339"/>
      <c r="BT31" s="339"/>
      <c r="BU31" s="339"/>
      <c r="BV31" s="339"/>
      <c r="BW31" s="339"/>
      <c r="BX31" s="339"/>
      <c r="BY31" s="339"/>
      <c r="BZ31" s="339"/>
      <c r="CA31" s="207"/>
      <c r="CB31" s="207"/>
      <c r="CC31" s="339"/>
      <c r="CD31" s="339"/>
      <c r="CE31" s="339"/>
      <c r="CF31" s="339"/>
      <c r="CG31" s="339"/>
      <c r="CH31" s="339"/>
      <c r="CI31" s="339"/>
      <c r="CJ31" s="339"/>
      <c r="CK31" s="339"/>
      <c r="CL31" s="339"/>
      <c r="CM31" s="339"/>
      <c r="CN31" s="207"/>
      <c r="CO31" s="207"/>
      <c r="CP31" s="339"/>
      <c r="CQ31" s="339"/>
      <c r="CR31" s="339"/>
      <c r="CS31" s="339"/>
      <c r="CT31" s="339"/>
      <c r="CU31" s="339"/>
      <c r="CV31" s="339"/>
      <c r="CW31" s="339"/>
      <c r="CX31" s="339"/>
      <c r="CY31" s="339"/>
      <c r="CZ31" s="339"/>
      <c r="DA31" s="207"/>
      <c r="DB31" s="207"/>
      <c r="DC31" s="339"/>
      <c r="DD31" s="339"/>
      <c r="DE31" s="339"/>
      <c r="DF31" s="339"/>
      <c r="DG31" s="339"/>
      <c r="DH31" s="339"/>
      <c r="DI31" s="339"/>
      <c r="DJ31" s="339"/>
      <c r="DK31" s="339"/>
      <c r="DL31" s="339"/>
      <c r="DM31" s="339"/>
      <c r="DN31" s="207"/>
      <c r="DO31" s="207"/>
      <c r="DP31" s="339"/>
      <c r="DQ31" s="339"/>
      <c r="DR31" s="339"/>
      <c r="DS31" s="339"/>
      <c r="DT31" s="339"/>
      <c r="DU31" s="339"/>
      <c r="DV31" s="339"/>
      <c r="DW31" s="339"/>
      <c r="DX31" s="339"/>
      <c r="DY31" s="339"/>
      <c r="DZ31" s="339"/>
      <c r="EA31" s="207"/>
      <c r="EB31" s="207"/>
      <c r="EC31" s="339"/>
      <c r="ED31" s="339"/>
      <c r="EE31" s="339"/>
      <c r="EF31" s="339"/>
      <c r="EG31" s="339"/>
      <c r="EH31" s="339"/>
      <c r="EI31" s="339"/>
      <c r="EJ31" s="339"/>
      <c r="EK31" s="339"/>
      <c r="EL31" s="339"/>
      <c r="EM31" s="339"/>
      <c r="EN31" s="207"/>
      <c r="EO31" s="207"/>
      <c r="EP31" s="339"/>
      <c r="EQ31" s="339"/>
      <c r="ER31" s="339"/>
      <c r="ES31" s="339"/>
      <c r="ET31" s="339"/>
      <c r="EU31" s="339"/>
      <c r="EV31" s="339"/>
      <c r="EW31" s="339"/>
      <c r="EX31" s="339"/>
      <c r="EY31" s="339"/>
      <c r="EZ31" s="339"/>
      <c r="FA31" s="207"/>
      <c r="FB31" s="207"/>
      <c r="FC31" s="339"/>
      <c r="FD31" s="339"/>
      <c r="FE31" s="339"/>
      <c r="FF31" s="339"/>
      <c r="FG31" s="339"/>
      <c r="FH31" s="339"/>
      <c r="FI31" s="339"/>
      <c r="FJ31" s="339"/>
      <c r="FK31" s="339"/>
      <c r="FL31" s="339"/>
      <c r="FM31" s="339"/>
      <c r="FN31" s="207"/>
      <c r="FO31" s="207"/>
      <c r="FP31" s="339"/>
      <c r="FQ31" s="339"/>
      <c r="FR31" s="339"/>
      <c r="FS31" s="339"/>
      <c r="FT31" s="339"/>
      <c r="FU31" s="339"/>
      <c r="FV31" s="339"/>
      <c r="FW31" s="339"/>
      <c r="FX31" s="339"/>
      <c r="FY31" s="339"/>
      <c r="FZ31" s="339"/>
      <c r="GA31" s="207"/>
      <c r="GB31" s="207"/>
      <c r="GC31" s="339"/>
      <c r="GD31" s="339"/>
      <c r="GE31" s="339"/>
      <c r="GF31" s="339"/>
      <c r="GG31" s="339"/>
      <c r="GH31" s="339"/>
      <c r="GI31" s="339"/>
      <c r="GJ31" s="339"/>
      <c r="GK31" s="339"/>
      <c r="GL31" s="339"/>
      <c r="GM31" s="339"/>
      <c r="GN31" s="207"/>
      <c r="GO31" s="207"/>
      <c r="GP31" s="339"/>
      <c r="GQ31" s="339"/>
      <c r="GR31" s="339"/>
      <c r="GS31" s="339"/>
      <c r="GT31" s="339"/>
      <c r="GU31" s="339"/>
      <c r="GV31" s="339"/>
      <c r="GW31" s="339"/>
      <c r="GX31" s="339"/>
      <c r="GY31" s="339"/>
      <c r="GZ31" s="339"/>
      <c r="HA31" s="207"/>
      <c r="HB31" s="207"/>
      <c r="HC31" s="339"/>
      <c r="HD31" s="339"/>
      <c r="HE31" s="339"/>
      <c r="HF31" s="339"/>
      <c r="HG31" s="339"/>
      <c r="HH31" s="339"/>
      <c r="HI31" s="339"/>
      <c r="HJ31" s="339"/>
      <c r="HK31" s="339"/>
      <c r="HL31" s="339"/>
      <c r="HM31" s="339"/>
      <c r="HN31" s="207"/>
      <c r="HO31" s="207"/>
      <c r="HP31" s="339"/>
      <c r="HQ31" s="339"/>
      <c r="HR31" s="339"/>
      <c r="HS31" s="339"/>
      <c r="HT31" s="339"/>
      <c r="HU31" s="339"/>
      <c r="HV31" s="339"/>
      <c r="HW31" s="339"/>
      <c r="HX31" s="339"/>
      <c r="HY31" s="339"/>
      <c r="HZ31" s="339"/>
      <c r="IA31" s="207"/>
      <c r="IB31" s="207"/>
      <c r="IC31" s="339"/>
      <c r="ID31" s="339"/>
      <c r="IE31" s="339"/>
      <c r="IF31" s="339"/>
      <c r="IG31" s="339"/>
      <c r="IH31" s="339"/>
      <c r="II31" s="339"/>
      <c r="IJ31" s="339"/>
      <c r="IK31" s="339"/>
      <c r="IL31" s="339"/>
      <c r="IM31" s="339"/>
      <c r="IN31" s="207"/>
      <c r="IO31" s="207"/>
      <c r="IP31" s="339"/>
      <c r="IQ31" s="339"/>
      <c r="IR31" s="339"/>
      <c r="IS31" s="339"/>
      <c r="IT31" s="339"/>
      <c r="IU31" s="339"/>
      <c r="IV31" s="339"/>
    </row>
    <row r="32" spans="1:256" x14ac:dyDescent="0.2">
      <c r="A32" s="218"/>
      <c r="B32" s="219"/>
      <c r="C32" s="334"/>
      <c r="D32" s="334"/>
      <c r="E32" s="334"/>
      <c r="F32" s="334"/>
      <c r="G32" s="334"/>
      <c r="H32" s="334"/>
      <c r="I32" s="334"/>
      <c r="J32" s="334"/>
      <c r="K32" s="334"/>
      <c r="L32" s="334"/>
      <c r="M32" s="335"/>
      <c r="N32" s="223"/>
      <c r="O32" s="223"/>
      <c r="P32" s="341"/>
      <c r="Q32" s="341"/>
      <c r="R32" s="341"/>
      <c r="S32" s="341"/>
      <c r="T32" s="341"/>
      <c r="U32" s="341"/>
      <c r="V32" s="341"/>
      <c r="W32" s="341"/>
      <c r="X32" s="341"/>
      <c r="Y32" s="341"/>
      <c r="Z32" s="342"/>
      <c r="AA32" s="218"/>
      <c r="AB32" s="219"/>
      <c r="AC32" s="334"/>
      <c r="AD32" s="334"/>
      <c r="AE32" s="334"/>
      <c r="AF32" s="334"/>
      <c r="AG32" s="334"/>
      <c r="AH32" s="334"/>
      <c r="AI32" s="334"/>
      <c r="AJ32" s="334"/>
      <c r="AK32" s="334"/>
      <c r="AL32" s="334"/>
      <c r="AM32" s="335"/>
      <c r="AN32" s="218"/>
      <c r="AO32" s="219"/>
      <c r="AP32" s="334"/>
      <c r="AQ32" s="334"/>
      <c r="AR32" s="334"/>
      <c r="AS32" s="334"/>
      <c r="AT32" s="334"/>
      <c r="AU32" s="334"/>
      <c r="AV32" s="334"/>
      <c r="AW32" s="334"/>
      <c r="AX32" s="334"/>
      <c r="AY32" s="334"/>
      <c r="AZ32" s="335"/>
      <c r="BA32" s="218"/>
      <c r="BB32" s="219"/>
      <c r="BC32" s="334"/>
      <c r="BD32" s="334"/>
      <c r="BE32" s="334"/>
      <c r="BF32" s="334"/>
      <c r="BG32" s="334"/>
      <c r="BH32" s="334"/>
      <c r="BI32" s="334"/>
      <c r="BJ32" s="334"/>
      <c r="BK32" s="334"/>
      <c r="BL32" s="334"/>
      <c r="BM32" s="335"/>
      <c r="BN32" s="218"/>
      <c r="BO32" s="219"/>
      <c r="BP32" s="334"/>
      <c r="BQ32" s="334"/>
      <c r="BR32" s="334"/>
      <c r="BS32" s="334"/>
      <c r="BT32" s="334"/>
      <c r="BU32" s="334"/>
      <c r="BV32" s="334"/>
      <c r="BW32" s="334"/>
      <c r="BX32" s="334"/>
      <c r="BY32" s="334"/>
      <c r="BZ32" s="335"/>
      <c r="CA32" s="218"/>
      <c r="CB32" s="219"/>
      <c r="CC32" s="334"/>
      <c r="CD32" s="334"/>
      <c r="CE32" s="334"/>
      <c r="CF32" s="334"/>
      <c r="CG32" s="334"/>
      <c r="CH32" s="334"/>
      <c r="CI32" s="334"/>
      <c r="CJ32" s="334"/>
      <c r="CK32" s="334"/>
      <c r="CL32" s="334"/>
      <c r="CM32" s="335"/>
      <c r="CN32" s="218"/>
      <c r="CO32" s="219"/>
      <c r="CP32" s="334"/>
      <c r="CQ32" s="334"/>
      <c r="CR32" s="334"/>
      <c r="CS32" s="334"/>
      <c r="CT32" s="334"/>
      <c r="CU32" s="334"/>
      <c r="CV32" s="334"/>
      <c r="CW32" s="334"/>
      <c r="CX32" s="334"/>
      <c r="CY32" s="334"/>
      <c r="CZ32" s="335"/>
      <c r="DA32" s="218"/>
      <c r="DB32" s="219"/>
      <c r="DC32" s="334"/>
      <c r="DD32" s="334"/>
      <c r="DE32" s="334"/>
      <c r="DF32" s="334"/>
      <c r="DG32" s="334"/>
      <c r="DH32" s="334"/>
      <c r="DI32" s="334"/>
      <c r="DJ32" s="334"/>
      <c r="DK32" s="334"/>
      <c r="DL32" s="334"/>
      <c r="DM32" s="335"/>
      <c r="DN32" s="218"/>
      <c r="DO32" s="219"/>
      <c r="DP32" s="334"/>
      <c r="DQ32" s="334"/>
      <c r="DR32" s="334"/>
      <c r="DS32" s="334"/>
      <c r="DT32" s="334"/>
      <c r="DU32" s="334"/>
      <c r="DV32" s="334"/>
      <c r="DW32" s="334"/>
      <c r="DX32" s="334"/>
      <c r="DY32" s="334"/>
      <c r="DZ32" s="335"/>
      <c r="EA32" s="218"/>
      <c r="EB32" s="219"/>
      <c r="EC32" s="334"/>
      <c r="ED32" s="334"/>
      <c r="EE32" s="334"/>
      <c r="EF32" s="334"/>
      <c r="EG32" s="334"/>
      <c r="EH32" s="334"/>
      <c r="EI32" s="334"/>
      <c r="EJ32" s="334"/>
      <c r="EK32" s="334"/>
      <c r="EL32" s="334"/>
      <c r="EM32" s="335"/>
      <c r="EN32" s="218"/>
      <c r="EO32" s="219"/>
      <c r="EP32" s="334"/>
      <c r="EQ32" s="334"/>
      <c r="ER32" s="334"/>
      <c r="ES32" s="334"/>
      <c r="ET32" s="334"/>
      <c r="EU32" s="334"/>
      <c r="EV32" s="334"/>
      <c r="EW32" s="334"/>
      <c r="EX32" s="334"/>
      <c r="EY32" s="334"/>
      <c r="EZ32" s="335"/>
      <c r="FA32" s="218"/>
      <c r="FB32" s="219"/>
      <c r="FC32" s="334"/>
      <c r="FD32" s="334"/>
      <c r="FE32" s="334"/>
      <c r="FF32" s="334"/>
      <c r="FG32" s="334"/>
      <c r="FH32" s="334"/>
      <c r="FI32" s="334"/>
      <c r="FJ32" s="334"/>
      <c r="FK32" s="334"/>
      <c r="FL32" s="334"/>
      <c r="FM32" s="335"/>
      <c r="FN32" s="218"/>
      <c r="FO32" s="219"/>
      <c r="FP32" s="334"/>
      <c r="FQ32" s="334"/>
      <c r="FR32" s="334"/>
      <c r="FS32" s="334"/>
      <c r="FT32" s="334"/>
      <c r="FU32" s="334"/>
      <c r="FV32" s="334"/>
      <c r="FW32" s="334"/>
      <c r="FX32" s="334"/>
      <c r="FY32" s="334"/>
      <c r="FZ32" s="335"/>
      <c r="GA32" s="218"/>
      <c r="GB32" s="219"/>
      <c r="GC32" s="334"/>
      <c r="GD32" s="334"/>
      <c r="GE32" s="334"/>
      <c r="GF32" s="334"/>
      <c r="GG32" s="334"/>
      <c r="GH32" s="334"/>
      <c r="GI32" s="334"/>
      <c r="GJ32" s="334"/>
      <c r="GK32" s="334"/>
      <c r="GL32" s="334"/>
      <c r="GM32" s="335"/>
      <c r="GN32" s="218"/>
      <c r="GO32" s="219"/>
      <c r="GP32" s="334"/>
      <c r="GQ32" s="334"/>
      <c r="GR32" s="334"/>
      <c r="GS32" s="334"/>
      <c r="GT32" s="334"/>
      <c r="GU32" s="334"/>
      <c r="GV32" s="334"/>
      <c r="GW32" s="334"/>
      <c r="GX32" s="334"/>
      <c r="GY32" s="334"/>
      <c r="GZ32" s="335"/>
      <c r="HA32" s="218"/>
      <c r="HB32" s="219"/>
      <c r="HC32" s="334"/>
      <c r="HD32" s="334"/>
      <c r="HE32" s="334"/>
      <c r="HF32" s="334"/>
      <c r="HG32" s="334"/>
      <c r="HH32" s="334"/>
      <c r="HI32" s="334"/>
      <c r="HJ32" s="334"/>
      <c r="HK32" s="334"/>
      <c r="HL32" s="334"/>
      <c r="HM32" s="335"/>
      <c r="HN32" s="218"/>
      <c r="HO32" s="219"/>
      <c r="HP32" s="334"/>
      <c r="HQ32" s="334"/>
      <c r="HR32" s="334"/>
      <c r="HS32" s="334"/>
      <c r="HT32" s="334"/>
      <c r="HU32" s="334"/>
      <c r="HV32" s="334"/>
      <c r="HW32" s="334"/>
      <c r="HX32" s="334"/>
      <c r="HY32" s="334"/>
      <c r="HZ32" s="335"/>
      <c r="IA32" s="218"/>
      <c r="IB32" s="219"/>
      <c r="IC32" s="334"/>
      <c r="ID32" s="334"/>
      <c r="IE32" s="334"/>
      <c r="IF32" s="334"/>
      <c r="IG32" s="334"/>
      <c r="IH32" s="334"/>
      <c r="II32" s="334"/>
      <c r="IJ32" s="334"/>
      <c r="IK32" s="334"/>
      <c r="IL32" s="334"/>
      <c r="IM32" s="335"/>
      <c r="IN32" s="218"/>
      <c r="IO32" s="219"/>
      <c r="IP32" s="334"/>
      <c r="IQ32" s="334"/>
      <c r="IR32" s="334"/>
      <c r="IS32" s="334"/>
      <c r="IT32" s="334"/>
      <c r="IU32" s="334"/>
      <c r="IV32" s="334"/>
    </row>
    <row r="33" spans="1:256" x14ac:dyDescent="0.2">
      <c r="A33" s="218"/>
      <c r="B33" s="219"/>
      <c r="C33" s="334"/>
      <c r="D33" s="334"/>
      <c r="E33" s="334"/>
      <c r="F33" s="334"/>
      <c r="G33" s="334"/>
      <c r="H33" s="334"/>
      <c r="I33" s="334"/>
      <c r="J33" s="334"/>
      <c r="K33" s="334"/>
      <c r="L33" s="334"/>
      <c r="M33" s="335"/>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4"/>
      <c r="D34" s="334"/>
      <c r="E34" s="334"/>
      <c r="F34" s="334"/>
      <c r="G34" s="334"/>
      <c r="H34" s="334"/>
      <c r="I34" s="334"/>
      <c r="J34" s="334"/>
      <c r="K34" s="334"/>
      <c r="L34" s="334"/>
      <c r="M34" s="335"/>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4"/>
      <c r="D35" s="334"/>
      <c r="E35" s="334"/>
      <c r="F35" s="334"/>
      <c r="G35" s="334"/>
      <c r="H35" s="334"/>
      <c r="I35" s="334"/>
      <c r="J35" s="334"/>
      <c r="K35" s="334"/>
      <c r="L35" s="334"/>
      <c r="M35" s="335"/>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4"/>
      <c r="D36" s="334"/>
      <c r="E36" s="334"/>
      <c r="F36" s="334"/>
      <c r="G36" s="334"/>
      <c r="H36" s="334"/>
      <c r="I36" s="334"/>
      <c r="J36" s="334"/>
      <c r="K36" s="334"/>
      <c r="L36" s="334"/>
      <c r="M36" s="335"/>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4"/>
      <c r="D37" s="334"/>
      <c r="E37" s="334"/>
      <c r="F37" s="334"/>
      <c r="G37" s="334"/>
      <c r="H37" s="334"/>
      <c r="I37" s="334"/>
      <c r="J37" s="334"/>
      <c r="K37" s="334"/>
      <c r="L37" s="334"/>
      <c r="M37" s="335"/>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4"/>
      <c r="D38" s="334"/>
      <c r="E38" s="334"/>
      <c r="F38" s="334"/>
      <c r="G38" s="334"/>
      <c r="H38" s="334"/>
      <c r="I38" s="334"/>
      <c r="J38" s="334"/>
      <c r="K38" s="334"/>
      <c r="L38" s="334"/>
      <c r="M38" s="335"/>
      <c r="N38" s="211"/>
      <c r="O38" s="211"/>
      <c r="P38" s="340"/>
      <c r="Q38" s="340"/>
      <c r="R38" s="340"/>
      <c r="S38" s="340"/>
      <c r="T38" s="340"/>
      <c r="U38" s="340"/>
      <c r="V38" s="340"/>
      <c r="W38" s="340"/>
      <c r="X38" s="340"/>
      <c r="Y38" s="340"/>
      <c r="Z38" s="340"/>
      <c r="AA38" s="207"/>
      <c r="AB38" s="207"/>
      <c r="AC38" s="339"/>
      <c r="AD38" s="339"/>
      <c r="AE38" s="339"/>
      <c r="AF38" s="339"/>
      <c r="AG38" s="339"/>
      <c r="AH38" s="339"/>
      <c r="AI38" s="339"/>
      <c r="AJ38" s="339"/>
      <c r="AK38" s="339"/>
      <c r="AL38" s="339"/>
      <c r="AM38" s="339"/>
      <c r="AN38" s="207"/>
      <c r="AO38" s="207"/>
      <c r="AP38" s="339"/>
      <c r="AQ38" s="339"/>
      <c r="AR38" s="339"/>
      <c r="AS38" s="339"/>
      <c r="AT38" s="339"/>
      <c r="AU38" s="339"/>
      <c r="AV38" s="339"/>
      <c r="AW38" s="339"/>
      <c r="AX38" s="339"/>
      <c r="AY38" s="339"/>
      <c r="AZ38" s="339"/>
      <c r="BA38" s="207"/>
      <c r="BB38" s="207"/>
      <c r="BC38" s="339"/>
      <c r="BD38" s="339"/>
      <c r="BE38" s="339"/>
      <c r="BF38" s="339"/>
      <c r="BG38" s="339"/>
      <c r="BH38" s="339"/>
      <c r="BI38" s="339"/>
      <c r="BJ38" s="339"/>
      <c r="BK38" s="339"/>
      <c r="BL38" s="339"/>
      <c r="BM38" s="339"/>
      <c r="BN38" s="207"/>
      <c r="BO38" s="207"/>
      <c r="BP38" s="339"/>
      <c r="BQ38" s="339"/>
      <c r="BR38" s="339"/>
      <c r="BS38" s="339"/>
      <c r="BT38" s="339"/>
      <c r="BU38" s="339"/>
      <c r="BV38" s="339"/>
      <c r="BW38" s="339"/>
      <c r="BX38" s="339"/>
      <c r="BY38" s="339"/>
      <c r="BZ38" s="339"/>
      <c r="CA38" s="207"/>
      <c r="CB38" s="207"/>
      <c r="CC38" s="339"/>
      <c r="CD38" s="339"/>
      <c r="CE38" s="339"/>
      <c r="CF38" s="339"/>
      <c r="CG38" s="339"/>
      <c r="CH38" s="339"/>
      <c r="CI38" s="339"/>
      <c r="CJ38" s="339"/>
      <c r="CK38" s="339"/>
      <c r="CL38" s="339"/>
      <c r="CM38" s="339"/>
      <c r="CN38" s="207"/>
      <c r="CO38" s="207"/>
      <c r="CP38" s="339"/>
      <c r="CQ38" s="339"/>
      <c r="CR38" s="339"/>
      <c r="CS38" s="339"/>
      <c r="CT38" s="339"/>
      <c r="CU38" s="339"/>
      <c r="CV38" s="339"/>
      <c r="CW38" s="339"/>
      <c r="CX38" s="339"/>
      <c r="CY38" s="339"/>
      <c r="CZ38" s="339"/>
      <c r="DA38" s="207"/>
      <c r="DB38" s="207"/>
      <c r="DC38" s="339"/>
      <c r="DD38" s="339"/>
      <c r="DE38" s="339"/>
      <c r="DF38" s="339"/>
      <c r="DG38" s="339"/>
      <c r="DH38" s="339"/>
      <c r="DI38" s="339"/>
      <c r="DJ38" s="339"/>
      <c r="DK38" s="339"/>
      <c r="DL38" s="339"/>
      <c r="DM38" s="339"/>
      <c r="DN38" s="207"/>
      <c r="DO38" s="207"/>
      <c r="DP38" s="339"/>
      <c r="DQ38" s="339"/>
      <c r="DR38" s="339"/>
      <c r="DS38" s="339"/>
      <c r="DT38" s="339"/>
      <c r="DU38" s="339"/>
      <c r="DV38" s="339"/>
      <c r="DW38" s="339"/>
      <c r="DX38" s="339"/>
      <c r="DY38" s="339"/>
      <c r="DZ38" s="339"/>
      <c r="EA38" s="207"/>
      <c r="EB38" s="207"/>
      <c r="EC38" s="339"/>
      <c r="ED38" s="339"/>
      <c r="EE38" s="339"/>
      <c r="EF38" s="339"/>
      <c r="EG38" s="339"/>
      <c r="EH38" s="339"/>
      <c r="EI38" s="339"/>
      <c r="EJ38" s="339"/>
      <c r="EK38" s="339"/>
      <c r="EL38" s="339"/>
      <c r="EM38" s="339"/>
      <c r="EN38" s="207"/>
      <c r="EO38" s="207"/>
      <c r="EP38" s="339"/>
      <c r="EQ38" s="339"/>
      <c r="ER38" s="339"/>
      <c r="ES38" s="339"/>
      <c r="ET38" s="339"/>
      <c r="EU38" s="339"/>
      <c r="EV38" s="339"/>
      <c r="EW38" s="339"/>
      <c r="EX38" s="339"/>
      <c r="EY38" s="339"/>
      <c r="EZ38" s="339"/>
      <c r="FA38" s="207"/>
      <c r="FB38" s="207"/>
      <c r="FC38" s="339"/>
      <c r="FD38" s="339"/>
      <c r="FE38" s="339"/>
      <c r="FF38" s="339"/>
      <c r="FG38" s="339"/>
      <c r="FH38" s="339"/>
      <c r="FI38" s="339"/>
      <c r="FJ38" s="339"/>
      <c r="FK38" s="339"/>
      <c r="FL38" s="339"/>
      <c r="FM38" s="339"/>
      <c r="FN38" s="207"/>
      <c r="FO38" s="207"/>
      <c r="FP38" s="339"/>
      <c r="FQ38" s="339"/>
      <c r="FR38" s="339"/>
      <c r="FS38" s="339"/>
      <c r="FT38" s="339"/>
      <c r="FU38" s="339"/>
      <c r="FV38" s="339"/>
      <c r="FW38" s="339"/>
      <c r="FX38" s="339"/>
      <c r="FY38" s="339"/>
      <c r="FZ38" s="339"/>
      <c r="GA38" s="207"/>
      <c r="GB38" s="207"/>
      <c r="GC38" s="339"/>
      <c r="GD38" s="339"/>
      <c r="GE38" s="339"/>
      <c r="GF38" s="339"/>
      <c r="GG38" s="339"/>
      <c r="GH38" s="339"/>
      <c r="GI38" s="339"/>
      <c r="GJ38" s="339"/>
      <c r="GK38" s="339"/>
      <c r="GL38" s="339"/>
      <c r="GM38" s="339"/>
      <c r="GN38" s="207"/>
      <c r="GO38" s="207"/>
      <c r="GP38" s="339"/>
      <c r="GQ38" s="339"/>
      <c r="GR38" s="339"/>
      <c r="GS38" s="339"/>
      <c r="GT38" s="339"/>
      <c r="GU38" s="339"/>
      <c r="GV38" s="339"/>
      <c r="GW38" s="339"/>
      <c r="GX38" s="339"/>
      <c r="GY38" s="339"/>
      <c r="GZ38" s="339"/>
      <c r="HA38" s="207"/>
      <c r="HB38" s="207"/>
      <c r="HC38" s="339"/>
      <c r="HD38" s="339"/>
      <c r="HE38" s="339"/>
      <c r="HF38" s="339"/>
      <c r="HG38" s="339"/>
      <c r="HH38" s="339"/>
      <c r="HI38" s="339"/>
      <c r="HJ38" s="339"/>
      <c r="HK38" s="339"/>
      <c r="HL38" s="339"/>
      <c r="HM38" s="339"/>
      <c r="HN38" s="207"/>
      <c r="HO38" s="207"/>
      <c r="HP38" s="339"/>
      <c r="HQ38" s="339"/>
      <c r="HR38" s="339"/>
      <c r="HS38" s="339"/>
      <c r="HT38" s="339"/>
      <c r="HU38" s="339"/>
      <c r="HV38" s="339"/>
      <c r="HW38" s="339"/>
      <c r="HX38" s="339"/>
      <c r="HY38" s="339"/>
      <c r="HZ38" s="339"/>
      <c r="IA38" s="207"/>
      <c r="IB38" s="207"/>
      <c r="IC38" s="339"/>
      <c r="ID38" s="339"/>
      <c r="IE38" s="339"/>
      <c r="IF38" s="339"/>
      <c r="IG38" s="339"/>
      <c r="IH38" s="339"/>
      <c r="II38" s="339"/>
      <c r="IJ38" s="339"/>
      <c r="IK38" s="339"/>
      <c r="IL38" s="339"/>
      <c r="IM38" s="339"/>
      <c r="IN38" s="207"/>
      <c r="IO38" s="207"/>
      <c r="IP38" s="339"/>
      <c r="IQ38" s="339"/>
      <c r="IR38" s="339"/>
      <c r="IS38" s="339"/>
      <c r="IT38" s="339"/>
      <c r="IU38" s="339"/>
      <c r="IV38" s="339"/>
    </row>
    <row r="39" spans="1:256" x14ac:dyDescent="0.2">
      <c r="A39" s="218"/>
      <c r="B39" s="219"/>
      <c r="C39" s="334"/>
      <c r="D39" s="334"/>
      <c r="E39" s="334"/>
      <c r="F39" s="334"/>
      <c r="G39" s="334"/>
      <c r="H39" s="334"/>
      <c r="I39" s="334"/>
      <c r="J39" s="334"/>
      <c r="K39" s="334"/>
      <c r="L39" s="334"/>
      <c r="M39" s="335"/>
      <c r="N39" s="211"/>
      <c r="O39" s="211"/>
      <c r="P39" s="340"/>
      <c r="Q39" s="340"/>
      <c r="R39" s="340"/>
      <c r="S39" s="340"/>
      <c r="T39" s="340"/>
      <c r="U39" s="340"/>
      <c r="V39" s="340"/>
      <c r="W39" s="340"/>
      <c r="X39" s="340"/>
      <c r="Y39" s="340"/>
      <c r="Z39" s="340"/>
      <c r="AA39" s="207"/>
      <c r="AB39" s="207"/>
      <c r="AC39" s="339"/>
      <c r="AD39" s="339"/>
      <c r="AE39" s="339"/>
      <c r="AF39" s="339"/>
      <c r="AG39" s="339"/>
      <c r="AH39" s="339"/>
      <c r="AI39" s="339"/>
      <c r="AJ39" s="339"/>
      <c r="AK39" s="339"/>
      <c r="AL39" s="339"/>
      <c r="AM39" s="339"/>
      <c r="AN39" s="207"/>
      <c r="AO39" s="207"/>
      <c r="AP39" s="339"/>
      <c r="AQ39" s="339"/>
      <c r="AR39" s="339"/>
      <c r="AS39" s="339"/>
      <c r="AT39" s="339"/>
      <c r="AU39" s="339"/>
      <c r="AV39" s="339"/>
      <c r="AW39" s="339"/>
      <c r="AX39" s="339"/>
      <c r="AY39" s="339"/>
      <c r="AZ39" s="339"/>
      <c r="BA39" s="207"/>
      <c r="BB39" s="207"/>
      <c r="BC39" s="339"/>
      <c r="BD39" s="339"/>
      <c r="BE39" s="339"/>
      <c r="BF39" s="339"/>
      <c r="BG39" s="339"/>
      <c r="BH39" s="339"/>
      <c r="BI39" s="339"/>
      <c r="BJ39" s="339"/>
      <c r="BK39" s="339"/>
      <c r="BL39" s="339"/>
      <c r="BM39" s="339"/>
      <c r="BN39" s="207"/>
      <c r="BO39" s="207"/>
      <c r="BP39" s="339"/>
      <c r="BQ39" s="339"/>
      <c r="BR39" s="339"/>
      <c r="BS39" s="339"/>
      <c r="BT39" s="339"/>
      <c r="BU39" s="339"/>
      <c r="BV39" s="339"/>
      <c r="BW39" s="339"/>
      <c r="BX39" s="339"/>
      <c r="BY39" s="339"/>
      <c r="BZ39" s="339"/>
      <c r="CA39" s="207"/>
      <c r="CB39" s="207"/>
      <c r="CC39" s="339"/>
      <c r="CD39" s="339"/>
      <c r="CE39" s="339"/>
      <c r="CF39" s="339"/>
      <c r="CG39" s="339"/>
      <c r="CH39" s="339"/>
      <c r="CI39" s="339"/>
      <c r="CJ39" s="339"/>
      <c r="CK39" s="339"/>
      <c r="CL39" s="339"/>
      <c r="CM39" s="339"/>
      <c r="CN39" s="207"/>
      <c r="CO39" s="207"/>
      <c r="CP39" s="339"/>
      <c r="CQ39" s="339"/>
      <c r="CR39" s="339"/>
      <c r="CS39" s="339"/>
      <c r="CT39" s="339"/>
      <c r="CU39" s="339"/>
      <c r="CV39" s="339"/>
      <c r="CW39" s="339"/>
      <c r="CX39" s="339"/>
      <c r="CY39" s="339"/>
      <c r="CZ39" s="339"/>
      <c r="DA39" s="207"/>
      <c r="DB39" s="207"/>
      <c r="DC39" s="339"/>
      <c r="DD39" s="339"/>
      <c r="DE39" s="339"/>
      <c r="DF39" s="339"/>
      <c r="DG39" s="339"/>
      <c r="DH39" s="339"/>
      <c r="DI39" s="339"/>
      <c r="DJ39" s="339"/>
      <c r="DK39" s="339"/>
      <c r="DL39" s="339"/>
      <c r="DM39" s="339"/>
      <c r="DN39" s="207"/>
      <c r="DO39" s="207"/>
      <c r="DP39" s="339"/>
      <c r="DQ39" s="339"/>
      <c r="DR39" s="339"/>
      <c r="DS39" s="339"/>
      <c r="DT39" s="339"/>
      <c r="DU39" s="339"/>
      <c r="DV39" s="339"/>
      <c r="DW39" s="339"/>
      <c r="DX39" s="339"/>
      <c r="DY39" s="339"/>
      <c r="DZ39" s="339"/>
      <c r="EA39" s="207"/>
      <c r="EB39" s="207"/>
      <c r="EC39" s="339"/>
      <c r="ED39" s="339"/>
      <c r="EE39" s="339"/>
      <c r="EF39" s="339"/>
      <c r="EG39" s="339"/>
      <c r="EH39" s="339"/>
      <c r="EI39" s="339"/>
      <c r="EJ39" s="339"/>
      <c r="EK39" s="339"/>
      <c r="EL39" s="339"/>
      <c r="EM39" s="339"/>
      <c r="EN39" s="207"/>
      <c r="EO39" s="207"/>
      <c r="EP39" s="339"/>
      <c r="EQ39" s="339"/>
      <c r="ER39" s="339"/>
      <c r="ES39" s="339"/>
      <c r="ET39" s="339"/>
      <c r="EU39" s="339"/>
      <c r="EV39" s="339"/>
      <c r="EW39" s="339"/>
      <c r="EX39" s="339"/>
      <c r="EY39" s="339"/>
      <c r="EZ39" s="339"/>
      <c r="FA39" s="207"/>
      <c r="FB39" s="207"/>
      <c r="FC39" s="339"/>
      <c r="FD39" s="339"/>
      <c r="FE39" s="339"/>
      <c r="FF39" s="339"/>
      <c r="FG39" s="339"/>
      <c r="FH39" s="339"/>
      <c r="FI39" s="339"/>
      <c r="FJ39" s="339"/>
      <c r="FK39" s="339"/>
      <c r="FL39" s="339"/>
      <c r="FM39" s="339"/>
      <c r="FN39" s="207"/>
      <c r="FO39" s="207"/>
      <c r="FP39" s="339"/>
      <c r="FQ39" s="339"/>
      <c r="FR39" s="339"/>
      <c r="FS39" s="339"/>
      <c r="FT39" s="339"/>
      <c r="FU39" s="339"/>
      <c r="FV39" s="339"/>
      <c r="FW39" s="339"/>
      <c r="FX39" s="339"/>
      <c r="FY39" s="339"/>
      <c r="FZ39" s="339"/>
      <c r="GA39" s="207"/>
      <c r="GB39" s="207"/>
      <c r="GC39" s="339"/>
      <c r="GD39" s="339"/>
      <c r="GE39" s="339"/>
      <c r="GF39" s="339"/>
      <c r="GG39" s="339"/>
      <c r="GH39" s="339"/>
      <c r="GI39" s="339"/>
      <c r="GJ39" s="339"/>
      <c r="GK39" s="339"/>
      <c r="GL39" s="339"/>
      <c r="GM39" s="339"/>
      <c r="GN39" s="207"/>
      <c r="GO39" s="207"/>
      <c r="GP39" s="339"/>
      <c r="GQ39" s="339"/>
      <c r="GR39" s="339"/>
      <c r="GS39" s="339"/>
      <c r="GT39" s="339"/>
      <c r="GU39" s="339"/>
      <c r="GV39" s="339"/>
      <c r="GW39" s="339"/>
      <c r="GX39" s="339"/>
      <c r="GY39" s="339"/>
      <c r="GZ39" s="339"/>
      <c r="HA39" s="207"/>
      <c r="HB39" s="207"/>
      <c r="HC39" s="339"/>
      <c r="HD39" s="339"/>
      <c r="HE39" s="339"/>
      <c r="HF39" s="339"/>
      <c r="HG39" s="339"/>
      <c r="HH39" s="339"/>
      <c r="HI39" s="339"/>
      <c r="HJ39" s="339"/>
      <c r="HK39" s="339"/>
      <c r="HL39" s="339"/>
      <c r="HM39" s="339"/>
      <c r="HN39" s="207"/>
      <c r="HO39" s="207"/>
      <c r="HP39" s="339"/>
      <c r="HQ39" s="339"/>
      <c r="HR39" s="339"/>
      <c r="HS39" s="339"/>
      <c r="HT39" s="339"/>
      <c r="HU39" s="339"/>
      <c r="HV39" s="339"/>
      <c r="HW39" s="339"/>
      <c r="HX39" s="339"/>
      <c r="HY39" s="339"/>
      <c r="HZ39" s="339"/>
      <c r="IA39" s="207"/>
      <c r="IB39" s="207"/>
      <c r="IC39" s="339"/>
      <c r="ID39" s="339"/>
      <c r="IE39" s="339"/>
      <c r="IF39" s="339"/>
      <c r="IG39" s="339"/>
      <c r="IH39" s="339"/>
      <c r="II39" s="339"/>
      <c r="IJ39" s="339"/>
      <c r="IK39" s="339"/>
      <c r="IL39" s="339"/>
      <c r="IM39" s="339"/>
      <c r="IN39" s="207"/>
      <c r="IO39" s="207"/>
      <c r="IP39" s="339"/>
      <c r="IQ39" s="339"/>
      <c r="IR39" s="339"/>
      <c r="IS39" s="339"/>
      <c r="IT39" s="339"/>
      <c r="IU39" s="339"/>
      <c r="IV39" s="339"/>
    </row>
    <row r="40" spans="1:256" x14ac:dyDescent="0.2">
      <c r="A40" s="218"/>
      <c r="B40" s="219"/>
      <c r="C40" s="334"/>
      <c r="D40" s="334"/>
      <c r="E40" s="334"/>
      <c r="F40" s="334"/>
      <c r="G40" s="334"/>
      <c r="H40" s="334"/>
      <c r="I40" s="334"/>
      <c r="J40" s="334"/>
      <c r="K40" s="334"/>
      <c r="L40" s="334"/>
      <c r="M40" s="335"/>
      <c r="N40" s="211"/>
      <c r="O40" s="211"/>
      <c r="P40" s="340"/>
      <c r="Q40" s="340"/>
      <c r="R40" s="340"/>
      <c r="S40" s="340"/>
      <c r="T40" s="340"/>
      <c r="U40" s="340"/>
      <c r="V40" s="340"/>
      <c r="W40" s="340"/>
      <c r="X40" s="340"/>
      <c r="Y40" s="340"/>
      <c r="Z40" s="340"/>
      <c r="AA40" s="207"/>
      <c r="AB40" s="207"/>
      <c r="AC40" s="339"/>
      <c r="AD40" s="339"/>
      <c r="AE40" s="339"/>
      <c r="AF40" s="339"/>
      <c r="AG40" s="339"/>
      <c r="AH40" s="339"/>
      <c r="AI40" s="339"/>
      <c r="AJ40" s="339"/>
      <c r="AK40" s="339"/>
      <c r="AL40" s="339"/>
      <c r="AM40" s="339"/>
      <c r="AN40" s="207"/>
      <c r="AO40" s="207"/>
      <c r="AP40" s="339"/>
      <c r="AQ40" s="339"/>
      <c r="AR40" s="339"/>
      <c r="AS40" s="339"/>
      <c r="AT40" s="339"/>
      <c r="AU40" s="339"/>
      <c r="AV40" s="339"/>
      <c r="AW40" s="339"/>
      <c r="AX40" s="339"/>
      <c r="AY40" s="339"/>
      <c r="AZ40" s="339"/>
      <c r="BA40" s="207"/>
      <c r="BB40" s="207"/>
      <c r="BC40" s="339"/>
      <c r="BD40" s="339"/>
      <c r="BE40" s="339"/>
      <c r="BF40" s="339"/>
      <c r="BG40" s="339"/>
      <c r="BH40" s="339"/>
      <c r="BI40" s="339"/>
      <c r="BJ40" s="339"/>
      <c r="BK40" s="339"/>
      <c r="BL40" s="339"/>
      <c r="BM40" s="339"/>
      <c r="BN40" s="207"/>
      <c r="BO40" s="207"/>
      <c r="BP40" s="339"/>
      <c r="BQ40" s="339"/>
      <c r="BR40" s="339"/>
      <c r="BS40" s="339"/>
      <c r="BT40" s="339"/>
      <c r="BU40" s="339"/>
      <c r="BV40" s="339"/>
      <c r="BW40" s="339"/>
      <c r="BX40" s="339"/>
      <c r="BY40" s="339"/>
      <c r="BZ40" s="339"/>
      <c r="CA40" s="207"/>
      <c r="CB40" s="207"/>
      <c r="CC40" s="339"/>
      <c r="CD40" s="339"/>
      <c r="CE40" s="339"/>
      <c r="CF40" s="339"/>
      <c r="CG40" s="339"/>
      <c r="CH40" s="339"/>
      <c r="CI40" s="339"/>
      <c r="CJ40" s="339"/>
      <c r="CK40" s="339"/>
      <c r="CL40" s="339"/>
      <c r="CM40" s="339"/>
      <c r="CN40" s="207"/>
      <c r="CO40" s="207"/>
      <c r="CP40" s="339"/>
      <c r="CQ40" s="339"/>
      <c r="CR40" s="339"/>
      <c r="CS40" s="339"/>
      <c r="CT40" s="339"/>
      <c r="CU40" s="339"/>
      <c r="CV40" s="339"/>
      <c r="CW40" s="339"/>
      <c r="CX40" s="339"/>
      <c r="CY40" s="339"/>
      <c r="CZ40" s="339"/>
      <c r="DA40" s="207"/>
      <c r="DB40" s="207"/>
      <c r="DC40" s="339"/>
      <c r="DD40" s="339"/>
      <c r="DE40" s="339"/>
      <c r="DF40" s="339"/>
      <c r="DG40" s="339"/>
      <c r="DH40" s="339"/>
      <c r="DI40" s="339"/>
      <c r="DJ40" s="339"/>
      <c r="DK40" s="339"/>
      <c r="DL40" s="339"/>
      <c r="DM40" s="339"/>
      <c r="DN40" s="207"/>
      <c r="DO40" s="207"/>
      <c r="DP40" s="339"/>
      <c r="DQ40" s="339"/>
      <c r="DR40" s="339"/>
      <c r="DS40" s="339"/>
      <c r="DT40" s="339"/>
      <c r="DU40" s="339"/>
      <c r="DV40" s="339"/>
      <c r="DW40" s="339"/>
      <c r="DX40" s="339"/>
      <c r="DY40" s="339"/>
      <c r="DZ40" s="339"/>
      <c r="EA40" s="207"/>
      <c r="EB40" s="207"/>
      <c r="EC40" s="339"/>
      <c r="ED40" s="339"/>
      <c r="EE40" s="339"/>
      <c r="EF40" s="339"/>
      <c r="EG40" s="339"/>
      <c r="EH40" s="339"/>
      <c r="EI40" s="339"/>
      <c r="EJ40" s="339"/>
      <c r="EK40" s="339"/>
      <c r="EL40" s="339"/>
      <c r="EM40" s="339"/>
      <c r="EN40" s="207"/>
      <c r="EO40" s="207"/>
      <c r="EP40" s="339"/>
      <c r="EQ40" s="339"/>
      <c r="ER40" s="339"/>
      <c r="ES40" s="339"/>
      <c r="ET40" s="339"/>
      <c r="EU40" s="339"/>
      <c r="EV40" s="339"/>
      <c r="EW40" s="339"/>
      <c r="EX40" s="339"/>
      <c r="EY40" s="339"/>
      <c r="EZ40" s="339"/>
      <c r="FA40" s="207"/>
      <c r="FB40" s="207"/>
      <c r="FC40" s="339"/>
      <c r="FD40" s="339"/>
      <c r="FE40" s="339"/>
      <c r="FF40" s="339"/>
      <c r="FG40" s="339"/>
      <c r="FH40" s="339"/>
      <c r="FI40" s="339"/>
      <c r="FJ40" s="339"/>
      <c r="FK40" s="339"/>
      <c r="FL40" s="339"/>
      <c r="FM40" s="339"/>
      <c r="FN40" s="207"/>
      <c r="FO40" s="207"/>
      <c r="FP40" s="339"/>
      <c r="FQ40" s="339"/>
      <c r="FR40" s="339"/>
      <c r="FS40" s="339"/>
      <c r="FT40" s="339"/>
      <c r="FU40" s="339"/>
      <c r="FV40" s="339"/>
      <c r="FW40" s="339"/>
      <c r="FX40" s="339"/>
      <c r="FY40" s="339"/>
      <c r="FZ40" s="339"/>
      <c r="GA40" s="207"/>
      <c r="GB40" s="207"/>
      <c r="GC40" s="339"/>
      <c r="GD40" s="339"/>
      <c r="GE40" s="339"/>
      <c r="GF40" s="339"/>
      <c r="GG40" s="339"/>
      <c r="GH40" s="339"/>
      <c r="GI40" s="339"/>
      <c r="GJ40" s="339"/>
      <c r="GK40" s="339"/>
      <c r="GL40" s="339"/>
      <c r="GM40" s="339"/>
      <c r="GN40" s="207"/>
      <c r="GO40" s="207"/>
      <c r="GP40" s="339"/>
      <c r="GQ40" s="339"/>
      <c r="GR40" s="339"/>
      <c r="GS40" s="339"/>
      <c r="GT40" s="339"/>
      <c r="GU40" s="339"/>
      <c r="GV40" s="339"/>
      <c r="GW40" s="339"/>
      <c r="GX40" s="339"/>
      <c r="GY40" s="339"/>
      <c r="GZ40" s="339"/>
      <c r="HA40" s="207"/>
      <c r="HB40" s="207"/>
      <c r="HC40" s="339"/>
      <c r="HD40" s="339"/>
      <c r="HE40" s="339"/>
      <c r="HF40" s="339"/>
      <c r="HG40" s="339"/>
      <c r="HH40" s="339"/>
      <c r="HI40" s="339"/>
      <c r="HJ40" s="339"/>
      <c r="HK40" s="339"/>
      <c r="HL40" s="339"/>
      <c r="HM40" s="339"/>
      <c r="HN40" s="207"/>
      <c r="HO40" s="207"/>
      <c r="HP40" s="339"/>
      <c r="HQ40" s="339"/>
      <c r="HR40" s="339"/>
      <c r="HS40" s="339"/>
      <c r="HT40" s="339"/>
      <c r="HU40" s="339"/>
      <c r="HV40" s="339"/>
      <c r="HW40" s="339"/>
      <c r="HX40" s="339"/>
      <c r="HY40" s="339"/>
      <c r="HZ40" s="339"/>
      <c r="IA40" s="207"/>
      <c r="IB40" s="207"/>
      <c r="IC40" s="339"/>
      <c r="ID40" s="339"/>
      <c r="IE40" s="339"/>
      <c r="IF40" s="339"/>
      <c r="IG40" s="339"/>
      <c r="IH40" s="339"/>
      <c r="II40" s="339"/>
      <c r="IJ40" s="339"/>
      <c r="IK40" s="339"/>
      <c r="IL40" s="339"/>
      <c r="IM40" s="339"/>
      <c r="IN40" s="207"/>
      <c r="IO40" s="207"/>
      <c r="IP40" s="339"/>
      <c r="IQ40" s="339"/>
      <c r="IR40" s="339"/>
      <c r="IS40" s="339"/>
      <c r="IT40" s="339"/>
      <c r="IU40" s="339"/>
      <c r="IV40" s="339"/>
    </row>
    <row r="41" spans="1:256" x14ac:dyDescent="0.2">
      <c r="A41" s="218"/>
      <c r="B41" s="219"/>
      <c r="C41" s="334"/>
      <c r="D41" s="334"/>
      <c r="E41" s="334"/>
      <c r="F41" s="334"/>
      <c r="G41" s="334"/>
      <c r="H41" s="334"/>
      <c r="I41" s="334"/>
      <c r="J41" s="334"/>
      <c r="K41" s="334"/>
      <c r="L41" s="334"/>
      <c r="M41" s="335"/>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4"/>
      <c r="D42" s="334"/>
      <c r="E42" s="334"/>
      <c r="F42" s="334"/>
      <c r="G42" s="334"/>
      <c r="H42" s="334"/>
      <c r="I42" s="334"/>
      <c r="J42" s="334"/>
      <c r="K42" s="334"/>
      <c r="L42" s="334"/>
      <c r="M42" s="335"/>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4"/>
      <c r="D43" s="334"/>
      <c r="E43" s="334"/>
      <c r="F43" s="334"/>
      <c r="G43" s="334"/>
      <c r="H43" s="334"/>
      <c r="I43" s="334"/>
      <c r="J43" s="334"/>
      <c r="K43" s="334"/>
      <c r="L43" s="334"/>
      <c r="M43" s="335"/>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4"/>
      <c r="D44" s="334"/>
      <c r="E44" s="334"/>
      <c r="F44" s="334"/>
      <c r="G44" s="334"/>
      <c r="H44" s="334"/>
      <c r="I44" s="334"/>
      <c r="J44" s="334"/>
      <c r="K44" s="334"/>
      <c r="L44" s="334"/>
      <c r="M44" s="335"/>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4"/>
      <c r="D45" s="334"/>
      <c r="E45" s="334"/>
      <c r="F45" s="334"/>
      <c r="G45" s="334"/>
      <c r="H45" s="334"/>
      <c r="I45" s="334"/>
      <c r="J45" s="334"/>
      <c r="K45" s="334"/>
      <c r="L45" s="334"/>
      <c r="M45" s="335"/>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4"/>
      <c r="D46" s="334"/>
      <c r="E46" s="334"/>
      <c r="F46" s="334"/>
      <c r="G46" s="334"/>
      <c r="H46" s="334"/>
      <c r="I46" s="334"/>
      <c r="J46" s="334"/>
      <c r="K46" s="334"/>
      <c r="L46" s="334"/>
      <c r="M46" s="335"/>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4"/>
      <c r="D47" s="334"/>
      <c r="E47" s="334"/>
      <c r="F47" s="334"/>
      <c r="G47" s="334"/>
      <c r="H47" s="334"/>
      <c r="I47" s="334"/>
      <c r="J47" s="334"/>
      <c r="K47" s="334"/>
      <c r="L47" s="334"/>
      <c r="M47" s="335"/>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4"/>
      <c r="D48" s="334"/>
      <c r="E48" s="334"/>
      <c r="F48" s="334"/>
      <c r="G48" s="334"/>
      <c r="H48" s="334"/>
      <c r="I48" s="334"/>
      <c r="J48" s="334"/>
      <c r="K48" s="334"/>
      <c r="L48" s="334"/>
      <c r="M48" s="335"/>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4"/>
      <c r="D49" s="334"/>
      <c r="E49" s="334"/>
      <c r="F49" s="334"/>
      <c r="G49" s="334"/>
      <c r="H49" s="334"/>
      <c r="I49" s="334"/>
      <c r="J49" s="334"/>
      <c r="K49" s="334"/>
      <c r="L49" s="334"/>
      <c r="M49" s="335"/>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4"/>
      <c r="D50" s="334"/>
      <c r="E50" s="334"/>
      <c r="F50" s="334"/>
      <c r="G50" s="334"/>
      <c r="H50" s="334"/>
      <c r="I50" s="334"/>
      <c r="J50" s="334"/>
      <c r="K50" s="334"/>
      <c r="L50" s="334"/>
      <c r="M50" s="335"/>
      <c r="N50" s="126"/>
      <c r="O50" s="126"/>
      <c r="P50" s="126"/>
      <c r="Q50" s="126"/>
      <c r="R50" s="126"/>
      <c r="S50" s="126"/>
      <c r="T50" s="126"/>
      <c r="U50" s="126"/>
      <c r="V50" s="126"/>
      <c r="W50" s="126"/>
      <c r="X50" s="126"/>
      <c r="Y50" s="126"/>
      <c r="Z50" s="126"/>
    </row>
    <row r="51" spans="1:256" x14ac:dyDescent="0.2">
      <c r="A51" s="218"/>
      <c r="B51" s="219"/>
      <c r="C51" s="334"/>
      <c r="D51" s="334"/>
      <c r="E51" s="334"/>
      <c r="F51" s="334"/>
      <c r="G51" s="334"/>
      <c r="H51" s="334"/>
      <c r="I51" s="334"/>
      <c r="J51" s="334"/>
      <c r="K51" s="334"/>
      <c r="L51" s="334"/>
      <c r="M51" s="335"/>
      <c r="N51" s="126"/>
      <c r="O51" s="126"/>
      <c r="P51" s="126"/>
      <c r="Q51" s="126"/>
      <c r="R51" s="126"/>
      <c r="S51" s="126"/>
      <c r="T51" s="126"/>
      <c r="U51" s="126"/>
      <c r="V51" s="126"/>
      <c r="W51" s="126"/>
      <c r="X51" s="126"/>
      <c r="Y51" s="126"/>
      <c r="Z51" s="126"/>
    </row>
    <row r="52" spans="1:256" x14ac:dyDescent="0.2">
      <c r="A52" s="218"/>
      <c r="B52" s="219"/>
      <c r="C52" s="334"/>
      <c r="D52" s="334"/>
      <c r="E52" s="334"/>
      <c r="F52" s="334"/>
      <c r="G52" s="334"/>
      <c r="H52" s="334"/>
      <c r="I52" s="334"/>
      <c r="J52" s="334"/>
      <c r="K52" s="334"/>
      <c r="L52" s="334"/>
      <c r="M52" s="335"/>
      <c r="N52" s="126"/>
      <c r="O52" s="126"/>
      <c r="P52" s="126"/>
      <c r="Q52" s="126"/>
      <c r="R52" s="126"/>
      <c r="S52" s="126"/>
      <c r="T52" s="126"/>
      <c r="U52" s="126"/>
      <c r="V52" s="126"/>
      <c r="W52" s="126"/>
      <c r="X52" s="126"/>
      <c r="Y52" s="126"/>
      <c r="Z52" s="126"/>
    </row>
    <row r="53" spans="1:256" x14ac:dyDescent="0.2">
      <c r="A53" s="218"/>
      <c r="B53" s="219"/>
      <c r="C53" s="334"/>
      <c r="D53" s="334"/>
      <c r="E53" s="334"/>
      <c r="F53" s="334"/>
      <c r="G53" s="334"/>
      <c r="H53" s="334"/>
      <c r="I53" s="334"/>
      <c r="J53" s="334"/>
      <c r="K53" s="334"/>
      <c r="L53" s="334"/>
      <c r="M53" s="335"/>
      <c r="N53" s="126"/>
      <c r="O53" s="126"/>
      <c r="P53" s="126"/>
      <c r="Q53" s="126"/>
      <c r="R53" s="126"/>
      <c r="S53" s="126"/>
      <c r="T53" s="126"/>
      <c r="U53" s="126"/>
      <c r="V53" s="126"/>
      <c r="W53" s="126"/>
      <c r="X53" s="126"/>
      <c r="Y53" s="126"/>
      <c r="Z53" s="126"/>
    </row>
    <row r="54" spans="1:256" x14ac:dyDescent="0.2">
      <c r="A54" s="218"/>
      <c r="B54" s="219"/>
      <c r="C54" s="334"/>
      <c r="D54" s="334"/>
      <c r="E54" s="334"/>
      <c r="F54" s="334"/>
      <c r="G54" s="334"/>
      <c r="H54" s="334"/>
      <c r="I54" s="334"/>
      <c r="J54" s="334"/>
      <c r="K54" s="334"/>
      <c r="L54" s="334"/>
      <c r="M54" s="335"/>
      <c r="N54" s="126"/>
      <c r="O54" s="126"/>
      <c r="P54" s="126"/>
      <c r="Q54" s="126"/>
      <c r="R54" s="126"/>
      <c r="S54" s="126"/>
      <c r="T54" s="126"/>
      <c r="U54" s="126"/>
      <c r="V54" s="126"/>
      <c r="W54" s="126"/>
      <c r="X54" s="126"/>
      <c r="Y54" s="126"/>
      <c r="Z54" s="126"/>
    </row>
    <row r="55" spans="1:256" x14ac:dyDescent="0.2">
      <c r="A55" s="218"/>
      <c r="B55" s="219"/>
      <c r="C55" s="334"/>
      <c r="D55" s="334"/>
      <c r="E55" s="334"/>
      <c r="F55" s="334"/>
      <c r="G55" s="334"/>
      <c r="H55" s="334"/>
      <c r="I55" s="334"/>
      <c r="J55" s="334"/>
      <c r="K55" s="334"/>
      <c r="L55" s="334"/>
      <c r="M55" s="335"/>
      <c r="N55" s="126"/>
      <c r="O55" s="126"/>
      <c r="P55" s="126"/>
      <c r="Q55" s="126"/>
      <c r="R55" s="126"/>
      <c r="S55" s="126"/>
      <c r="T55" s="126"/>
      <c r="U55" s="126"/>
      <c r="V55" s="126"/>
      <c r="W55" s="126"/>
      <c r="X55" s="126"/>
      <c r="Y55" s="126"/>
      <c r="Z55" s="126"/>
    </row>
    <row r="56" spans="1:256" x14ac:dyDescent="0.2">
      <c r="A56" s="218"/>
      <c r="B56" s="219"/>
      <c r="C56" s="334"/>
      <c r="D56" s="334"/>
      <c r="E56" s="334"/>
      <c r="F56" s="334"/>
      <c r="G56" s="334"/>
      <c r="H56" s="334"/>
      <c r="I56" s="334"/>
      <c r="J56" s="334"/>
      <c r="K56" s="334"/>
      <c r="L56" s="334"/>
      <c r="M56" s="335"/>
      <c r="N56" s="126"/>
      <c r="O56" s="126"/>
      <c r="P56" s="126"/>
      <c r="Q56" s="126"/>
      <c r="R56" s="126"/>
      <c r="S56" s="126"/>
      <c r="T56" s="126"/>
      <c r="U56" s="126"/>
      <c r="V56" s="126"/>
      <c r="W56" s="126"/>
      <c r="X56" s="126"/>
      <c r="Y56" s="126"/>
      <c r="Z56" s="126"/>
    </row>
    <row r="57" spans="1:256" x14ac:dyDescent="0.2">
      <c r="A57" s="218"/>
      <c r="B57" s="219"/>
      <c r="C57" s="334"/>
      <c r="D57" s="334"/>
      <c r="E57" s="334"/>
      <c r="F57" s="334"/>
      <c r="G57" s="334"/>
      <c r="H57" s="334"/>
      <c r="I57" s="334"/>
      <c r="J57" s="334"/>
      <c r="K57" s="334"/>
      <c r="L57" s="334"/>
      <c r="M57" s="335"/>
      <c r="N57" s="126"/>
      <c r="O57" s="126"/>
      <c r="P57" s="126"/>
      <c r="Q57" s="126"/>
      <c r="R57" s="126"/>
      <c r="S57" s="126"/>
      <c r="T57" s="126"/>
      <c r="U57" s="126"/>
      <c r="V57" s="126"/>
      <c r="W57" s="126"/>
      <c r="X57" s="126"/>
      <c r="Y57" s="126"/>
      <c r="Z57" s="126"/>
    </row>
    <row r="58" spans="1:256" x14ac:dyDescent="0.2">
      <c r="A58" s="218"/>
      <c r="B58" s="219"/>
      <c r="C58" s="334"/>
      <c r="D58" s="334"/>
      <c r="E58" s="334"/>
      <c r="F58" s="334"/>
      <c r="G58" s="334"/>
      <c r="H58" s="334"/>
      <c r="I58" s="334"/>
      <c r="J58" s="334"/>
      <c r="K58" s="334"/>
      <c r="L58" s="334"/>
      <c r="M58" s="335"/>
      <c r="N58" s="126"/>
      <c r="O58" s="126"/>
      <c r="P58" s="126"/>
      <c r="Q58" s="126"/>
      <c r="R58" s="126"/>
      <c r="S58" s="126"/>
      <c r="T58" s="126"/>
      <c r="U58" s="126"/>
      <c r="V58" s="126"/>
      <c r="W58" s="126"/>
      <c r="X58" s="126"/>
      <c r="Y58" s="126"/>
      <c r="Z58" s="126"/>
    </row>
    <row r="59" spans="1:256" x14ac:dyDescent="0.2">
      <c r="A59" s="218"/>
      <c r="B59" s="219"/>
      <c r="C59" s="334"/>
      <c r="D59" s="334"/>
      <c r="E59" s="334"/>
      <c r="F59" s="334"/>
      <c r="G59" s="334"/>
      <c r="H59" s="334"/>
      <c r="I59" s="334"/>
      <c r="J59" s="334"/>
      <c r="K59" s="334"/>
      <c r="L59" s="334"/>
      <c r="M59" s="335"/>
    </row>
    <row r="60" spans="1:256" x14ac:dyDescent="0.2">
      <c r="A60" s="218"/>
      <c r="B60" s="219"/>
      <c r="C60" s="334"/>
      <c r="D60" s="334"/>
      <c r="E60" s="334"/>
      <c r="F60" s="334"/>
      <c r="G60" s="334"/>
      <c r="H60" s="334"/>
      <c r="I60" s="334"/>
      <c r="J60" s="334"/>
      <c r="K60" s="334"/>
      <c r="L60" s="334"/>
      <c r="M60" s="335"/>
    </row>
    <row r="61" spans="1:256" x14ac:dyDescent="0.2">
      <c r="A61" s="218"/>
      <c r="B61" s="219"/>
      <c r="C61" s="334"/>
      <c r="D61" s="334"/>
      <c r="E61" s="334"/>
      <c r="F61" s="334"/>
      <c r="G61" s="334"/>
      <c r="H61" s="334"/>
      <c r="I61" s="334"/>
      <c r="J61" s="334"/>
      <c r="K61" s="334"/>
      <c r="L61" s="334"/>
      <c r="M61" s="335"/>
    </row>
    <row r="62" spans="1:256" x14ac:dyDescent="0.2">
      <c r="A62" s="218"/>
      <c r="B62" s="219"/>
      <c r="C62" s="334"/>
      <c r="D62" s="334"/>
      <c r="E62" s="334"/>
      <c r="F62" s="334"/>
      <c r="G62" s="334"/>
      <c r="H62" s="334"/>
      <c r="I62" s="334"/>
      <c r="J62" s="334"/>
      <c r="K62" s="334"/>
      <c r="L62" s="334"/>
      <c r="M62" s="335"/>
    </row>
    <row r="63" spans="1:256" x14ac:dyDescent="0.2">
      <c r="A63" s="218"/>
      <c r="B63" s="219"/>
      <c r="C63" s="334"/>
      <c r="D63" s="334"/>
      <c r="E63" s="334"/>
      <c r="F63" s="334"/>
      <c r="G63" s="334"/>
      <c r="H63" s="334"/>
      <c r="I63" s="334"/>
      <c r="J63" s="334"/>
      <c r="K63" s="334"/>
      <c r="L63" s="334"/>
      <c r="M63" s="335"/>
    </row>
    <row r="64" spans="1:256" x14ac:dyDescent="0.2">
      <c r="A64" s="218"/>
      <c r="B64" s="219"/>
      <c r="C64" s="334"/>
      <c r="D64" s="334"/>
      <c r="E64" s="334"/>
      <c r="F64" s="334"/>
      <c r="G64" s="334"/>
      <c r="H64" s="334"/>
      <c r="I64" s="334"/>
      <c r="J64" s="334"/>
      <c r="K64" s="334"/>
      <c r="L64" s="334"/>
      <c r="M64" s="335"/>
    </row>
    <row r="65" spans="1:13" x14ac:dyDescent="0.2">
      <c r="A65" s="218"/>
      <c r="B65" s="219"/>
      <c r="C65" s="334"/>
      <c r="D65" s="334"/>
      <c r="E65" s="334"/>
      <c r="F65" s="334"/>
      <c r="G65" s="334"/>
      <c r="H65" s="334"/>
      <c r="I65" s="334"/>
      <c r="J65" s="334"/>
      <c r="K65" s="334"/>
      <c r="L65" s="334"/>
      <c r="M65" s="335"/>
    </row>
    <row r="66" spans="1:13" x14ac:dyDescent="0.2">
      <c r="A66" s="218"/>
      <c r="B66" s="219"/>
      <c r="C66" s="334"/>
      <c r="D66" s="334"/>
      <c r="E66" s="334"/>
      <c r="F66" s="334"/>
      <c r="G66" s="334"/>
      <c r="H66" s="334"/>
      <c r="I66" s="334"/>
      <c r="J66" s="334"/>
      <c r="K66" s="334"/>
      <c r="L66" s="334"/>
      <c r="M66" s="335"/>
    </row>
    <row r="67" spans="1:13" x14ac:dyDescent="0.2">
      <c r="A67" s="218"/>
      <c r="B67" s="219"/>
      <c r="C67" s="334"/>
      <c r="D67" s="334"/>
      <c r="E67" s="334"/>
      <c r="F67" s="334"/>
      <c r="G67" s="334"/>
      <c r="H67" s="334"/>
      <c r="I67" s="334"/>
      <c r="J67" s="334"/>
      <c r="K67" s="334"/>
      <c r="L67" s="334"/>
      <c r="M67" s="335"/>
    </row>
    <row r="68" spans="1:13" x14ac:dyDescent="0.2">
      <c r="A68" s="218"/>
      <c r="B68" s="219"/>
      <c r="C68" s="334"/>
      <c r="D68" s="334"/>
      <c r="E68" s="334"/>
      <c r="F68" s="334"/>
      <c r="G68" s="334"/>
      <c r="H68" s="334"/>
      <c r="I68" s="334"/>
      <c r="J68" s="334"/>
      <c r="K68" s="334"/>
      <c r="L68" s="334"/>
      <c r="M68" s="335"/>
    </row>
    <row r="69" spans="1:13" x14ac:dyDescent="0.2">
      <c r="A69" s="218"/>
      <c r="B69" s="219"/>
      <c r="C69" s="334"/>
      <c r="D69" s="334"/>
      <c r="E69" s="334"/>
      <c r="F69" s="334"/>
      <c r="G69" s="334"/>
      <c r="H69" s="334"/>
      <c r="I69" s="334"/>
      <c r="J69" s="334"/>
      <c r="K69" s="334"/>
      <c r="L69" s="334"/>
      <c r="M69" s="335"/>
    </row>
    <row r="70" spans="1:13" ht="12" thickBot="1" x14ac:dyDescent="0.25">
      <c r="A70" s="220"/>
      <c r="B70" s="221"/>
      <c r="C70" s="336"/>
      <c r="D70" s="336"/>
      <c r="E70" s="336"/>
      <c r="F70" s="336"/>
      <c r="G70" s="336"/>
      <c r="H70" s="336"/>
      <c r="I70" s="336"/>
      <c r="J70" s="336"/>
      <c r="K70" s="336"/>
      <c r="L70" s="336"/>
      <c r="M70" s="337"/>
    </row>
    <row r="71" spans="1:13" ht="12" thickTop="1" x14ac:dyDescent="0.2">
      <c r="A71" s="208"/>
      <c r="B71" s="208"/>
      <c r="C71" s="209"/>
      <c r="D71" s="209"/>
      <c r="E71" s="209"/>
      <c r="F71" s="209"/>
      <c r="G71" s="209"/>
      <c r="H71" s="209"/>
      <c r="I71" s="209"/>
      <c r="J71" s="209"/>
      <c r="K71" s="209"/>
      <c r="L71" s="209"/>
    </row>
    <row r="72" spans="1:13" ht="12.75" x14ac:dyDescent="0.2">
      <c r="A72" s="338" t="s">
        <v>832</v>
      </c>
      <c r="B72" s="338"/>
      <c r="C72" s="338"/>
      <c r="D72" s="338"/>
      <c r="E72" s="338"/>
      <c r="F72" s="126"/>
      <c r="G72" s="126"/>
      <c r="H72" s="126"/>
      <c r="I72" s="126"/>
      <c r="J72" s="126"/>
      <c r="K72" s="126"/>
      <c r="L72" s="126"/>
      <c r="M72" s="126"/>
    </row>
    <row r="73" spans="1:13" x14ac:dyDescent="0.2">
      <c r="A73" s="210" t="s">
        <v>764</v>
      </c>
      <c r="B73" s="210" t="s">
        <v>765</v>
      </c>
      <c r="C73" s="333"/>
      <c r="D73" s="333"/>
      <c r="E73" s="333"/>
      <c r="F73" s="333"/>
      <c r="G73" s="333"/>
      <c r="H73" s="333"/>
      <c r="I73" s="333"/>
      <c r="J73" s="333"/>
      <c r="K73" s="333"/>
      <c r="L73" s="333"/>
      <c r="M73" s="333"/>
    </row>
    <row r="74" spans="1:13" x14ac:dyDescent="0.2">
      <c r="A74" s="211"/>
      <c r="B74" s="211"/>
      <c r="C74" s="333"/>
      <c r="D74" s="333"/>
      <c r="E74" s="333"/>
      <c r="F74" s="333"/>
      <c r="G74" s="333"/>
      <c r="H74" s="333"/>
      <c r="I74" s="333"/>
      <c r="J74" s="333"/>
      <c r="K74" s="333"/>
      <c r="L74" s="333"/>
      <c r="M74" s="333"/>
    </row>
    <row r="75" spans="1:13" x14ac:dyDescent="0.2">
      <c r="A75" s="211"/>
      <c r="B75" s="211"/>
      <c r="C75" s="333"/>
      <c r="D75" s="333"/>
      <c r="E75" s="333"/>
      <c r="F75" s="333"/>
      <c r="G75" s="333"/>
      <c r="H75" s="333"/>
      <c r="I75" s="333"/>
      <c r="J75" s="333"/>
      <c r="K75" s="333"/>
      <c r="L75" s="333"/>
      <c r="M75" s="333"/>
    </row>
    <row r="76" spans="1:13" x14ac:dyDescent="0.2">
      <c r="A76" s="211"/>
      <c r="B76" s="211"/>
      <c r="C76" s="333"/>
      <c r="D76" s="333"/>
      <c r="E76" s="333"/>
      <c r="F76" s="333"/>
      <c r="G76" s="333"/>
      <c r="H76" s="333"/>
      <c r="I76" s="333"/>
      <c r="J76" s="333"/>
      <c r="K76" s="333"/>
      <c r="L76" s="333"/>
      <c r="M76" s="333"/>
    </row>
    <row r="77" spans="1:13" x14ac:dyDescent="0.2">
      <c r="A77" s="211"/>
      <c r="B77" s="211"/>
      <c r="C77" s="333"/>
      <c r="D77" s="333"/>
      <c r="E77" s="333"/>
      <c r="F77" s="333"/>
      <c r="G77" s="333"/>
      <c r="H77" s="333"/>
      <c r="I77" s="333"/>
      <c r="J77" s="333"/>
      <c r="K77" s="333"/>
      <c r="L77" s="333"/>
      <c r="M77" s="333"/>
    </row>
    <row r="78" spans="1:13" x14ac:dyDescent="0.2">
      <c r="A78" s="211"/>
      <c r="B78" s="211"/>
      <c r="C78" s="333"/>
      <c r="D78" s="333"/>
      <c r="E78" s="333"/>
      <c r="F78" s="333"/>
      <c r="G78" s="333"/>
      <c r="H78" s="333"/>
      <c r="I78" s="333"/>
      <c r="J78" s="333"/>
      <c r="K78" s="333"/>
      <c r="L78" s="333"/>
      <c r="M78" s="333"/>
    </row>
    <row r="79" spans="1:13" x14ac:dyDescent="0.2">
      <c r="A79" s="211"/>
      <c r="B79" s="211"/>
      <c r="C79" s="333"/>
      <c r="D79" s="333"/>
      <c r="E79" s="333"/>
      <c r="F79" s="333"/>
      <c r="G79" s="333"/>
      <c r="H79" s="333"/>
      <c r="I79" s="333"/>
      <c r="J79" s="333"/>
      <c r="K79" s="333"/>
      <c r="L79" s="333"/>
      <c r="M79" s="333"/>
    </row>
    <row r="80" spans="1:13" x14ac:dyDescent="0.2">
      <c r="A80" s="211"/>
      <c r="B80" s="211"/>
      <c r="C80" s="333"/>
      <c r="D80" s="333"/>
      <c r="E80" s="333"/>
      <c r="F80" s="333"/>
      <c r="G80" s="333"/>
      <c r="H80" s="333"/>
      <c r="I80" s="333"/>
      <c r="J80" s="333"/>
      <c r="K80" s="333"/>
      <c r="L80" s="333"/>
      <c r="M80" s="333"/>
    </row>
    <row r="81" spans="1:13" x14ac:dyDescent="0.2">
      <c r="A81" s="211"/>
      <c r="B81" s="211"/>
      <c r="C81" s="333"/>
      <c r="D81" s="333"/>
      <c r="E81" s="333"/>
      <c r="F81" s="333"/>
      <c r="G81" s="333"/>
      <c r="H81" s="333"/>
      <c r="I81" s="333"/>
      <c r="J81" s="333"/>
      <c r="K81" s="333"/>
      <c r="L81" s="333"/>
      <c r="M81" s="333"/>
    </row>
    <row r="82" spans="1:13" x14ac:dyDescent="0.2">
      <c r="A82" s="211"/>
      <c r="B82" s="211"/>
      <c r="C82" s="333"/>
      <c r="D82" s="333"/>
      <c r="E82" s="333"/>
      <c r="F82" s="333"/>
      <c r="G82" s="333"/>
      <c r="H82" s="333"/>
      <c r="I82" s="333"/>
      <c r="J82" s="333"/>
      <c r="K82" s="333"/>
      <c r="L82" s="333"/>
      <c r="M82" s="333"/>
    </row>
    <row r="83" spans="1:13" x14ac:dyDescent="0.2">
      <c r="A83" s="211"/>
      <c r="B83" s="211"/>
      <c r="C83" s="333"/>
      <c r="D83" s="333"/>
      <c r="E83" s="333"/>
      <c r="F83" s="333"/>
      <c r="G83" s="333"/>
      <c r="H83" s="333"/>
      <c r="I83" s="333"/>
      <c r="J83" s="333"/>
      <c r="K83" s="333"/>
      <c r="L83" s="333"/>
      <c r="M83" s="333"/>
    </row>
    <row r="84" spans="1:13" x14ac:dyDescent="0.2">
      <c r="A84" s="211"/>
      <c r="B84" s="211"/>
      <c r="C84" s="333"/>
      <c r="D84" s="333"/>
      <c r="E84" s="333"/>
      <c r="F84" s="333"/>
      <c r="G84" s="333"/>
      <c r="H84" s="333"/>
      <c r="I84" s="333"/>
      <c r="J84" s="333"/>
      <c r="K84" s="333"/>
      <c r="L84" s="333"/>
      <c r="M84" s="333"/>
    </row>
    <row r="85" spans="1:13" x14ac:dyDescent="0.2">
      <c r="A85" s="211"/>
      <c r="B85" s="211"/>
      <c r="C85" s="333"/>
      <c r="D85" s="333"/>
      <c r="E85" s="333"/>
      <c r="F85" s="333"/>
      <c r="G85" s="333"/>
      <c r="H85" s="333"/>
      <c r="I85" s="333"/>
      <c r="J85" s="333"/>
      <c r="K85" s="333"/>
      <c r="L85" s="333"/>
      <c r="M85" s="333"/>
    </row>
    <row r="86" spans="1:13" x14ac:dyDescent="0.2">
      <c r="A86" s="211"/>
      <c r="B86" s="211"/>
      <c r="C86" s="333"/>
      <c r="D86" s="333"/>
      <c r="E86" s="333"/>
      <c r="F86" s="333"/>
      <c r="G86" s="333"/>
      <c r="H86" s="333"/>
      <c r="I86" s="333"/>
      <c r="J86" s="333"/>
      <c r="K86" s="333"/>
      <c r="L86" s="333"/>
      <c r="M86" s="333"/>
    </row>
    <row r="87" spans="1:13" x14ac:dyDescent="0.2">
      <c r="A87" s="211"/>
      <c r="B87" s="211"/>
      <c r="C87" s="333"/>
      <c r="D87" s="333"/>
      <c r="E87" s="333"/>
      <c r="F87" s="333"/>
      <c r="G87" s="333"/>
      <c r="H87" s="333"/>
      <c r="I87" s="333"/>
      <c r="J87" s="333"/>
      <c r="K87" s="333"/>
      <c r="L87" s="333"/>
      <c r="M87" s="333"/>
    </row>
    <row r="88" spans="1:13" x14ac:dyDescent="0.2">
      <c r="A88" s="211"/>
      <c r="B88" s="211"/>
      <c r="C88" s="333"/>
      <c r="D88" s="333"/>
      <c r="E88" s="333"/>
      <c r="F88" s="333"/>
      <c r="G88" s="333"/>
      <c r="H88" s="333"/>
      <c r="I88" s="333"/>
      <c r="J88" s="333"/>
      <c r="K88" s="333"/>
      <c r="L88" s="333"/>
      <c r="M88" s="333"/>
    </row>
    <row r="89" spans="1:13" x14ac:dyDescent="0.2">
      <c r="A89" s="211"/>
      <c r="B89" s="211"/>
      <c r="C89" s="333"/>
      <c r="D89" s="333"/>
      <c r="E89" s="333"/>
      <c r="F89" s="333"/>
      <c r="G89" s="333"/>
      <c r="H89" s="333"/>
      <c r="I89" s="333"/>
      <c r="J89" s="333"/>
      <c r="K89" s="333"/>
      <c r="L89" s="333"/>
      <c r="M89" s="333"/>
    </row>
    <row r="90" spans="1:13" x14ac:dyDescent="0.2">
      <c r="A90" s="211"/>
      <c r="B90" s="211"/>
      <c r="C90" s="333"/>
      <c r="D90" s="333"/>
      <c r="E90" s="333"/>
      <c r="F90" s="333"/>
      <c r="G90" s="333"/>
      <c r="H90" s="333"/>
      <c r="I90" s="333"/>
      <c r="J90" s="333"/>
      <c r="K90" s="333"/>
      <c r="L90" s="333"/>
      <c r="M90" s="333"/>
    </row>
  </sheetData>
  <sheetProtection password="93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2019-09-10T18:13:51Z</cp:lastPrinted>
  <dcterms:created xsi:type="dcterms:W3CDTF">1997-12-04T19:04:30Z</dcterms:created>
  <dcterms:modified xsi:type="dcterms:W3CDTF">2020-01-22T14:01:19Z</dcterms:modified>
</cp:coreProperties>
</file>