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5" i="14" l="1"/>
  <c r="J591" i="1" l="1"/>
  <c r="H591" i="1"/>
  <c r="H244" i="1"/>
  <c r="H208" i="1"/>
  <c r="F31" i="13" l="1"/>
  <c r="F15" i="13"/>
  <c r="C19" i="12" l="1"/>
  <c r="C10" i="12"/>
  <c r="F12" i="1" l="1"/>
  <c r="J465" i="1" l="1"/>
  <c r="F459" i="1"/>
  <c r="F439" i="1"/>
  <c r="H207" i="1"/>
  <c r="F14"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C121" i="2" s="1"/>
  <c r="G14" i="13"/>
  <c r="H14" i="13"/>
  <c r="L207" i="1"/>
  <c r="L225" i="1"/>
  <c r="C20" i="10" s="1"/>
  <c r="L243" i="1"/>
  <c r="G15" i="13"/>
  <c r="H15" i="13"/>
  <c r="L208" i="1"/>
  <c r="L226" i="1"/>
  <c r="G662" i="1" s="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C13" i="10" s="1"/>
  <c r="L281" i="1"/>
  <c r="L282" i="1"/>
  <c r="L283" i="1"/>
  <c r="L284" i="1"/>
  <c r="E121" i="2" s="1"/>
  <c r="L285" i="1"/>
  <c r="L286" i="1"/>
  <c r="L287" i="1"/>
  <c r="L288" i="1"/>
  <c r="E125" i="2" s="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32" i="10" s="1"/>
  <c r="L261" i="1"/>
  <c r="C132" i="2" s="1"/>
  <c r="L341" i="1"/>
  <c r="L342" i="1"/>
  <c r="L255" i="1"/>
  <c r="L336" i="1"/>
  <c r="E130" i="2" s="1"/>
  <c r="C11" i="13"/>
  <c r="C10" i="13"/>
  <c r="C9" i="13"/>
  <c r="L361" i="1"/>
  <c r="L362" i="1" s="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C85" i="2" s="1"/>
  <c r="C91" i="2" s="1"/>
  <c r="F162" i="1"/>
  <c r="F169" i="1" s="1"/>
  <c r="G147" i="1"/>
  <c r="G162" i="1"/>
  <c r="H147" i="1"/>
  <c r="H162" i="1"/>
  <c r="H169" i="1" s="1"/>
  <c r="I147" i="1"/>
  <c r="I162" i="1"/>
  <c r="C11" i="10"/>
  <c r="C12" i="10"/>
  <c r="L250" i="1"/>
  <c r="C113" i="2" s="1"/>
  <c r="L332" i="1"/>
  <c r="E113" i="2" s="1"/>
  <c r="L254" i="1"/>
  <c r="L268" i="1"/>
  <c r="L269" i="1"/>
  <c r="L349" i="1"/>
  <c r="L350" i="1"/>
  <c r="E143" i="2" s="1"/>
  <c r="I665" i="1"/>
  <c r="I670" i="1"/>
  <c r="I669" i="1"/>
  <c r="C42" i="10"/>
  <c r="L374" i="1"/>
  <c r="L375" i="1"/>
  <c r="L376" i="1"/>
  <c r="L377" i="1"/>
  <c r="L378" i="1"/>
  <c r="L379" i="1"/>
  <c r="L380" i="1"/>
  <c r="B2" i="10"/>
  <c r="L344" i="1"/>
  <c r="E134" i="2" s="1"/>
  <c r="L345" i="1"/>
  <c r="L346" i="1"/>
  <c r="L347" i="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L270" i="1" s="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F78" i="2" s="1"/>
  <c r="C73" i="2"/>
  <c r="F73" i="2"/>
  <c r="C74" i="2"/>
  <c r="C75" i="2"/>
  <c r="C76" i="2"/>
  <c r="E76" i="2"/>
  <c r="F76" i="2"/>
  <c r="C77" i="2"/>
  <c r="D77" i="2"/>
  <c r="D78" i="2" s="1"/>
  <c r="D81"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E103" i="2" s="1"/>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19" i="2"/>
  <c r="E120" i="2"/>
  <c r="E123" i="2"/>
  <c r="E124" i="2"/>
  <c r="C125" i="2"/>
  <c r="F128" i="2"/>
  <c r="G128" i="2"/>
  <c r="C130" i="2"/>
  <c r="D134" i="2"/>
  <c r="D144" i="2" s="1"/>
  <c r="F134" i="2"/>
  <c r="K419" i="1"/>
  <c r="K427" i="1"/>
  <c r="K433" i="1"/>
  <c r="L263" i="1"/>
  <c r="C135" i="2" s="1"/>
  <c r="E135" i="2"/>
  <c r="L264" i="1"/>
  <c r="C136" i="2" s="1"/>
  <c r="L265" i="1"/>
  <c r="C137" i="2" s="1"/>
  <c r="E137"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G52" i="1" s="1"/>
  <c r="H618" i="1" s="1"/>
  <c r="H32" i="1"/>
  <c r="I32" i="1"/>
  <c r="H51" i="1"/>
  <c r="I51" i="1"/>
  <c r="F177" i="1"/>
  <c r="F192" i="1" s="1"/>
  <c r="I177" i="1"/>
  <c r="F183" i="1"/>
  <c r="G183" i="1"/>
  <c r="H183" i="1"/>
  <c r="I183" i="1"/>
  <c r="J183" i="1"/>
  <c r="J192" i="1" s="1"/>
  <c r="F188" i="1"/>
  <c r="G188" i="1"/>
  <c r="G192" i="1" s="1"/>
  <c r="H188" i="1"/>
  <c r="I188" i="1"/>
  <c r="F211" i="1"/>
  <c r="G211" i="1"/>
  <c r="H211" i="1"/>
  <c r="I211" i="1"/>
  <c r="J211" i="1"/>
  <c r="J257" i="1" s="1"/>
  <c r="K211" i="1"/>
  <c r="F229" i="1"/>
  <c r="G229" i="1"/>
  <c r="H229" i="1"/>
  <c r="I229" i="1"/>
  <c r="J229" i="1"/>
  <c r="K229" i="1"/>
  <c r="F247" i="1"/>
  <c r="G247" i="1"/>
  <c r="H247" i="1"/>
  <c r="I247" i="1"/>
  <c r="J247" i="1"/>
  <c r="K247" i="1"/>
  <c r="F256" i="1"/>
  <c r="G256" i="1"/>
  <c r="H256" i="1"/>
  <c r="I256" i="1"/>
  <c r="L256" i="1" s="1"/>
  <c r="J256" i="1"/>
  <c r="K256" i="1"/>
  <c r="F290" i="1"/>
  <c r="F338" i="1" s="1"/>
  <c r="F352" i="1" s="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H634" i="1" s="1"/>
  <c r="L381" i="1"/>
  <c r="F382" i="1"/>
  <c r="G382" i="1"/>
  <c r="H382" i="1"/>
  <c r="I382" i="1"/>
  <c r="J382" i="1"/>
  <c r="K382" i="1"/>
  <c r="F393" i="1"/>
  <c r="G393" i="1"/>
  <c r="H393" i="1"/>
  <c r="I393" i="1"/>
  <c r="I408" i="1" s="1"/>
  <c r="F401" i="1"/>
  <c r="G401" i="1"/>
  <c r="H401" i="1"/>
  <c r="I401" i="1"/>
  <c r="F407" i="1"/>
  <c r="G407" i="1"/>
  <c r="H407" i="1"/>
  <c r="I407" i="1"/>
  <c r="F408" i="1"/>
  <c r="H643" i="1" s="1"/>
  <c r="J643" i="1" s="1"/>
  <c r="G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J641" i="1" s="1"/>
  <c r="F452" i="1"/>
  <c r="G452" i="1"/>
  <c r="H452" i="1"/>
  <c r="F460" i="1"/>
  <c r="G460" i="1"/>
  <c r="H460" i="1"/>
  <c r="H461" i="1"/>
  <c r="F470" i="1"/>
  <c r="G470" i="1"/>
  <c r="H470" i="1"/>
  <c r="I470" i="1"/>
  <c r="J470" i="1"/>
  <c r="F474" i="1"/>
  <c r="G474" i="1"/>
  <c r="G476" i="1" s="1"/>
  <c r="H623" i="1" s="1"/>
  <c r="H474" i="1"/>
  <c r="I474" i="1"/>
  <c r="I476" i="1" s="1"/>
  <c r="H625" i="1" s="1"/>
  <c r="J474" i="1"/>
  <c r="K495" i="1"/>
  <c r="K496" i="1"/>
  <c r="K497" i="1"/>
  <c r="K498" i="1"/>
  <c r="K499" i="1"/>
  <c r="K501" i="1"/>
  <c r="K502" i="1"/>
  <c r="F517" i="1"/>
  <c r="G517" i="1"/>
  <c r="H517" i="1"/>
  <c r="I517" i="1"/>
  <c r="F524" i="1"/>
  <c r="G524" i="1"/>
  <c r="H524" i="1"/>
  <c r="I524" i="1"/>
  <c r="I545" i="1" s="1"/>
  <c r="J524" i="1"/>
  <c r="K524" i="1"/>
  <c r="F529" i="1"/>
  <c r="G529" i="1"/>
  <c r="G545" i="1" s="1"/>
  <c r="H529" i="1"/>
  <c r="I529" i="1"/>
  <c r="J529" i="1"/>
  <c r="K529" i="1"/>
  <c r="F534" i="1"/>
  <c r="G534" i="1"/>
  <c r="H534" i="1"/>
  <c r="I534" i="1"/>
  <c r="J534" i="1"/>
  <c r="K534" i="1"/>
  <c r="F539" i="1"/>
  <c r="G539" i="1"/>
  <c r="H539" i="1"/>
  <c r="I539" i="1"/>
  <c r="J539" i="1"/>
  <c r="K539" i="1"/>
  <c r="F544" i="1"/>
  <c r="G544" i="1"/>
  <c r="H544" i="1"/>
  <c r="I544" i="1"/>
  <c r="J544" i="1"/>
  <c r="K544" i="1"/>
  <c r="L557" i="1"/>
  <c r="L560" i="1" s="1"/>
  <c r="L558" i="1"/>
  <c r="L559" i="1"/>
  <c r="F560" i="1"/>
  <c r="F571" i="1" s="1"/>
  <c r="G560" i="1"/>
  <c r="H560" i="1"/>
  <c r="I560" i="1"/>
  <c r="J560" i="1"/>
  <c r="J571" i="1" s="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0" i="1"/>
  <c r="G622" i="1"/>
  <c r="G623" i="1"/>
  <c r="G624" i="1"/>
  <c r="G625" i="1"/>
  <c r="H627" i="1"/>
  <c r="H628" i="1"/>
  <c r="H629" i="1"/>
  <c r="H630" i="1"/>
  <c r="H631" i="1"/>
  <c r="H632" i="1"/>
  <c r="H633" i="1"/>
  <c r="G634" i="1"/>
  <c r="H635" i="1"/>
  <c r="H636" i="1"/>
  <c r="H637" i="1"/>
  <c r="H638" i="1"/>
  <c r="H641" i="1"/>
  <c r="G643" i="1"/>
  <c r="G644" i="1"/>
  <c r="G645" i="1"/>
  <c r="J645" i="1" s="1"/>
  <c r="H645" i="1"/>
  <c r="G650" i="1"/>
  <c r="G651" i="1"/>
  <c r="G652" i="1"/>
  <c r="H652" i="1"/>
  <c r="G653" i="1"/>
  <c r="H653" i="1"/>
  <c r="G654" i="1"/>
  <c r="H654" i="1"/>
  <c r="H655" i="1"/>
  <c r="D18" i="2"/>
  <c r="F18" i="2"/>
  <c r="D91" i="2"/>
  <c r="G62" i="2"/>
  <c r="E78" i="2"/>
  <c r="K605" i="1"/>
  <c r="G648" i="1" s="1"/>
  <c r="I169" i="1"/>
  <c r="H476" i="1"/>
  <c r="H624" i="1" s="1"/>
  <c r="J624" i="1" s="1"/>
  <c r="G338" i="1"/>
  <c r="G352" i="1" s="1"/>
  <c r="J140" i="1"/>
  <c r="H140" i="1"/>
  <c r="H192" i="1"/>
  <c r="J634" i="1" l="1"/>
  <c r="J625" i="1"/>
  <c r="C114" i="2"/>
  <c r="F81" i="2"/>
  <c r="D62" i="2"/>
  <c r="D63" i="2" s="1"/>
  <c r="A40" i="12"/>
  <c r="H112" i="1"/>
  <c r="L614" i="1"/>
  <c r="K571" i="1"/>
  <c r="L570" i="1"/>
  <c r="H571" i="1"/>
  <c r="L565" i="1"/>
  <c r="I571" i="1"/>
  <c r="K545" i="1"/>
  <c r="L433" i="1"/>
  <c r="L351" i="1"/>
  <c r="F130" i="2"/>
  <c r="F144" i="2" s="1"/>
  <c r="F145" i="2" s="1"/>
  <c r="H662" i="1"/>
  <c r="L328" i="1"/>
  <c r="L309" i="1"/>
  <c r="E122" i="2"/>
  <c r="E118" i="2"/>
  <c r="I52" i="1"/>
  <c r="H620" i="1" s="1"/>
  <c r="F661" i="1"/>
  <c r="J623" i="1"/>
  <c r="L529" i="1"/>
  <c r="G461" i="1"/>
  <c r="H640" i="1" s="1"/>
  <c r="J640" i="1" s="1"/>
  <c r="K338" i="1"/>
  <c r="K352" i="1" s="1"/>
  <c r="G164" i="2"/>
  <c r="G161" i="2"/>
  <c r="G157" i="2"/>
  <c r="G156" i="2"/>
  <c r="E112" i="2"/>
  <c r="E31" i="2"/>
  <c r="C18" i="2"/>
  <c r="C26" i="10"/>
  <c r="C119" i="2"/>
  <c r="J651" i="1"/>
  <c r="K598" i="1"/>
  <c r="G647" i="1" s="1"/>
  <c r="H647" i="1"/>
  <c r="H257" i="1"/>
  <c r="H271" i="1" s="1"/>
  <c r="C120" i="2"/>
  <c r="J552" i="1"/>
  <c r="I552" i="1"/>
  <c r="H552" i="1"/>
  <c r="J545" i="1"/>
  <c r="H545" i="1"/>
  <c r="K549" i="1"/>
  <c r="F552" i="1"/>
  <c r="H408" i="1"/>
  <c r="H644" i="1" s="1"/>
  <c r="J644" i="1" s="1"/>
  <c r="H52" i="1"/>
  <c r="H619" i="1" s="1"/>
  <c r="D15" i="13"/>
  <c r="C15" i="13" s="1"/>
  <c r="K257" i="1"/>
  <c r="K271" i="1" s="1"/>
  <c r="J476" i="1"/>
  <c r="H626" i="1" s="1"/>
  <c r="F476" i="1"/>
  <c r="H622" i="1" s="1"/>
  <c r="J622" i="1" s="1"/>
  <c r="F461" i="1"/>
  <c r="H639" i="1" s="1"/>
  <c r="J639" i="1" s="1"/>
  <c r="L427" i="1"/>
  <c r="L393" i="1"/>
  <c r="C138" i="2" s="1"/>
  <c r="L290" i="1"/>
  <c r="G4" i="14" s="1"/>
  <c r="H4" i="14" s="1"/>
  <c r="I4" i="14" s="1"/>
  <c r="F257" i="1"/>
  <c r="C18" i="10"/>
  <c r="L247" i="1"/>
  <c r="H660" i="1" s="1"/>
  <c r="H664" i="1" s="1"/>
  <c r="C110" i="2"/>
  <c r="A31" i="12"/>
  <c r="L211" i="1"/>
  <c r="I257" i="1"/>
  <c r="I271" i="1" s="1"/>
  <c r="C78" i="2"/>
  <c r="C81" i="2" s="1"/>
  <c r="C70" i="2"/>
  <c r="F112" i="1"/>
  <c r="J617"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D5" i="13"/>
  <c r="C5" i="13" s="1"/>
  <c r="E8" i="13"/>
  <c r="C8" i="13" s="1"/>
  <c r="E128" i="2"/>
  <c r="C12" i="13"/>
  <c r="C35" i="10"/>
  <c r="C29" i="10"/>
  <c r="E81" i="2"/>
  <c r="G649" i="1"/>
  <c r="J649" i="1" s="1"/>
  <c r="L544" i="1"/>
  <c r="L524" i="1"/>
  <c r="J338" i="1"/>
  <c r="J352" i="1" s="1"/>
  <c r="D127" i="2"/>
  <c r="D128" i="2" s="1"/>
  <c r="D145" i="2" s="1"/>
  <c r="C124" i="2"/>
  <c r="C122" i="2"/>
  <c r="C118" i="2"/>
  <c r="C19" i="10"/>
  <c r="C16" i="10"/>
  <c r="D17" i="13"/>
  <c r="C17" i="13" s="1"/>
  <c r="D7" i="13"/>
  <c r="C7" i="13" s="1"/>
  <c r="E16" i="13"/>
  <c r="C10" i="10"/>
  <c r="C109" i="2"/>
  <c r="C115" i="2" s="1"/>
  <c r="L229" i="1"/>
  <c r="C16" i="13"/>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L571" i="1"/>
  <c r="I192" i="1"/>
  <c r="E91" i="2"/>
  <c r="E104" i="2" s="1"/>
  <c r="L408" i="1"/>
  <c r="G637" i="1" s="1"/>
  <c r="J637" i="1" s="1"/>
  <c r="D51" i="2"/>
  <c r="J654" i="1"/>
  <c r="J653" i="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G63" i="2"/>
  <c r="J618" i="1"/>
  <c r="G42" i="2"/>
  <c r="G50" i="2" s="1"/>
  <c r="J51" i="1"/>
  <c r="G16" i="2"/>
  <c r="G18" i="2" s="1"/>
  <c r="J19" i="1"/>
  <c r="G621" i="1" s="1"/>
  <c r="F545" i="1"/>
  <c r="H434" i="1"/>
  <c r="J620" i="1"/>
  <c r="J619" i="1"/>
  <c r="D103" i="2"/>
  <c r="D104" i="2" s="1"/>
  <c r="I140" i="1"/>
  <c r="I193" i="1" s="1"/>
  <c r="G630" i="1" s="1"/>
  <c r="J630" i="1" s="1"/>
  <c r="A22" i="12"/>
  <c r="J652" i="1"/>
  <c r="G571" i="1"/>
  <c r="I434" i="1"/>
  <c r="G434" i="1"/>
  <c r="I663" i="1"/>
  <c r="C27" i="10"/>
  <c r="G635" i="1"/>
  <c r="J635" i="1" s="1"/>
  <c r="I661" i="1" l="1"/>
  <c r="C63" i="2"/>
  <c r="C144" i="2"/>
  <c r="G104" i="2"/>
  <c r="G24" i="14"/>
  <c r="J647" i="1"/>
  <c r="F660" i="1"/>
  <c r="F664" i="1" s="1"/>
  <c r="F667" i="1" s="1"/>
  <c r="L545" i="1"/>
  <c r="E145" i="2"/>
  <c r="G51" i="2"/>
  <c r="H646" i="1"/>
  <c r="J646" i="1" s="1"/>
  <c r="L338" i="1"/>
  <c r="L352" i="1" s="1"/>
  <c r="G633" i="1" s="1"/>
  <c r="J633" i="1" s="1"/>
  <c r="H648" i="1"/>
  <c r="J648" i="1" s="1"/>
  <c r="H667" i="1"/>
  <c r="H672" i="1"/>
  <c r="C6" i="10" s="1"/>
  <c r="E33" i="13"/>
  <c r="D35" i="13" s="1"/>
  <c r="G36" i="14"/>
  <c r="H36" i="14" s="1"/>
  <c r="I36" i="14" s="1"/>
  <c r="L257" i="1"/>
  <c r="L271" i="1" s="1"/>
  <c r="G632" i="1" s="1"/>
  <c r="J632" i="1" s="1"/>
  <c r="C128" i="2"/>
  <c r="C145" i="2" s="1"/>
  <c r="C104" i="2"/>
  <c r="F193" i="1"/>
  <c r="G627" i="1" s="1"/>
  <c r="J627" i="1" s="1"/>
  <c r="C36" i="10"/>
  <c r="D31" i="13"/>
  <c r="C31" i="13" s="1"/>
  <c r="I461" i="1"/>
  <c r="H642" i="1" s="1"/>
  <c r="J642" i="1" s="1"/>
  <c r="G660" i="1"/>
  <c r="G664" i="1" s="1"/>
  <c r="G667" i="1" s="1"/>
  <c r="C25" i="13"/>
  <c r="I33" i="13"/>
  <c r="K552" i="1"/>
  <c r="C28" i="10"/>
  <c r="D23" i="10" s="1"/>
  <c r="H24" i="14"/>
  <c r="I24" i="14" s="1"/>
  <c r="I660" i="1"/>
  <c r="I664" i="1" s="1"/>
  <c r="I672" i="1" s="1"/>
  <c r="C7" i="10" s="1"/>
  <c r="F672" i="1"/>
  <c r="C4" i="10" s="1"/>
  <c r="C51" i="2"/>
  <c r="G631" i="1"/>
  <c r="J631" i="1" s="1"/>
  <c r="G193" i="1"/>
  <c r="G628" i="1" s="1"/>
  <c r="J628" i="1" s="1"/>
  <c r="G626" i="1"/>
  <c r="J626" i="1" s="1"/>
  <c r="J52" i="1"/>
  <c r="H621" i="1" s="1"/>
  <c r="J621" i="1" s="1"/>
  <c r="C38" i="10"/>
  <c r="G672" i="1" l="1"/>
  <c r="C5" i="10" s="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<sst xmlns="http://schemas.openxmlformats.org/spreadsheetml/2006/main" count="5507" uniqueCount="1612">
  <si>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</si>
  <si>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</si>
  <si>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</si>
  <si>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</si>
  <si>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</si>
  <si>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</si>
  <si>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</si>
  <si>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</si>
  <si>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</si>
  <si>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</si>
  <si>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</si>
  <si>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</si>
  <si>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</si>
  <si>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</si>
  <si>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</si>
  <si>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</si>
  <si>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</si>
  <si>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</si>
  <si>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</si>
  <si>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</si>
  <si>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</si>
  <si>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</si>
  <si>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</si>
  <si>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</si>
  <si>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</si>
  <si>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</si>
  <si>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</si>
  <si>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</si>
  <si>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</si>
  <si>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</si>
  <si>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</si>
  <si>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</si>
  <si>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</si>
  <si>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</si>
  <si>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</si>
  <si>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</si>
  <si>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</si>
  <si>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</si>
  <si>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</si>
  <si>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</si>
  <si>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</si>
  <si>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</si>
  <si>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</si>
  <si>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</si>
  <si>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</si>
  <si>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</si>
  <si>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</si>
  <si>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</si>
  <si>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</si>
  <si>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</si>
  <si>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</si>
  <si>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</si>
  <si>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</si>
  <si>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</si>
  <si>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</si>
  <si>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</si>
  <si>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</si>
  <si>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</si>
  <si>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</si>
  <si>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</si>
  <si>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</si>
  <si>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</si>
  <si>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</si>
  <si>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</si>
  <si>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</si>
  <si>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</si>
  <si>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</si>
  <si>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</si>
  <si>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</si>
  <si>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</si>
  <si>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</si>
  <si>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</si>
  <si>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</si>
  <si>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</si>
  <si>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</si>
  <si>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</si>
  <si>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</si>
  <si>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</si>
  <si>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</si>
  <si>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</si>
  <si>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</si>
  <si>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</si>
  <si>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</si>
  <si>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</si>
  <si>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</si>
  <si>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</si>
  <si>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</si>
  <si>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</si>
  <si>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</si>
  <si>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</si>
  <si>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</si>
  <si>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</si>
  <si>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</si>
  <si>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</si>
  <si>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</si>
  <si>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</si>
  <si>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</si>
  <si>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</si>
  <si>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</si>
  <si>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</si>
  <si>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</si>
  <si>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</si>
  <si>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</si>
  <si>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</si>
  <si>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</si>
  <si>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</si>
  <si>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</si>
  <si>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</si>
  <si>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</si>
  <si>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</si>
  <si>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</si>
  <si>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</si>
  <si>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</si>
  <si>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</si>
  <si>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</si>
  <si>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</si>
  <si>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</si>
  <si>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</si>
  <si>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</si>
  <si>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</si>
  <si>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</si>
  <si>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</si>
  <si>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</si>
  <si>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</si>
  <si>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</si>
  <si>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</si>
  <si>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</si>
  <si>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</si>
  <si>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</si>
  <si>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</si>
  <si>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</si>
  <si>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</si>
  <si>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</si>
  <si>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</si>
  <si>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</si>
  <si>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</si>
  <si>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</si>
  <si>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</si>
  <si>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</si>
  <si>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</si>
  <si>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</si>
  <si>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</si>
  <si>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</si>
  <si>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</si>
  <si>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</si>
  <si>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</si>
  <si>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</si>
  <si>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</si>
  <si>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</si>
  <si>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</si>
  <si>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</si>
  <si>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</si>
  <si>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</si>
  <si>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</si>
  <si>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</si>
  <si>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</si>
  <si>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</si>
  <si>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</si>
  <si>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</si>
  <si>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</si>
  <si>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</si>
  <si>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</si>
  <si>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</si>
  <si>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</si>
  <si>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</si>
  <si>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</si>
  <si>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</si>
  <si>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</si>
  <si>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</si>
  <si>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</si>
  <si>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</si>
  <si>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</si>
  <si>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</si>
  <si>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</si>
  <si>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</si>
  <si>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</si>
  <si>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</si>
  <si>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</si>
  <si>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</si>
  <si>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</si>
  <si>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</si>
  <si>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</si>
  <si>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</si>
  <si>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</si>
  <si>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</si>
  <si>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</si>
  <si>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</si>
  <si>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</si>
  <si>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</si>
  <si>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</si>
  <si>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</si>
  <si>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</si>
  <si>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</si>
  <si>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</si>
  <si>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</si>
  <si>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</si>
  <si>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</si>
  <si>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</si>
  <si>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</si>
  <si>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</si>
  <si>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</si>
  <si>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</si>
  <si>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</si>
  <si>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</si>
  <si>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</si>
  <si>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</si>
  <si>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</si>
  <si>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</si>
  <si>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</si>
  <si>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</si>
  <si>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</si>
  <si>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</si>
  <si>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</si>
  <si>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</si>
  <si>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</si>
  <si>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</si>
  <si>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</si>
  <si>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</si>
  <si>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</si>
  <si>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</si>
  <si>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</si>
  <si>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</si>
  <si>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</si>
  <si>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</si>
  <si>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</si>
  <si>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</si>
  <si>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</si>
  <si>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</si>
  <si>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</si>
  <si>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</si>
  <si>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</si>
  <si>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</si>
  <si>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</si>
  <si>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</si>
  <si>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</si>
  <si>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</si>
  <si>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</si>
  <si>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</si>
  <si>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</si>
  <si>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</si>
  <si>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</si>
  <si>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</si>
  <si>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</si>
  <si>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</si>
  <si>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</si>
  <si>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</si>
  <si>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</si>
  <si>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</si>
  <si>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</si>
  <si>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</si>
  <si>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</si>
  <si>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</si>
  <si>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</si>
  <si>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</si>
  <si>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</si>
  <si>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</si>
  <si>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</si>
  <si>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</si>
  <si>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</si>
  <si>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</si>
  <si>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</si>
  <si>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</si>
  <si>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</si>
  <si>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</si>
  <si>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</si>
  <si>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</si>
  <si>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</si>
  <si>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</si>
  <si>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</si>
  <si>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</si>
  <si>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</si>
  <si>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</si>
  <si>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</si>
  <si>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</si>
  <si>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</si>
  <si>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</si>
  <si>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</si>
  <si>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</si>
  <si>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</si>
  <si>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</si>
  <si>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</si>
  <si>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</si>
  <si>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</si>
  <si>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</si>
  <si>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</si>
  <si>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</si>
  <si>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</si>
  <si>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</si>
  <si>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</si>
  <si>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</si>
  <si>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</si>
  <si>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</si>
  <si>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</si>
  <si>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</si>
  <si>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</si>
  <si>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</si>
  <si>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</si>
  <si>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</si>
  <si>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</si>
  <si>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</si>
  <si>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</si>
  <si>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</si>
  <si>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</si>
  <si>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</si>
  <si>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</si>
  <si>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</si>
  <si>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</si>
  <si>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</si>
  <si>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</si>
  <si>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</si>
  <si>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</si>
  <si>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</si>
  <si>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</si>
  <si>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</si>
  <si>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</si>
  <si>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</si>
  <si>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</si>
  <si>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</si>
  <si>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</si>
  <si>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</si>
  <si>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</si>
  <si>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</si>
  <si>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</si>
  <si>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</si>
  <si>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</si>
  <si>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</si>
  <si>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</si>
  <si>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</si>
  <si>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</si>
  <si>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</si>
  <si>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</si>
  <si>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</si>
  <si>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</si>
  <si>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</si>
  <si>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</si>
  <si>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</si>
  <si>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</si>
  <si>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</si>
  <si>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</si>
  <si>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</si>
  <si>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</si>
  <si>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</si>
  <si>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</si>
  <si>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</si>
  <si>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</si>
  <si>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</si>
  <si>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</si>
  <si>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</si>
  <si>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</si>
  <si>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</si>
  <si>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</si>
  <si>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</si>
  <si>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</si>
  <si>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</si>
  <si>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</si>
  <si>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</si>
  <si>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</si>
  <si>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</si>
  <si>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</si>
  <si>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</si>
  <si>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</si>
  <si>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</si>
  <si>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</si>
  <si>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</si>
  <si>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</si>
  <si>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</si>
  <si>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</si>
  <si>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</si>
  <si>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</si>
  <si>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</si>
  <si>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</si>
  <si>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</si>
  <si>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</si>
  <si>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</si>
  <si>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</si>
  <si>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</si>
  <si>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</si>
  <si>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</si>
  <si>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</si>
  <si>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</si>
  <si>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</si>
  <si>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</si>
  <si>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</si>
  <si>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</si>
  <si>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</si>
  <si>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</si>
  <si>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</si>
  <si>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</si>
  <si>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</si>
  <si>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</si>
  <si>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</si>
  <si>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</si>
  <si>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</si>
  <si>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</si>
  <si>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</si>
  <si>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</si>
  <si>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</si>
  <si>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</si>
  <si>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</si>
  <si>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</si>
  <si>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</si>
  <si>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</si>
  <si>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</si>
  <si>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</si>
  <si>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</si>
  <si>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</si>
  <si>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</si>
  <si>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</si>
  <si>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</si>
  <si>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</si>
  <si>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</si>
  <si>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</si>
  <si>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</si>
  <si>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</si>
  <si>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</si>
  <si>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</si>
  <si>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</si>
  <si>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</si>
  <si>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</si>
  <si>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</si>
  <si>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</si>
  <si>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</si>
  <si>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</si>
  <si>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</si>
  <si>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</si>
  <si>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</si>
  <si>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</si>
  <si>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</si>
  <si>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</si>
  <si>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</si>
  <si>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</si>
  <si>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</si>
  <si>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</si>
  <si>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</si>
  <si>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</si>
  <si>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</si>
  <si>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</si>
  <si>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</si>
  <si>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</si>
  <si>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</si>
  <si>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</si>
  <si>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</si>
  <si>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</si>
  <si>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</si>
  <si>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</si>
  <si>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</si>
  <si>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</si>
  <si>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</si>
  <si>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</si>
  <si>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</si>
  <si>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</si>
  <si>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</si>
  <si>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</si>
  <si>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</si>
  <si>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</si>
  <si>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</si>
  <si>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</si>
  <si>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</si>
  <si>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</si>
  <si>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</si>
  <si>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</si>
  <si>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</si>
  <si>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</si>
  <si>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</si>
  <si>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</si>
  <si>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</si>
  <si>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</si>
  <si>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</si>
  <si>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</si>
  <si>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</si>
  <si>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</si>
  <si>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</si>
  <si>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</si>
  <si>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</si>
  <si>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</si>
  <si>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</si>
  <si>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</si>
  <si>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</si>
  <si>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</si>
  <si>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</si>
  <si>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</si>
  <si>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</si>
  <si>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</si>
  <si>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</si>
  <si>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</si>
  <si>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</si>
  <si>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</si>
  <si>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</si>
  <si>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</si>
  <si>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</si>
  <si>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</si>
  <si>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</si>
  <si>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</si>
  <si>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</si>
  <si>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</si>
  <si>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</si>
  <si>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</si>
  <si>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</si>
  <si>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</si>
  <si>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</si>
  <si>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</si>
  <si>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</si>
  <si>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</si>
  <si>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</si>
  <si>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</si>
  <si>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</si>
  <si>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</si>
  <si>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</si>
  <si>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</si>
  <si>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</si>
  <si>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</si>
  <si>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</si>
  <si>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</si>
  <si>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</si>
  <si>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</si>
  <si>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</si>
  <si>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</si>
  <si>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</si>
  <si>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</si>
  <si>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</si>
  <si>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</si>
  <si>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</si>
  <si>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</si>
  <si>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</si>
  <si>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</si>
  <si>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</si>
  <si>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</si>
  <si>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</si>
  <si>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</si>
  <si>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</si>
  <si>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</si>
  <si>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</si>
  <si>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</si>
  <si>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</si>
  <si>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</si>
  <si>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</si>
  <si>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</si>
  <si>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</si>
  <si>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</si>
  <si>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</si>
  <si>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</si>
  <si>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</si>
  <si>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</si>
  <si>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</si>
  <si>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</si>
  <si>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</si>
  <si>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</si>
  <si>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</si>
  <si>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</si>
  <si>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</si>
  <si>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</si>
  <si>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</si>
  <si>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</si>
  <si>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</si>
  <si>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</si>
  <si>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</si>
  <si>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</si>
  <si>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</si>
  <si>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</si>
  <si>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</si>
  <si>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</si>
  <si>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</si>
  <si>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</si>
  <si>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</si>
  <si>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</si>
  <si>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</si>
  <si>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</si>
  <si>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</si>
  <si>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</si>
  <si>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</si>
  <si>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</si>
  <si>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</si>
  <si>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</si>
  <si>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</si>
  <si>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</si>
  <si>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</si>
  <si>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</si>
  <si>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</si>
  <si>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</si>
  <si>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</si>
  <si>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</si>
  <si>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</si>
  <si>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</si>
  <si>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</si>
  <si>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</si>
  <si>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</si>
  <si>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</si>
  <si>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</si>
  <si>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</si>
  <si>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</si>
  <si>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</si>
  <si>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</si>
  <si>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</si>
  <si>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</si>
  <si>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</si>
  <si>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</si>
  <si>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</si>
  <si>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</si>
  <si>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</si>
  <si>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</si>
  <si>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</si>
  <si>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</si>
  <si>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</si>
  <si>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</si>
  <si>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</si>
  <si>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</si>
  <si>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</si>
  <si>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</si>
  <si>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</si>
  <si>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</si>
  <si>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</si>
  <si>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</si>
  <si>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</si>
  <si>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</si>
  <si>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</si>
  <si>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</si>
  <si>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</si>
  <si>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</si>
  <si>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</si>
  <si>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</si>
  <si>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</si>
  <si>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</si>
  <si>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</si>
  <si>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</si>
  <si>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</si>
  <si>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</si>
  <si>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</si>
  <si>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</si>
  <si>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</si>
  <si>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</si>
  <si>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</si>
  <si>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</si>
  <si>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</si>
  <si>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</si>
  <si>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</si>
  <si>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</si>
  <si>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</si>
  <si>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</si>
  <si>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</si>
  <si>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</si>
  <si>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</si>
  <si>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</si>
  <si>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</si>
  <si>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</si>
  <si>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</si>
  <si>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</si>
  <si>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</si>
  <si>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</si>
  <si>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</si>
  <si>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</si>
  <si>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</si>
  <si>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</si>
  <si>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</si>
  <si>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</si>
  <si>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</si>
  <si>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</si>
  <si>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</si>
  <si>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</si>
  <si>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</si>
  <si>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</si>
  <si>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</si>
  <si>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</si>
  <si>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</si>
  <si>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</si>
  <si>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</si>
  <si>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</si>
  <si>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</si>
  <si>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</si>
  <si>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</si>
  <si>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</si>
  <si>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</si>
  <si>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</si>
  <si>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</si>
  <si>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</si>
  <si>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</si>
  <si>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</si>
  <si>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</si>
  <si>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</si>
  <si>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</si>
  <si>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</si>
  <si>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</si>
  <si>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</si>
  <si>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</si>
  <si>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</si>
  <si>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</si>
  <si>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</si>
  <si>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</si>
  <si>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</si>
  <si>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</si>
  <si>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</si>
  <si>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</si>
  <si>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</si>
  <si>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</si>
  <si>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</si>
  <si>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</si>
  <si>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</si>
  <si>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</si>
  <si>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</si>
  <si>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</si>
  <si>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</si>
  <si>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</si>
  <si>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</si>
  <si>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</si>
  <si>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</si>
  <si>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</si>
  <si>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</si>
  <si>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</si>
  <si>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</si>
  <si>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</si>
  <si>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</si>
  <si>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</si>
  <si>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</si>
  <si>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</si>
  <si>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</si>
  <si>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</si>
  <si>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</si>
  <si>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</si>
  <si>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</si>
  <si>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</si>
  <si>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</si>
  <si>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</si>
  <si>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</si>
  <si>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</si>
  <si>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</si>
  <si>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</si>
  <si>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</si>
  <si>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</si>
  <si>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</si>
  <si>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</si>
  <si>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</si>
  <si>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</si>
  <si>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</si>
  <si>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</si>
  <si>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</si>
  <si>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</si>
  <si>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</si>
  <si>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</si>
  <si>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</si>
  <si>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</si>
  <si>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</si>
  <si>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</si>
  <si>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</si>
  <si>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</si>
  <si>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</si>
  <si>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</si>
  <si>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</si>
  <si>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</si>
  <si>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</si>
  <si>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</si>
  <si>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</si>
  <si>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</si>
  <si>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</si>
  <si>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</si>
  <si>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</si>
  <si>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</si>
  <si>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</si>
  <si>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</si>
  <si>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</si>
  <si>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</si>
  <si>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</si>
  <si>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</si>
  <si>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</si>
  <si>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</si>
  <si>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</si>
  <si>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</si>
  <si>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</si>
  <si>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</si>
  <si>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</si>
  <si>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</si>
  <si>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</si>
  <si>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</si>
  <si>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</si>
  <si>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</si>
  <si>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</si>
  <si>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</si>
  <si>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</si>
  <si>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</si>
  <si>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</si>
  <si>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</si>
  <si>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</si>
  <si>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</si>
  <si>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</si>
  <si>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</si>
  <si>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</si>
  <si>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</si>
  <si>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</si>
  <si>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</si>
  <si>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</si>
  <si>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</si>
  <si>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</si>
  <si>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</si>
  <si>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</si>
  <si>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</si>
  <si>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</si>
  <si>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</si>
  <si>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</si>
  <si>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</si>
  <si>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</si>
  <si>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</si>
  <si>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</si>
  <si>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</si>
  <si>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</si>
  <si>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</si>
  <si>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</si>
  <si>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</si>
  <si>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</si>
  <si>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</si>
  <si>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</si>
  <si>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</si>
  <si>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</si>
  <si>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</si>
  <si>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</si>
  <si>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</si>
  <si>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</si>
  <si>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</si>
  <si>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</si>
  <si>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</si>
  <si>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</si>
  <si>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</si>
  <si>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</si>
  <si>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</si>
  <si>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</si>
  <si>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</si>
  <si>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</si>
  <si>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</si>
  <si>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</si>
  <si>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</si>
  <si>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</si>
  <si>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</si>
  <si>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</si>
  <si>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</si>
  <si>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</si>
  <si>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</si>
  <si>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</si>
  <si>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</si>
  <si>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</si>
  <si>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</si>
  <si>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</si>
  <si>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</si>
  <si>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</si>
  <si>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</si>
  <si>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</si>
  <si>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</si>
  <si>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</si>
  <si>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</si>
  <si>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</si>
  <si>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</si>
  <si>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</si>
  <si>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</si>
  <si>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</si>
  <si>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</si>
  <si>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</si>
  <si>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</si>
  <si>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</si>
  <si>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</si>
  <si>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</si>
  <si>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</si>
  <si>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</si>
  <si>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</si>
  <si>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</si>
  <si>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</si>
  <si>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</si>
  <si>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</si>
  <si>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</si>
  <si>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</si>
  <si>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</si>
  <si>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</si>
  <si>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</si>
  <si>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</si>
  <si>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</si>
  <si>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</si>
  <si>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</si>
  <si>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</si>
  <si>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</si>
  <si>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</si>
  <si>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</si>
  <si>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</si>
  <si>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</si>
  <si>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</si>
  <si>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</si>
  <si>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</si>
  <si>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</si>
  <si>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</si>
  <si>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</si>
  <si>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</si>
  <si>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</si>
  <si>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</si>
  <si>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</si>
  <si>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</si>
  <si>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</si>
  <si>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</si>
  <si>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</si>
  <si>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</si>
  <si>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</si>
  <si>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</si>
  <si>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</si>
  <si>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</si>
  <si>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</si>
  <si>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</si>
  <si>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</si>
  <si>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</si>
  <si>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</si>
  <si>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</si>
  <si>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</si>
  <si>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</si>
  <si>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</si>
  <si>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</si>
  <si>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</si>
  <si>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</si>
  <si>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</si>
  <si>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</si>
  <si>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</si>
  <si>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</si>
  <si>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</si>
  <si>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</si>
  <si>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</si>
  <si>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</si>
  <si>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</si>
  <si>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</si>
  <si>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</si>
  <si>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</si>
  <si>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</si>
  <si>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</si>
  <si>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</si>
  <si>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</si>
  <si>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</si>
  <si>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</si>
  <si>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</si>
  <si>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</si>
  <si>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</si>
  <si>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</si>
  <si>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</si>
  <si>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</si>
  <si>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</si>
  <si>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</si>
  <si>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</si>
  <si>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</si>
  <si>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</si>
  <si>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</si>
  <si>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</si>
  <si>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</si>
  <si>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</si>
  <si>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</si>
  <si>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</si>
  <si>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</si>
  <si>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</si>
  <si>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</si>
  <si>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</si>
  <si>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</si>
  <si>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</si>
  <si>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</si>
  <si>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</si>
  <si>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</si>
  <si>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</si>
  <si>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</si>
  <si>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</si>
  <si>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</si>
  <si>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</si>
  <si>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</si>
  <si>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</si>
  <si>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</si>
  <si>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</si>
  <si>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</si>
  <si>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</si>
  <si>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</si>
  <si>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</si>
  <si>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</si>
  <si>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</si>
  <si>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</si>
  <si>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</si>
  <si>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</si>
  <si>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</si>
  <si>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</si>
  <si>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</si>
  <si>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</si>
  <si>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</si>
  <si>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</si>
  <si>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</si>
  <si>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</si>
  <si>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</si>
  <si>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</si>
  <si>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</si>
  <si>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</si>
  <si>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</si>
  <si>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</si>
  <si>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</si>
  <si>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</si>
  <si>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</si>
  <si>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</si>
  <si>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</si>
  <si>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</si>
  <si>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</si>
  <si>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</si>
  <si>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</si>
  <si>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</si>
  <si>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</si>
  <si>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</si>
  <si>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</si>
  <si>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</si>
  <si>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</si>
  <si>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</si>
  <si>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</si>
  <si>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</si>
  <si>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</si>
  <si>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</si>
  <si>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</si>
  <si>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</si>
  <si>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</si>
  <si>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</si>
  <si>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</si>
  <si>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</si>
  <si>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</si>
  <si>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</si>
  <si>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</si>
  <si>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</si>
  <si>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</si>
  <si>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</si>
  <si>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</si>
  <si>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</si>
  <si>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</si>
  <si>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</si>
  <si>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</si>
  <si>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</si>
  <si>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</si>
  <si>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</si>
  <si>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</si>
  <si>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</si>
  <si>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</si>
  <si>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</si>
  <si>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</si>
  <si>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</si>
  <si>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</si>
  <si>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</si>
  <si>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</si>
  <si>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</si>
  <si>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</si>
  <si>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</si>
  <si>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</si>
  <si>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</si>
  <si>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</si>
  <si>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</si>
  <si>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</si>
  <si>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</si>
  <si>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</si>
  <si>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</si>
  <si>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</si>
  <si>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</si>
  <si>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</si>
  <si>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</si>
  <si>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</si>
  <si>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</si>
  <si>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</si>
  <si>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</si>
  <si>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</si>
  <si>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</si>
  <si>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</si>
  <si>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</si>
  <si>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</si>
  <si>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</si>
  <si>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</si>
  <si>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</si>
  <si>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</si>
  <si>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</si>
  <si>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</si>
  <si>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</si>
  <si>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</si>
  <si>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</si>
  <si>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</si>
  <si>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</si>
  <si>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</si>
  <si>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</si>
  <si>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</si>
  <si>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</si>
  <si>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</si>
  <si>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</si>
  <si>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</si>
  <si>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</si>
  <si>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</si>
  <si>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</si>
  <si>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</si>
  <si>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</si>
  <si>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</si>
  <si>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</si>
  <si>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</si>
  <si>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</si>
  <si>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</si>
  <si>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</si>
  <si>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</si>
  <si>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</si>
  <si>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</si>
  <si>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</si>
  <si>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</si>
  <si>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</si>
  <si>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</si>
  <si>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</si>
  <si>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</si>
  <si>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</si>
  <si>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</si>
  <si>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</si>
  <si>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</si>
  <si>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</si>
  <si>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</si>
  <si>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</si>
  <si>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</si>
  <si>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</si>
  <si>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</si>
  <si>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</si>
  <si>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</si>
  <si>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</si>
  <si>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</si>
  <si>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</si>
  <si>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</si>
  <si>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</si>
  <si>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</si>
  <si>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</si>
  <si>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</si>
  <si>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</si>
  <si>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</si>
  <si>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</si>
  <si>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</si>
  <si>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</si>
  <si>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</si>
  <si>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</si>
  <si>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</si>
  <si>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</si>
  <si>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</si>
  <si>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</si>
  <si>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</si>
  <si>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</si>
  <si>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</si>
  <si>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</si>
  <si>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</si>
  <si>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</si>
  <si>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</si>
  <si>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</si>
  <si>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</si>
  <si>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</si>
  <si>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</si>
  <si>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</si>
  <si>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</si>
  <si>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</si>
  <si>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</si>
  <si>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</si>
  <si>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</si>
  <si>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</si>
  <si>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</si>
  <si>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</si>
  <si>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</si>
  <si>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</si>
  <si>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</si>
  <si>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</si>
  <si>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</si>
  <si>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</si>
  <si>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</si>
  <si>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</si>
  <si>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</si>
  <si>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</si>
  <si>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</si>
  <si>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</si>
  <si>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</si>
  <si>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</si>
  <si>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</si>
  <si>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</si>
  <si>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</si>
  <si>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</si>
  <si>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</si>
  <si>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</si>
  <si>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</si>
  <si>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</si>
  <si>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</si>
  <si>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</si>
  <si>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</si>
  <si>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</si>
  <si>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</si>
  <si>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</si>
  <si>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</si>
  <si>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</si>
  <si>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</si>
  <si>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</si>
  <si>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</si>
  <si>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</si>
  <si>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</si>
  <si>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</si>
  <si>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</si>
  <si>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</si>
  <si>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</si>
  <si>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</si>
  <si>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</si>
  <si>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</si>
  <si>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</si>
  <si>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</si>
  <si>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</si>
  <si>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</si>
  <si>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</si>
  <si>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</si>
  <si>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</si>
  <si>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</si>
  <si>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</si>
  <si>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</si>
  <si>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</si>
  <si>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</si>
  <si>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</si>
  <si>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</si>
  <si>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</si>
  <si>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</si>
  <si>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</si>
  <si>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</si>
  <si>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</si>
  <si>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</si>
  <si>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</si>
  <si>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</si>
  <si>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</si>
  <si>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</si>
  <si>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</si>
  <si>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</si>
  <si>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</si>
  <si>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</si>
  <si>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</si>
  <si>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</si>
  <si>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</si>
  <si>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</si>
  <si>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</si>
  <si>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</si>
  <si>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</si>
  <si>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</si>
  <si>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</si>
  <si>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</si>
  <si>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</si>
  <si>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</si>
  <si>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</si>
  <si>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</si>
  <si>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</si>
  <si>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</si>
  <si>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</si>
  <si>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</si>
  <si>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</si>
  <si>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</si>
  <si>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</si>
  <si>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</si>
  <si>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</si>
  <si>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</si>
  <si>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</si>
  <si>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</si>
  <si>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</si>
  <si>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</si>
  <si>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</si>
  <si>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</si>
  <si>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</si>
  <si>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</si>
  <si>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</si>
  <si>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</si>
  <si>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</si>
  <si>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</si>
  <si>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</si>
  <si>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</si>
  <si>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</si>
  <si>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</si>
  <si>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</si>
  <si>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</si>
  <si>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</si>
  <si>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</si>
  <si>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</si>
  <si>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</si>
  <si>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</si>
  <si>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</si>
  <si>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</si>
  <si>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</si>
  <si>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</si>
  <si>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</si>
  <si>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</si>
  <si>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</si>
  <si>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</si>
  <si>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</si>
  <si>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</si>
  <si>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</si>
  <si>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</si>
  <si>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</si>
  <si>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</si>
  <si>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</si>
  <si>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</si>
  <si>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</si>
  <si>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</si>
  <si>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</si>
  <si>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</si>
  <si>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</si>
  <si>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</si>
  <si>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</si>
  <si>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</si>
  <si>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</si>
  <si>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</si>
  <si>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</si>
  <si>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</si>
  <si>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</si>
  <si>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</si>
  <si>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</si>
  <si>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</si>
  <si>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</si>
  <si>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</si>
  <si>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</si>
  <si>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</si>
  <si>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</si>
  <si>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</si>
  <si>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</si>
  <si>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</si>
  <si>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</si>
  <si>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</si>
  <si>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</si>
  <si>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</si>
  <si>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</si>
  <si>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</si>
  <si>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</si>
  <si>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</si>
  <si>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</si>
  <si>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</si>
  <si>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</si>
  <si>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</si>
  <si>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</si>
  <si>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</si>
  <si>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</si>
  <si>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</si>
  <si>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</si>
  <si>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</si>
  <si>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</si>
  <si>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</si>
  <si>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</si>
  <si>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</si>
  <si>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</si>
  <si>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</si>
  <si>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</si>
  <si>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</si>
  <si>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</si>
  <si>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</si>
  <si>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</si>
  <si>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</si>
  <si>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</si>
  <si>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</si>
  <si>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</si>
  <si>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</si>
  <si>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</si>
  <si>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</si>
  <si>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</si>
  <si>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</si>
  <si>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</si>
  <si>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</si>
  <si>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</si>
  <si>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</si>
  <si>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</si>
  <si>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</si>
  <si>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</si>
  <si>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</si>
  <si>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</si>
  <si>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</si>
  <si>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</si>
  <si>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</si>
  <si>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</si>
  <si>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</si>
  <si>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</si>
  <si>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</si>
  <si>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</si>
  <si>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</si>
  <si>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</si>
  <si>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</si>
  <si>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</si>
  <si>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</si>
  <si>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</si>
  <si>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</si>
  <si>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</si>
  <si>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</si>
  <si>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</si>
  <si>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</si>
  <si>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</si>
  <si>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</si>
  <si>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</si>
  <si>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</si>
  <si>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</si>
  <si>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</si>
  <si>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</si>
  <si>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</si>
  <si>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</si>
  <si>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</si>
  <si>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</si>
  <si>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</si>
  <si>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</si>
  <si>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</si>
  <si>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</si>
  <si>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</si>
  <si>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</si>
  <si>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</si>
  <si>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</si>
  <si>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</si>
  <si>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</si>
  <si>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</si>
  <si>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</si>
  <si>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</si>
  <si>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</si>
  <si>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</si>
  <si>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</si>
  <si>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</si>
  <si>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</si>
  <si>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</si>
  <si>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</si>
  <si>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</si>
  <si>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</si>
  <si>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</si>
  <si>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</si>
  <si>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</si>
  <si>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</si>
  <si>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</si>
  <si>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</si>
  <si>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</si>
  <si>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</si>
  <si>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</si>
  <si>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</si>
  <si>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</si>
  <si>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</si>
  <si>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</si>
  <si>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</si>
  <si>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</si>
  <si>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</si>
  <si>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</si>
  <si>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</si>
  <si>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</si>
  <si>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</si>
  <si>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</si>
  <si>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</si>
  <si>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</si>
  <si>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</si>
  <si>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</si>
  <si>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</si>
  <si>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</si>
  <si>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</si>
  <si>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</si>
  <si>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</si>
  <si>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</si>
  <si>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</si>
  <si>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</si>
  <si>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</si>
  <si>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</si>
  <si>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</si>
  <si>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</si>
  <si>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</si>
  <si>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</si>
  <si>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</si>
  <si>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</si>
  <si>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</si>
  <si>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</si>
  <si>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</si>
  <si>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</si>
  <si>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</si>
  <si>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</si>
  <si>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</si>
  <si>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</si>
  <si>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</si>
  <si>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</si>
  <si>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</si>
  <si>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</si>
  <si>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</si>
  <si>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</si>
  <si>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</si>
  <si>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</si>
  <si>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</si>
  <si>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</si>
  <si>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</si>
  <si>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</si>
  <si>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</si>
  <si>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</si>
  <si>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</si>
  <si>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</si>
  <si>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</si>
  <si>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</si>
  <si>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</si>
  <si>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</si>
  <si>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</si>
  <si>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</si>
  <si>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</si>
  <si>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</si>
  <si>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</si>
  <si>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</si>
  <si>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</si>
  <si>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</si>
  <si>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</si>
  <si>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</si>
  <si>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</si>
  <si>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</si>
  <si>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</si>
  <si>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</si>
  <si>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</si>
  <si>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</si>
  <si>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</si>
  <si>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</si>
  <si>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</si>
  <si>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</si>
  <si>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</si>
  <si>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</si>
  <si>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</si>
  <si>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</si>
  <si>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</si>
  <si>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</si>
  <si>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</si>
  <si>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</si>
  <si>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</si>
  <si>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</si>
  <si>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</si>
  <si>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</si>
  <si>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</si>
  <si>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</si>
  <si>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</si>
  <si>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</si>
  <si>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</si>
  <si>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</si>
  <si>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</si>
  <si>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</si>
  <si>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</si>
  <si>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</si>
  <si>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</si>
  <si>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</si>
  <si>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</si>
  <si>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</si>
  <si>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</si>
  <si>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</si>
  <si>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</si>
  <si>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</si>
  <si>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</si>
  <si>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</si>
  <si>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</si>
  <si>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</si>
  <si>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</si>
  <si>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</si>
  <si>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</si>
  <si>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</si>
  <si>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</si>
  <si>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</si>
  <si>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</si>
  <si>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</si>
  <si>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</si>
  <si>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</si>
  <si>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</si>
  <si>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</si>
  <si>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</si>
  <si>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</si>
  <si>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</si>
  <si>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</si>
  <si>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</si>
  <si>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</si>
  <si>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</si>
  <si>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</si>
  <si>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</si>
  <si>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</si>
  <si>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</si>
  <si>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</si>
  <si>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</si>
  <si>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</si>
  <si>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</si>
  <si>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</si>
  <si>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</si>
  <si>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</si>
  <si>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</si>
  <si>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</si>
  <si>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</si>
  <si>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</si>
  <si>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</si>
  <si>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</si>
  <si>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</si>
  <si>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</si>
  <si>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</si>
  <si>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</si>
  <si>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</si>
  <si>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</si>
  <si>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</si>
  <si>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</si>
  <si>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</si>
  <si>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</si>
  <si>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</si>
  <si>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</si>
  <si>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</si>
  <si>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</si>
  <si>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</si>
  <si>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</si>
  <si>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</si>
  <si>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</si>
  <si>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</si>
  <si>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</si>
  <si>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</si>
  <si>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</si>
  <si>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</si>
  <si>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</si>
  <si>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</si>
  <si>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</si>
  <si>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</si>
  <si>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</si>
  <si>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</si>
  <si>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</si>
  <si>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</si>
  <si>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</si>
  <si>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</si>
  <si>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</si>
  <si>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</si>
  <si>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</si>
  <si>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</si>
  <si>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</si>
  <si>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</si>
  <si>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</si>
  <si>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</si>
  <si>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</si>
  <si>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</si>
  <si>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</si>
  <si>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</si>
  <si>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</si>
  <si>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</si>
  <si>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</si>
  <si>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FY17 addition was recorded in FY18 on GL. Therefore, FY18 fund equity was overstated on the DOE-25/MS-25.</t>
  </si>
  <si>
    <t>LANDAFF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</si>
</sst>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Normal="100" workbookViewId="0">
      <pane xSplit="5" ySplit="3" topLeftCell="F40" activePane="bottomRight" state="frozen"/>
      <selection pane="topRight" activeCell="F1" sqref="F1"/>
      <selection pane="bottomLeft" activeCell="A4" sqref="A4"/>
      <selection pane="bottomRight" activeCell="I669" sqref="I6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1611</v>
      </c>
      <c r="B2" s="21">
        <v>291</v>
      </c>
      <c r="C2" s="21">
        <v>291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24078.080000000002</v>
      </c>
      <c r="G9" s="18"/>
      <c r="H9" s="18"/>
      <c r="I9" s="18"/>
      <c r="J9" s="67">
        <f>SUM(I439)</f>
        <v>214878.43</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104327.23-42680.46</f>
        <v>61646.77</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1090.8</v>
      </c>
      <c r="G13" s="18"/>
      <c r="H13" s="18">
        <v>13961.42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f>2753.31+42680.46</f>
        <v>45433.77</v>
      </c>
      <c r="G14" s="18"/>
      <c r="H14" s="18"/>
      <c r="I14" s="18"/>
      <c r="J14" s="67">
        <f>SUM(I443)</f>
        <v>20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526.86</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132776.28</v>
      </c>
      <c r="G19" s="41">
        <f>SUM(G9:G18)</f>
        <v>0</v>
      </c>
      <c r="H19" s="41">
        <f>SUM(H9:H18)</f>
        <v>13961.42</v>
      </c>
      <c r="I19" s="41">
        <f>SUM(I9:I18)</f>
        <v>0</v>
      </c>
      <c r="J19" s="41">
        <f>SUM(J9:J18)</f>
        <v>214898.43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11646.77</v>
      </c>
      <c r="I22" s="18"/>
      <c r="J22" s="67">
        <f>SUM(I448)</f>
        <v>50000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76540.12</v>
      </c>
      <c r="G24" s="18"/>
      <c r="H24" s="18">
        <v>2314.65</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76540.12</v>
      </c>
      <c r="G32" s="41">
        <f>SUM(G22:G31)</f>
        <v>0</v>
      </c>
      <c r="H32" s="41">
        <f>SUM(H22:H31)</f>
        <v>13961.42</v>
      </c>
      <c r="I32" s="41">
        <f>SUM(I22:I31)</f>
        <v>0</v>
      </c>
      <c r="J32" s="41">
        <f>SUM(J22:J31)</f>
        <v>50000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526.86</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164898.43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55709.3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56236.160000000003</v>
      </c>
      <c r="G51" s="41">
        <f>SUM(G35:G50)</f>
        <v>0</v>
      </c>
      <c r="H51" s="41">
        <f>SUM(H35:H50)</f>
        <v>0</v>
      </c>
      <c r="I51" s="41">
        <f>SUM(I35:I50)</f>
        <v>0</v>
      </c>
      <c r="J51" s="41">
        <f>SUM(J35:J50)</f>
        <v>164898.43</v>
      </c>
      <c r="K51" s="45" t="s">
        <v>288</v>
      </c>
      <c r="L51" s="45" t="s">
        <v>288</v>
      </c>
      <c r="N51" s="264"/>
    </row>
    <row r="52" spans="1:14" s="3" customFormat="1" ht="12.2" customHeight="1" thickTop="1" x14ac:dyDescent="0.15">
      <c r="A52" s="38" t="s">
        <v>455</v>
      </c>
      <c r="B52" s="39" t="s">
        <v>289</v>
      </c>
      <c r="C52" s="6">
        <v>37</v>
      </c>
      <c r="D52" s="39" t="s">
        <v>653</v>
      </c>
      <c r="E52" s="39"/>
      <c r="F52" s="41">
        <f>F51+F32</f>
        <v>132776.28</v>
      </c>
      <c r="G52" s="41">
        <f>G51+G32</f>
        <v>0</v>
      </c>
      <c r="H52" s="41">
        <f>H51+H32</f>
        <v>13961.42</v>
      </c>
      <c r="I52" s="41">
        <f>I51+I32</f>
        <v>0</v>
      </c>
      <c r="J52" s="41">
        <f>J51+J32</f>
        <v>214898.43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600045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600045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2075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9175</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11250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88.09</v>
      </c>
      <c r="G96" s="18"/>
      <c r="H96" s="18"/>
      <c r="I96" s="18"/>
      <c r="J96" s="18">
        <v>740.08</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50000</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45761.79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95849.88</v>
      </c>
      <c r="G111" s="41">
        <f>SUM(G96:G110)</f>
        <v>0</v>
      </c>
      <c r="H111" s="41">
        <f>SUM(H96:H110)</f>
        <v>0</v>
      </c>
      <c r="I111" s="41">
        <f>SUM(I96:I110)</f>
        <v>0</v>
      </c>
      <c r="J111" s="41">
        <f>SUM(J96:J110)</f>
        <v>740.08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707144.88</v>
      </c>
      <c r="G112" s="41">
        <f>G60+G111</f>
        <v>0</v>
      </c>
      <c r="H112" s="41">
        <f>H60+H79+H94+H111</f>
        <v>0</v>
      </c>
      <c r="I112" s="41">
        <f>I60+I111</f>
        <v>0</v>
      </c>
      <c r="J112" s="41">
        <f>J60+J111</f>
        <v>740.08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161372.03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105947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267319.03000000003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3300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5862.7</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9162.7000000000007</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276481.73000000004</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11423.43</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11423.43</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9200</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5823.47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9669.15</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9669.15</v>
      </c>
      <c r="G162" s="41">
        <f>SUM(G150:G161)</f>
        <v>0</v>
      </c>
      <c r="H162" s="41">
        <f>SUM(H150:H161)</f>
        <v>15023.470000000001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2407.21</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12076.36</v>
      </c>
      <c r="G169" s="41">
        <f>G147+G162+SUM(G163:G168)</f>
        <v>0</v>
      </c>
      <c r="H169" s="41">
        <f>H147+H162+SUM(H163:H168)</f>
        <v>26446.9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55862.7</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55862.7</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55862.7</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1051565.6700000002</v>
      </c>
      <c r="G193" s="47">
        <f>G112+G140+G169+G192</f>
        <v>0</v>
      </c>
      <c r="H193" s="47">
        <f>H112+H140+H169+H192</f>
        <v>26446.9</v>
      </c>
      <c r="I193" s="47">
        <f>I112+I140+I169+I192</f>
        <v>0</v>
      </c>
      <c r="J193" s="47">
        <f>J112+J140+J192</f>
        <v>740.08</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108562.51</v>
      </c>
      <c r="G197" s="18">
        <v>26616.68</v>
      </c>
      <c r="H197" s="18">
        <v>152716.04999999999</v>
      </c>
      <c r="I197" s="18">
        <v>3065.33</v>
      </c>
      <c r="J197" s="18"/>
      <c r="K197" s="18"/>
      <c r="L197" s="19">
        <f>SUM(F197:K197)</f>
        <v>290960.57</v>
      </c>
      <c r="M197" s="8"/>
      <c r="N197" s="266"/>
    </row>
    <row r="198" spans="1:14" s="3" customFormat="1" ht="12.2" customHeight="1" x14ac:dyDescent="0.15">
      <c r="A198" s="1" t="s">
        <v>439</v>
      </c>
      <c r="B198" s="2" t="s">
        <v>341</v>
      </c>
      <c r="C198" s="2" t="s">
        <v>291</v>
      </c>
      <c r="D198" s="2" t="s">
        <v>431</v>
      </c>
      <c r="E198" s="6">
        <v>1200</v>
      </c>
      <c r="F198" s="18">
        <v>30</v>
      </c>
      <c r="G198" s="18"/>
      <c r="H198" s="18">
        <v>96970.41</v>
      </c>
      <c r="I198" s="18">
        <v>265.43</v>
      </c>
      <c r="J198" s="18">
        <v>200</v>
      </c>
      <c r="K198" s="18"/>
      <c r="L198" s="19">
        <f>SUM(F198:K198)</f>
        <v>97465.84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v>748</v>
      </c>
      <c r="J200" s="18"/>
      <c r="K200" s="18"/>
      <c r="L200" s="19">
        <f>SUM(F200:K200)</f>
        <v>748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3280.47</v>
      </c>
      <c r="G202" s="18">
        <v>251.04</v>
      </c>
      <c r="H202" s="18">
        <v>35937.980000000003</v>
      </c>
      <c r="I202" s="18"/>
      <c r="J202" s="18"/>
      <c r="K202" s="18"/>
      <c r="L202" s="19">
        <f t="shared" ref="L202:L208" si="0">SUM(F202:K202)</f>
        <v>39469.490000000005</v>
      </c>
      <c r="M202" s="8"/>
      <c r="N202" s="266"/>
    </row>
    <row r="203" spans="1:14" s="3" customFormat="1" ht="12.2" customHeight="1" x14ac:dyDescent="0.15">
      <c r="A203" s="1" t="s">
        <v>443</v>
      </c>
      <c r="B203" s="2" t="s">
        <v>341</v>
      </c>
      <c r="C203" s="2" t="s">
        <v>295</v>
      </c>
      <c r="D203" s="2" t="s">
        <v>431</v>
      </c>
      <c r="E203" s="6">
        <v>2200</v>
      </c>
      <c r="F203" s="18"/>
      <c r="G203" s="18"/>
      <c r="H203" s="18">
        <v>296.89</v>
      </c>
      <c r="I203" s="18"/>
      <c r="J203" s="18"/>
      <c r="K203" s="18"/>
      <c r="L203" s="19">
        <f t="shared" si="0"/>
        <v>296.89</v>
      </c>
      <c r="M203" s="8"/>
      <c r="N203" s="266"/>
    </row>
    <row r="204" spans="1:14" s="3" customFormat="1" ht="12.2" customHeight="1" x14ac:dyDescent="0.15">
      <c r="A204" s="1" t="s">
        <v>444</v>
      </c>
      <c r="B204" s="2" t="s">
        <v>341</v>
      </c>
      <c r="C204" s="2" t="s">
        <v>296</v>
      </c>
      <c r="D204" s="2" t="s">
        <v>431</v>
      </c>
      <c r="E204" s="6">
        <v>2300</v>
      </c>
      <c r="F204" s="18">
        <v>545.14</v>
      </c>
      <c r="G204" s="18">
        <v>41.71</v>
      </c>
      <c r="H204" s="18">
        <v>15720.08</v>
      </c>
      <c r="I204" s="18"/>
      <c r="J204" s="18"/>
      <c r="K204" s="18"/>
      <c r="L204" s="19">
        <f t="shared" si="0"/>
        <v>16306.93</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225</v>
      </c>
      <c r="G207" s="18">
        <v>17.22</v>
      </c>
      <c r="H207" s="18">
        <f>14331.25</f>
        <v>14331.25</v>
      </c>
      <c r="I207" s="18">
        <v>12598.84</v>
      </c>
      <c r="J207" s="18">
        <v>2715.55</v>
      </c>
      <c r="K207" s="18"/>
      <c r="L207" s="19">
        <f t="shared" si="0"/>
        <v>29887.859999999997</v>
      </c>
      <c r="M207" s="8"/>
      <c r="N207" s="266"/>
    </row>
    <row r="208" spans="1:14" s="3" customFormat="1" ht="12.2" customHeight="1" x14ac:dyDescent="0.15">
      <c r="A208" s="1" t="s">
        <v>448</v>
      </c>
      <c r="B208" s="2" t="s">
        <v>341</v>
      </c>
      <c r="C208" s="2" t="s">
        <v>300</v>
      </c>
      <c r="D208" s="2" t="s">
        <v>431</v>
      </c>
      <c r="E208" s="6">
        <v>2700</v>
      </c>
      <c r="F208" s="18"/>
      <c r="G208" s="18"/>
      <c r="H208" s="18">
        <f>14093.16+25+3150</f>
        <v>17268.16</v>
      </c>
      <c r="I208" s="18"/>
      <c r="J208" s="18"/>
      <c r="K208" s="18"/>
      <c r="L208" s="19">
        <f t="shared" si="0"/>
        <v>17268.16</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112643.12</v>
      </c>
      <c r="G211" s="41">
        <f t="shared" si="1"/>
        <v>26926.65</v>
      </c>
      <c r="H211" s="41">
        <f t="shared" si="1"/>
        <v>333240.82</v>
      </c>
      <c r="I211" s="41">
        <f t="shared" si="1"/>
        <v>16677.599999999999</v>
      </c>
      <c r="J211" s="41">
        <f t="shared" si="1"/>
        <v>2915.55</v>
      </c>
      <c r="K211" s="41">
        <f t="shared" si="1"/>
        <v>0</v>
      </c>
      <c r="L211" s="41">
        <f t="shared" si="1"/>
        <v>492403.74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144398.53</v>
      </c>
      <c r="I215" s="18"/>
      <c r="J215" s="18"/>
      <c r="K215" s="18"/>
      <c r="L215" s="19">
        <f>SUM(F215:K215)</f>
        <v>144398.53</v>
      </c>
      <c r="M215" s="8"/>
      <c r="N215" s="266"/>
    </row>
    <row r="216" spans="1:14" s="3" customFormat="1" ht="12.2" customHeight="1" x14ac:dyDescent="0.15">
      <c r="A216" s="1" t="s">
        <v>439</v>
      </c>
      <c r="B216" s="2" t="s">
        <v>346</v>
      </c>
      <c r="C216" s="2" t="s">
        <v>291</v>
      </c>
      <c r="D216" s="2" t="s">
        <v>431</v>
      </c>
      <c r="E216" s="6">
        <v>1200</v>
      </c>
      <c r="F216" s="18"/>
      <c r="G216" s="18"/>
      <c r="H216" s="18">
        <v>2013.27</v>
      </c>
      <c r="I216" s="18"/>
      <c r="J216" s="18"/>
      <c r="K216" s="18"/>
      <c r="L216" s="19">
        <f>SUM(F216:K216)</f>
        <v>2013.27</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v>454.28</v>
      </c>
      <c r="G222" s="18">
        <v>34.76</v>
      </c>
      <c r="H222" s="18">
        <v>13100.05</v>
      </c>
      <c r="I222" s="18"/>
      <c r="J222" s="18"/>
      <c r="K222" s="18"/>
      <c r="L222" s="19">
        <f t="shared" si="2"/>
        <v>13589.09</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11744.29</v>
      </c>
      <c r="I226" s="18"/>
      <c r="J226" s="18"/>
      <c r="K226" s="18"/>
      <c r="L226" s="19">
        <f t="shared" si="2"/>
        <v>11744.29</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454.28</v>
      </c>
      <c r="G229" s="41">
        <f>SUM(G215:G228)</f>
        <v>34.76</v>
      </c>
      <c r="H229" s="41">
        <f>SUM(H215:H228)</f>
        <v>171256.13999999998</v>
      </c>
      <c r="I229" s="41">
        <f>SUM(I215:I228)</f>
        <v>0</v>
      </c>
      <c r="J229" s="41">
        <f>SUM(J215:J228)</f>
        <v>0</v>
      </c>
      <c r="K229" s="41">
        <f t="shared" si="3"/>
        <v>0</v>
      </c>
      <c r="L229" s="41">
        <f t="shared" si="3"/>
        <v>171745.18</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216480.65</v>
      </c>
      <c r="I233" s="18"/>
      <c r="J233" s="18"/>
      <c r="K233" s="18"/>
      <c r="L233" s="19">
        <f>SUM(F233:K233)</f>
        <v>216480.65</v>
      </c>
      <c r="M233" s="8"/>
      <c r="N233" s="266"/>
    </row>
    <row r="234" spans="1:14" s="3" customFormat="1" ht="12.2" customHeight="1" x14ac:dyDescent="0.15">
      <c r="A234" s="1" t="s">
        <v>439</v>
      </c>
      <c r="B234" s="2" t="s">
        <v>350</v>
      </c>
      <c r="C234" s="2" t="s">
        <v>291</v>
      </c>
      <c r="D234" s="2" t="s">
        <v>431</v>
      </c>
      <c r="E234" s="6">
        <v>1200</v>
      </c>
      <c r="F234" s="18"/>
      <c r="G234" s="18"/>
      <c r="H234" s="18">
        <v>126914.32</v>
      </c>
      <c r="I234" s="18"/>
      <c r="J234" s="18"/>
      <c r="K234" s="18"/>
      <c r="L234" s="19">
        <f>SUM(F234:K234)</f>
        <v>126914.32</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590.58000000000004</v>
      </c>
      <c r="G240" s="18">
        <v>45.17</v>
      </c>
      <c r="H240" s="18">
        <v>17030.080000000002</v>
      </c>
      <c r="I240" s="18"/>
      <c r="J240" s="18"/>
      <c r="K240" s="18"/>
      <c r="L240" s="19">
        <f t="shared" si="4"/>
        <v>17665.830000000002</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f>16663.97+1443.82</f>
        <v>18107.79</v>
      </c>
      <c r="I244" s="18"/>
      <c r="J244" s="18"/>
      <c r="K244" s="18"/>
      <c r="L244" s="19">
        <f t="shared" si="4"/>
        <v>18107.79</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590.58000000000004</v>
      </c>
      <c r="G247" s="41">
        <f t="shared" si="5"/>
        <v>45.17</v>
      </c>
      <c r="H247" s="41">
        <f t="shared" si="5"/>
        <v>378532.83999999997</v>
      </c>
      <c r="I247" s="41">
        <f t="shared" si="5"/>
        <v>0</v>
      </c>
      <c r="J247" s="41">
        <f t="shared" si="5"/>
        <v>0</v>
      </c>
      <c r="K247" s="41">
        <f t="shared" si="5"/>
        <v>0</v>
      </c>
      <c r="L247" s="41">
        <f t="shared" si="5"/>
        <v>379168.58999999997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v>58627</v>
      </c>
      <c r="K255" s="18"/>
      <c r="L255" s="19">
        <f t="shared" si="6"/>
        <v>58627</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58627</v>
      </c>
      <c r="K256" s="41">
        <f t="shared" si="7"/>
        <v>0</v>
      </c>
      <c r="L256" s="41">
        <f>SUM(F256:K256)</f>
        <v>58627</v>
      </c>
      <c r="M256" s="8"/>
      <c r="N256" s="266"/>
    </row>
    <row r="257" spans="1:14" s="3" customFormat="1" ht="12.2" customHeight="1" thickTop="1" x14ac:dyDescent="0.15">
      <c r="A257" s="38" t="s">
        <v>462</v>
      </c>
      <c r="B257" s="40">
        <v>10</v>
      </c>
      <c r="C257" s="40">
        <v>8</v>
      </c>
      <c r="D257" s="39" t="s">
        <v>431</v>
      </c>
      <c r="E257" s="40"/>
      <c r="F257" s="41">
        <f t="shared" ref="F257:L257" si="8">F211+F229+F247+F256</f>
        <v>113687.98</v>
      </c>
      <c r="G257" s="41">
        <f t="shared" si="8"/>
        <v>27006.579999999998</v>
      </c>
      <c r="H257" s="41">
        <f t="shared" si="8"/>
        <v>883029.79999999993</v>
      </c>
      <c r="I257" s="41">
        <f t="shared" si="8"/>
        <v>16677.599999999999</v>
      </c>
      <c r="J257" s="41">
        <f t="shared" si="8"/>
        <v>61542.55</v>
      </c>
      <c r="K257" s="41">
        <f t="shared" si="8"/>
        <v>0</v>
      </c>
      <c r="L257" s="41">
        <f t="shared" si="8"/>
        <v>1101944.5099999998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0</v>
      </c>
      <c r="L270" s="41">
        <f t="shared" si="9"/>
        <v>0</v>
      </c>
      <c r="N270" s="264"/>
    </row>
    <row r="271" spans="1:14" s="3" customFormat="1" ht="12.2" customHeight="1" thickTop="1" x14ac:dyDescent="0.2">
      <c r="A271" s="43" t="s">
        <v>464</v>
      </c>
      <c r="B271" s="40">
        <v>10</v>
      </c>
      <c r="C271" s="40">
        <v>18</v>
      </c>
      <c r="D271" s="39" t="s">
        <v>431</v>
      </c>
      <c r="E271" s="40"/>
      <c r="F271" s="42">
        <f t="shared" ref="F271:L271" si="11">F257+F270</f>
        <v>113687.98</v>
      </c>
      <c r="G271" s="42">
        <f t="shared" si="11"/>
        <v>27006.579999999998</v>
      </c>
      <c r="H271" s="42">
        <f t="shared" si="11"/>
        <v>883029.79999999993</v>
      </c>
      <c r="I271" s="42">
        <f t="shared" si="11"/>
        <v>16677.599999999999</v>
      </c>
      <c r="J271" s="42">
        <f t="shared" si="11"/>
        <v>61542.55</v>
      </c>
      <c r="K271" s="42">
        <f t="shared" si="11"/>
        <v>0</v>
      </c>
      <c r="L271" s="42">
        <f t="shared" si="11"/>
        <v>1101944.5099999998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2051</v>
      </c>
      <c r="G276" s="18">
        <v>156.97</v>
      </c>
      <c r="H276" s="18">
        <v>1722.84</v>
      </c>
      <c r="I276" s="18">
        <v>7070.64</v>
      </c>
      <c r="J276" s="18">
        <v>421.98</v>
      </c>
      <c r="K276" s="18"/>
      <c r="L276" s="19">
        <f>SUM(F276:K276)</f>
        <v>11423.43</v>
      </c>
      <c r="M276" s="8"/>
      <c r="N276" s="266"/>
    </row>
    <row r="277" spans="1:14" s="3" customFormat="1" ht="12.2" customHeight="1" x14ac:dyDescent="0.15">
      <c r="A277" s="1" t="s">
        <v>439</v>
      </c>
      <c r="B277" s="2" t="s">
        <v>357</v>
      </c>
      <c r="C277" s="2" t="s">
        <v>291</v>
      </c>
      <c r="D277" s="2" t="s">
        <v>431</v>
      </c>
      <c r="E277" s="6">
        <v>1200</v>
      </c>
      <c r="F277" s="18">
        <v>735.62</v>
      </c>
      <c r="G277" s="18">
        <v>71.55</v>
      </c>
      <c r="H277" s="18"/>
      <c r="I277" s="18"/>
      <c r="J277" s="18"/>
      <c r="K277" s="18"/>
      <c r="L277" s="19">
        <f>SUM(F277:K277)</f>
        <v>807.17</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9200</v>
      </c>
      <c r="I281" s="18"/>
      <c r="J281" s="18"/>
      <c r="K281" s="18"/>
      <c r="L281" s="19">
        <f t="shared" ref="L281:L287" si="12">SUM(F281:K281)</f>
        <v>9200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v>6.81</v>
      </c>
      <c r="L282" s="19">
        <f t="shared" si="12"/>
        <v>6.81</v>
      </c>
      <c r="M282" s="8"/>
      <c r="N282" s="266"/>
    </row>
    <row r="283" spans="1:14" s="3" customFormat="1" ht="12.2" customHeight="1" x14ac:dyDescent="0.15">
      <c r="A283" s="1" t="s">
        <v>444</v>
      </c>
      <c r="B283" s="2" t="s">
        <v>357</v>
      </c>
      <c r="C283" s="2" t="s">
        <v>296</v>
      </c>
      <c r="D283" s="2" t="s">
        <v>431</v>
      </c>
      <c r="E283" s="6">
        <v>2300</v>
      </c>
      <c r="F283" s="18">
        <v>3991.38</v>
      </c>
      <c r="G283" s="18">
        <v>1004.72</v>
      </c>
      <c r="H283" s="18"/>
      <c r="I283" s="18"/>
      <c r="J283" s="18"/>
      <c r="K283" s="18">
        <v>13.39</v>
      </c>
      <c r="L283" s="19">
        <f t="shared" si="12"/>
        <v>5009.4900000000007</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6778</v>
      </c>
      <c r="G290" s="42">
        <f t="shared" si="13"/>
        <v>1233.24</v>
      </c>
      <c r="H290" s="42">
        <f t="shared" si="13"/>
        <v>10922.84</v>
      </c>
      <c r="I290" s="42">
        <f t="shared" si="13"/>
        <v>7070.64</v>
      </c>
      <c r="J290" s="42">
        <f t="shared" si="13"/>
        <v>421.98</v>
      </c>
      <c r="K290" s="42">
        <f t="shared" si="13"/>
        <v>20.2</v>
      </c>
      <c r="L290" s="41">
        <f t="shared" si="13"/>
        <v>26446.9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6778</v>
      </c>
      <c r="G338" s="41">
        <f t="shared" si="20"/>
        <v>1233.24</v>
      </c>
      <c r="H338" s="41">
        <f t="shared" si="20"/>
        <v>10922.84</v>
      </c>
      <c r="I338" s="41">
        <f t="shared" si="20"/>
        <v>7070.64</v>
      </c>
      <c r="J338" s="41">
        <f t="shared" si="20"/>
        <v>421.98</v>
      </c>
      <c r="K338" s="41">
        <f t="shared" si="20"/>
        <v>20.2</v>
      </c>
      <c r="L338" s="41">
        <f t="shared" si="20"/>
        <v>26446.9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6778</v>
      </c>
      <c r="G352" s="41">
        <f>G338</f>
        <v>1233.24</v>
      </c>
      <c r="H352" s="41">
        <f>H338</f>
        <v>10922.84</v>
      </c>
      <c r="I352" s="41">
        <f>I338</f>
        <v>7070.64</v>
      </c>
      <c r="J352" s="41">
        <f>J338</f>
        <v>421.98</v>
      </c>
      <c r="K352" s="47">
        <f>K338+K351</f>
        <v>20.2</v>
      </c>
      <c r="L352" s="41">
        <f>L338+L351</f>
        <v>26446.9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v>195.04</v>
      </c>
      <c r="I392" s="18"/>
      <c r="J392" s="24" t="s">
        <v>288</v>
      </c>
      <c r="K392" s="24" t="s">
        <v>288</v>
      </c>
      <c r="L392" s="56">
        <f t="shared" si="25"/>
        <v>195.04</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195.04</v>
      </c>
      <c r="I393" s="65">
        <f>SUM(I387:I392)</f>
        <v>0</v>
      </c>
      <c r="J393" s="45" t="s">
        <v>288</v>
      </c>
      <c r="K393" s="45" t="s">
        <v>288</v>
      </c>
      <c r="L393" s="47">
        <f>SUM(L387:L392)</f>
        <v>195.04</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545.04</v>
      </c>
      <c r="I396" s="18"/>
      <c r="J396" s="24" t="s">
        <v>288</v>
      </c>
      <c r="K396" s="24" t="s">
        <v>288</v>
      </c>
      <c r="L396" s="56">
        <f t="shared" si="26"/>
        <v>545.04</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545.04</v>
      </c>
      <c r="I401" s="47">
        <f>SUM(I395:I400)</f>
        <v>0</v>
      </c>
      <c r="J401" s="45" t="s">
        <v>288</v>
      </c>
      <c r="K401" s="45" t="s">
        <v>288</v>
      </c>
      <c r="L401" s="47">
        <f>SUM(L395:L400)</f>
        <v>545.04</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740.07999999999993</v>
      </c>
      <c r="I408" s="47">
        <f>I393+I401+I407</f>
        <v>0</v>
      </c>
      <c r="J408" s="24" t="s">
        <v>288</v>
      </c>
      <c r="K408" s="24" t="s">
        <v>288</v>
      </c>
      <c r="L408" s="47">
        <f>L393+L401+L407</f>
        <v>740.07999999999993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v>55862.7</v>
      </c>
      <c r="L418" s="56">
        <f t="shared" si="27"/>
        <v>55862.7</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55862.7</v>
      </c>
      <c r="L419" s="47">
        <f t="shared" si="28"/>
        <v>55862.7</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55862.7</v>
      </c>
      <c r="L434" s="47">
        <f t="shared" si="32"/>
        <v>55862.7</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f>131681.16+4152.25</f>
        <v>135833.41</v>
      </c>
      <c r="G439" s="18">
        <v>79045.02</v>
      </c>
      <c r="H439" s="18"/>
      <c r="I439" s="56">
        <f t="shared" ref="I439:I445" si="33">SUM(F439:H439)</f>
        <v>214878.43</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v>20</v>
      </c>
      <c r="G443" s="18"/>
      <c r="H443" s="18"/>
      <c r="I443" s="56">
        <f t="shared" si="33"/>
        <v>20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135853.41</v>
      </c>
      <c r="G446" s="13">
        <f>SUM(G439:G445)</f>
        <v>79045.02</v>
      </c>
      <c r="H446" s="13">
        <f>SUM(H439:H445)</f>
        <v>0</v>
      </c>
      <c r="I446" s="13">
        <f>SUM(I439:I445)</f>
        <v>214898.43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v>50000</v>
      </c>
      <c r="G448" s="18"/>
      <c r="H448" s="18"/>
      <c r="I448" s="56">
        <f>SUM(F448:H448)</f>
        <v>50000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50000</v>
      </c>
      <c r="G452" s="72">
        <f>SUM(G448:G451)</f>
        <v>0</v>
      </c>
      <c r="H452" s="72">
        <f>SUM(H448:H451)</f>
        <v>0</v>
      </c>
      <c r="I452" s="72">
        <f>SUM(I448:I451)</f>
        <v>50000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f>135853.41-50000</f>
        <v>85853.41</v>
      </c>
      <c r="G459" s="18">
        <v>79045.02</v>
      </c>
      <c r="H459" s="18"/>
      <c r="I459" s="56">
        <f t="shared" si="34"/>
        <v>164898.43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85853.41</v>
      </c>
      <c r="G460" s="83">
        <f>SUM(G454:G459)</f>
        <v>79045.02</v>
      </c>
      <c r="H460" s="83">
        <f>SUM(H454:H459)</f>
        <v>0</v>
      </c>
      <c r="I460" s="83">
        <f>SUM(I454:I459)</f>
        <v>164898.43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135853.41</v>
      </c>
      <c r="G461" s="42">
        <f>G452+G460</f>
        <v>79045.02</v>
      </c>
      <c r="H461" s="42">
        <f>H452+H460</f>
        <v>0</v>
      </c>
      <c r="I461" s="42">
        <f>I452+I460</f>
        <v>214898.43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106615</v>
      </c>
      <c r="G465" s="18"/>
      <c r="H465" s="18"/>
      <c r="I465" s="18"/>
      <c r="J465" s="18">
        <f>80999.98+131504.35+10016.72</f>
        <v>222521.05000000002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1051565.67</v>
      </c>
      <c r="G468" s="18"/>
      <c r="H468" s="18">
        <v>26446.9</v>
      </c>
      <c r="I468" s="18"/>
      <c r="J468" s="18">
        <v>740.08</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1051565.67</v>
      </c>
      <c r="G470" s="53">
        <f>SUM(G468:G469)</f>
        <v>0</v>
      </c>
      <c r="H470" s="53">
        <f>SUM(H468:H469)</f>
        <v>26446.9</v>
      </c>
      <c r="I470" s="53">
        <f>SUM(I468:I469)</f>
        <v>0</v>
      </c>
      <c r="J470" s="53">
        <f>SUM(J468:J469)</f>
        <v>740.08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1101944.51</v>
      </c>
      <c r="G472" s="18"/>
      <c r="H472" s="18">
        <v>26446.9</v>
      </c>
      <c r="I472" s="18"/>
      <c r="J472" s="18">
        <v>55862.7</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v>2500</v>
      </c>
      <c r="K473" s="24" t="s">
        <v>288</v>
      </c>
      <c r="L473" s="24" t="s">
        <v>288</v>
      </c>
      <c r="N473" s="265"/>
    </row>
    <row r="474" spans="1:14" s="52" customFormat="1" ht="12.2" customHeight="1" x14ac:dyDescent="0.2">
      <c r="A474" s="92" t="s">
        <v>426</v>
      </c>
      <c r="B474" s="75">
        <v>19</v>
      </c>
      <c r="C474" s="80">
        <v>7</v>
      </c>
      <c r="D474" s="2" t="s">
        <v>432</v>
      </c>
      <c r="E474" s="80"/>
      <c r="F474" s="53">
        <f>SUM(F472:F473)</f>
        <v>1101944.51</v>
      </c>
      <c r="G474" s="53">
        <f>SUM(G472:G473)</f>
        <v>0</v>
      </c>
      <c r="H474" s="53">
        <f>SUM(H472:H473)</f>
        <v>26446.9</v>
      </c>
      <c r="I474" s="53">
        <f>SUM(I472:I473)</f>
        <v>0</v>
      </c>
      <c r="J474" s="53">
        <f>SUM(J472:J473)</f>
        <v>58362.7</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56236.159999999916</v>
      </c>
      <c r="G476" s="53">
        <f>(G465+G470)- G474</f>
        <v>0</v>
      </c>
      <c r="H476" s="53">
        <f>(H465+H470)- H474</f>
        <v>0</v>
      </c>
      <c r="I476" s="53">
        <f>(I465+I470)- I474</f>
        <v>0</v>
      </c>
      <c r="J476" s="53">
        <f>(J465+J470)- J474</f>
        <v>164898.43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1610</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765.62</v>
      </c>
      <c r="G521" s="18">
        <v>71.55</v>
      </c>
      <c r="H521" s="18">
        <v>96970.41</v>
      </c>
      <c r="I521" s="18">
        <v>265.43</v>
      </c>
      <c r="J521" s="18">
        <v>200</v>
      </c>
      <c r="K521" s="18"/>
      <c r="L521" s="88">
        <f>SUM(F521:K521)</f>
        <v>98273.01</v>
      </c>
      <c r="N521" s="265"/>
    </row>
    <row r="522" spans="1:14" s="52" customFormat="1" ht="12.2" customHeight="1" x14ac:dyDescent="0.2">
      <c r="A522" s="22" t="s">
        <v>634</v>
      </c>
      <c r="B522" s="105">
        <v>21</v>
      </c>
      <c r="C522" s="115">
        <v>2</v>
      </c>
      <c r="D522" s="2" t="s">
        <v>432</v>
      </c>
      <c r="E522" s="115"/>
      <c r="F522" s="18"/>
      <c r="G522" s="18"/>
      <c r="H522" s="18">
        <v>2013.27</v>
      </c>
      <c r="I522" s="18"/>
      <c r="J522" s="18"/>
      <c r="K522" s="18"/>
      <c r="L522" s="88">
        <f>SUM(F522:K522)</f>
        <v>2013.27</v>
      </c>
      <c r="N522" s="265"/>
    </row>
    <row r="523" spans="1:14" s="52" customFormat="1" ht="12.2" customHeight="1" thickBot="1" x14ac:dyDescent="0.25">
      <c r="A523" s="22" t="s">
        <v>635</v>
      </c>
      <c r="B523" s="105">
        <v>21</v>
      </c>
      <c r="C523" s="115">
        <v>3</v>
      </c>
      <c r="D523" s="2" t="s">
        <v>432</v>
      </c>
      <c r="E523" s="115"/>
      <c r="F523" s="18"/>
      <c r="G523" s="18"/>
      <c r="H523" s="18">
        <v>126914.32</v>
      </c>
      <c r="I523" s="18"/>
      <c r="J523" s="18"/>
      <c r="K523" s="18"/>
      <c r="L523" s="88">
        <f>SUM(F523:K523)</f>
        <v>126914.32</v>
      </c>
      <c r="N523" s="265"/>
    </row>
    <row r="524" spans="1:14" s="52" customFormat="1" ht="12.2" customHeight="1" thickTop="1" x14ac:dyDescent="0.2">
      <c r="A524" s="139" t="s">
        <v>63</v>
      </c>
      <c r="B524" s="107">
        <v>21</v>
      </c>
      <c r="C524" s="195">
        <v>4</v>
      </c>
      <c r="D524" s="196" t="s">
        <v>432</v>
      </c>
      <c r="E524" s="195"/>
      <c r="F524" s="108">
        <f>SUM(F521:F523)</f>
        <v>765.62</v>
      </c>
      <c r="G524" s="108">
        <f t="shared" ref="G524:L524" si="36">SUM(G521:G523)</f>
        <v>71.55</v>
      </c>
      <c r="H524" s="108">
        <f t="shared" si="36"/>
        <v>225898</v>
      </c>
      <c r="I524" s="108">
        <f t="shared" si="36"/>
        <v>265.43</v>
      </c>
      <c r="J524" s="108">
        <f t="shared" si="36"/>
        <v>200</v>
      </c>
      <c r="K524" s="108">
        <f t="shared" si="36"/>
        <v>0</v>
      </c>
      <c r="L524" s="89">
        <f t="shared" si="36"/>
        <v>227200.6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35937.980000000003</v>
      </c>
      <c r="I526" s="18"/>
      <c r="J526" s="18"/>
      <c r="K526" s="18"/>
      <c r="L526" s="88">
        <f>SUM(F526:K526)</f>
        <v>35937.980000000003</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35937.980000000003</v>
      </c>
      <c r="I529" s="89">
        <f t="shared" si="37"/>
        <v>0</v>
      </c>
      <c r="J529" s="89">
        <f t="shared" si="37"/>
        <v>0</v>
      </c>
      <c r="K529" s="89">
        <f t="shared" si="37"/>
        <v>0</v>
      </c>
      <c r="L529" s="89">
        <f t="shared" si="37"/>
        <v>35937.980000000003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545.14</v>
      </c>
      <c r="G531" s="18">
        <v>41.7</v>
      </c>
      <c r="H531" s="18">
        <v>14968.91</v>
      </c>
      <c r="I531" s="18"/>
      <c r="J531" s="18"/>
      <c r="K531" s="18"/>
      <c r="L531" s="88">
        <f>SUM(F531:K531)</f>
        <v>15555.75</v>
      </c>
      <c r="M531" s="8"/>
      <c r="N531" s="266"/>
    </row>
    <row r="532" spans="1:14" s="3" customFormat="1" ht="12.2" customHeight="1" x14ac:dyDescent="0.15">
      <c r="A532" s="22" t="s">
        <v>634</v>
      </c>
      <c r="B532" s="105">
        <v>21</v>
      </c>
      <c r="C532" s="105">
        <v>10</v>
      </c>
      <c r="D532" s="2" t="s">
        <v>432</v>
      </c>
      <c r="E532" s="105"/>
      <c r="F532" s="18">
        <v>454.28</v>
      </c>
      <c r="G532" s="18">
        <v>34.76</v>
      </c>
      <c r="H532" s="18">
        <v>12474.08</v>
      </c>
      <c r="I532" s="18"/>
      <c r="J532" s="18"/>
      <c r="K532" s="18"/>
      <c r="L532" s="88">
        <f>SUM(F532:K532)</f>
        <v>12963.119999999999</v>
      </c>
      <c r="M532" s="8"/>
      <c r="N532" s="266"/>
    </row>
    <row r="533" spans="1:14" s="3" customFormat="1" ht="12.2" customHeight="1" thickBot="1" x14ac:dyDescent="0.2">
      <c r="A533" s="22" t="s">
        <v>635</v>
      </c>
      <c r="B533" s="105">
        <v>21</v>
      </c>
      <c r="C533" s="105">
        <v>11</v>
      </c>
      <c r="D533" s="2" t="s">
        <v>432</v>
      </c>
      <c r="E533" s="105"/>
      <c r="F533" s="18">
        <v>590.58000000000004</v>
      </c>
      <c r="G533" s="18">
        <v>45.17</v>
      </c>
      <c r="H533" s="18">
        <v>16216.31</v>
      </c>
      <c r="I533" s="18"/>
      <c r="J533" s="18"/>
      <c r="K533" s="18"/>
      <c r="L533" s="88">
        <f>SUM(F533:K533)</f>
        <v>16852.059999999998</v>
      </c>
      <c r="M533" s="8"/>
      <c r="N533" s="266"/>
    </row>
    <row r="534" spans="1:14" s="3" customFormat="1" ht="12.2" customHeight="1" thickTop="1" x14ac:dyDescent="0.15">
      <c r="A534" s="139" t="s">
        <v>67</v>
      </c>
      <c r="B534" s="107">
        <v>21</v>
      </c>
      <c r="C534" s="107">
        <v>12</v>
      </c>
      <c r="D534" s="158" t="s">
        <v>432</v>
      </c>
      <c r="E534" s="107"/>
      <c r="F534" s="89">
        <f>SUM(F531:F533)</f>
        <v>1590</v>
      </c>
      <c r="G534" s="89">
        <f t="shared" ref="G534:L534" si="38">SUM(G531:G533)</f>
        <v>121.63000000000001</v>
      </c>
      <c r="H534" s="89">
        <f t="shared" si="38"/>
        <v>43659.299999999996</v>
      </c>
      <c r="I534" s="89">
        <f t="shared" si="38"/>
        <v>0</v>
      </c>
      <c r="J534" s="89">
        <f t="shared" si="38"/>
        <v>0</v>
      </c>
      <c r="K534" s="89">
        <f t="shared" si="38"/>
        <v>0</v>
      </c>
      <c r="L534" s="89">
        <f t="shared" si="38"/>
        <v>45370.929999999993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516.69000000000005</v>
      </c>
      <c r="I536" s="18"/>
      <c r="J536" s="18"/>
      <c r="K536" s="18"/>
      <c r="L536" s="88">
        <f>SUM(F536:K536)</f>
        <v>516.69000000000005</v>
      </c>
      <c r="M536" s="8"/>
      <c r="N536" s="266"/>
    </row>
    <row r="537" spans="1:14" s="3" customFormat="1" ht="12.2" customHeight="1" x14ac:dyDescent="0.15">
      <c r="A537" s="22" t="s">
        <v>634</v>
      </c>
      <c r="B537" s="105">
        <v>21</v>
      </c>
      <c r="C537" s="105">
        <v>14</v>
      </c>
      <c r="D537" s="2" t="s">
        <v>432</v>
      </c>
      <c r="E537" s="105"/>
      <c r="F537" s="18"/>
      <c r="G537" s="18"/>
      <c r="H537" s="18">
        <v>430.57</v>
      </c>
      <c r="I537" s="18"/>
      <c r="J537" s="18"/>
      <c r="K537" s="18"/>
      <c r="L537" s="88">
        <f>SUM(F537:K537)</f>
        <v>430.57</v>
      </c>
      <c r="M537" s="8"/>
      <c r="N537" s="266"/>
    </row>
    <row r="538" spans="1:14" s="3" customFormat="1" ht="12.2" customHeight="1" thickBot="1" x14ac:dyDescent="0.2">
      <c r="A538" s="22" t="s">
        <v>635</v>
      </c>
      <c r="B538" s="105">
        <v>21</v>
      </c>
      <c r="C538" s="105">
        <v>15</v>
      </c>
      <c r="D538" s="2" t="s">
        <v>432</v>
      </c>
      <c r="E538" s="105"/>
      <c r="F538" s="18"/>
      <c r="G538" s="18"/>
      <c r="H538" s="18">
        <v>559.74</v>
      </c>
      <c r="I538" s="18"/>
      <c r="J538" s="18"/>
      <c r="K538" s="18"/>
      <c r="L538" s="88">
        <f>SUM(F538:K538)</f>
        <v>559.74</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1507</v>
      </c>
      <c r="I539" s="89">
        <f t="shared" si="39"/>
        <v>0</v>
      </c>
      <c r="J539" s="89">
        <f t="shared" si="39"/>
        <v>0</v>
      </c>
      <c r="K539" s="89">
        <f t="shared" si="39"/>
        <v>0</v>
      </c>
      <c r="L539" s="89">
        <f t="shared" si="39"/>
        <v>1507</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1443.82</v>
      </c>
      <c r="I543" s="18"/>
      <c r="J543" s="18"/>
      <c r="K543" s="18"/>
      <c r="L543" s="88">
        <f>SUM(F543:K543)</f>
        <v>1443.82</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1443.82</v>
      </c>
      <c r="I544" s="193">
        <f t="shared" si="40"/>
        <v>0</v>
      </c>
      <c r="J544" s="193">
        <f t="shared" si="40"/>
        <v>0</v>
      </c>
      <c r="K544" s="193">
        <f t="shared" si="40"/>
        <v>0</v>
      </c>
      <c r="L544" s="193">
        <f t="shared" si="40"/>
        <v>1443.82</v>
      </c>
      <c r="M544" s="8"/>
      <c r="N544" s="266"/>
    </row>
    <row r="545" spans="1:14" s="3" customFormat="1" ht="12.2" customHeight="1" thickTop="1" x14ac:dyDescent="0.15">
      <c r="A545" s="98" t="s">
        <v>72</v>
      </c>
      <c r="B545" s="107">
        <v>21</v>
      </c>
      <c r="C545" s="107">
        <v>21</v>
      </c>
      <c r="D545" s="158" t="s">
        <v>432</v>
      </c>
      <c r="E545" s="107"/>
      <c r="F545" s="89">
        <f>F524+F529+F534+F539+F544</f>
        <v>2355.62</v>
      </c>
      <c r="G545" s="89">
        <f t="shared" ref="G545:L545" si="41">G524+G529+G534+G539+G544</f>
        <v>193.18</v>
      </c>
      <c r="H545" s="89">
        <f t="shared" si="41"/>
        <v>308446.10000000003</v>
      </c>
      <c r="I545" s="89">
        <f t="shared" si="41"/>
        <v>265.43</v>
      </c>
      <c r="J545" s="89">
        <f t="shared" si="41"/>
        <v>200</v>
      </c>
      <c r="K545" s="89">
        <f t="shared" si="41"/>
        <v>0</v>
      </c>
      <c r="L545" s="89">
        <f t="shared" si="41"/>
        <v>311460.33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98273.01</v>
      </c>
      <c r="G549" s="87">
        <f>L526</f>
        <v>35937.980000000003</v>
      </c>
      <c r="H549" s="87">
        <f>L531</f>
        <v>15555.75</v>
      </c>
      <c r="I549" s="87">
        <f>L536</f>
        <v>516.69000000000005</v>
      </c>
      <c r="J549" s="87">
        <f>L541</f>
        <v>0</v>
      </c>
      <c r="K549" s="87">
        <f>SUM(F549:J549)</f>
        <v>150283.43</v>
      </c>
      <c r="L549" s="24" t="s">
        <v>288</v>
      </c>
      <c r="M549" s="8"/>
      <c r="N549" s="266"/>
    </row>
    <row r="550" spans="1:14" s="3" customFormat="1" ht="12.2" customHeight="1" x14ac:dyDescent="0.15">
      <c r="A550" s="22" t="s">
        <v>634</v>
      </c>
      <c r="B550" s="75">
        <v>21</v>
      </c>
      <c r="C550" s="75">
        <v>23</v>
      </c>
      <c r="D550" s="2" t="s">
        <v>432</v>
      </c>
      <c r="E550" s="75"/>
      <c r="F550" s="87">
        <f>L522</f>
        <v>2013.27</v>
      </c>
      <c r="G550" s="87">
        <f>L527</f>
        <v>0</v>
      </c>
      <c r="H550" s="87">
        <f>L532</f>
        <v>12963.119999999999</v>
      </c>
      <c r="I550" s="87">
        <f>L537</f>
        <v>430.57</v>
      </c>
      <c r="J550" s="87">
        <f>L542</f>
        <v>0</v>
      </c>
      <c r="K550" s="87">
        <f>SUM(F550:J550)</f>
        <v>15406.96</v>
      </c>
      <c r="L550" s="24" t="s">
        <v>288</v>
      </c>
      <c r="M550" s="8"/>
      <c r="N550" s="266"/>
    </row>
    <row r="551" spans="1:14" s="3" customFormat="1" ht="12.2" customHeight="1" thickBot="1" x14ac:dyDescent="0.2">
      <c r="A551" s="22" t="s">
        <v>635</v>
      </c>
      <c r="B551" s="75">
        <v>21</v>
      </c>
      <c r="C551" s="75">
        <v>24</v>
      </c>
      <c r="D551" s="2" t="s">
        <v>432</v>
      </c>
      <c r="E551" s="75"/>
      <c r="F551" s="87">
        <f>L523</f>
        <v>126914.32</v>
      </c>
      <c r="G551" s="87">
        <f>L528</f>
        <v>0</v>
      </c>
      <c r="H551" s="87">
        <f>L533</f>
        <v>16852.059999999998</v>
      </c>
      <c r="I551" s="87">
        <f>L538</f>
        <v>559.74</v>
      </c>
      <c r="J551" s="87">
        <f>L543</f>
        <v>1443.82</v>
      </c>
      <c r="K551" s="87">
        <f>SUM(F551:J551)</f>
        <v>145769.94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227200.6</v>
      </c>
      <c r="G552" s="89">
        <f t="shared" si="42"/>
        <v>35937.980000000003</v>
      </c>
      <c r="H552" s="89">
        <f t="shared" si="42"/>
        <v>45370.929999999993</v>
      </c>
      <c r="I552" s="89">
        <f t="shared" si="42"/>
        <v>1507</v>
      </c>
      <c r="J552" s="89">
        <f t="shared" si="42"/>
        <v>1443.82</v>
      </c>
      <c r="K552" s="89">
        <f t="shared" si="42"/>
        <v>311460.32999999996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v>748</v>
      </c>
      <c r="J557" s="18"/>
      <c r="K557" s="18"/>
      <c r="L557" s="88">
        <f>SUM(F557:K557)</f>
        <v>748</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748</v>
      </c>
      <c r="J560" s="108">
        <f t="shared" si="43"/>
        <v>0</v>
      </c>
      <c r="K560" s="108">
        <f t="shared" si="43"/>
        <v>0</v>
      </c>
      <c r="L560" s="89">
        <f t="shared" si="43"/>
        <v>748</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748</v>
      </c>
      <c r="J571" s="89">
        <f t="shared" si="46"/>
        <v>0</v>
      </c>
      <c r="K571" s="89">
        <f t="shared" si="46"/>
        <v>0</v>
      </c>
      <c r="L571" s="89">
        <f t="shared" si="46"/>
        <v>748</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148497.82</v>
      </c>
      <c r="G575" s="18">
        <v>144398.53</v>
      </c>
      <c r="H575" s="18">
        <v>216480.65</v>
      </c>
      <c r="I575" s="87">
        <f>SUM(F575:H575)</f>
        <v>509377</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96947.25</v>
      </c>
      <c r="G579" s="18"/>
      <c r="H579" s="18"/>
      <c r="I579" s="87">
        <f t="shared" si="47"/>
        <v>96947.25</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v>35528.21</v>
      </c>
      <c r="I582" s="87">
        <f t="shared" si="47"/>
        <v>35528.21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v>90696.11</v>
      </c>
      <c r="I583" s="87">
        <f t="shared" si="47"/>
        <v>90696.11</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17268.16-H595-H597</f>
        <v>14093.16</v>
      </c>
      <c r="I591" s="18">
        <v>11744.29</v>
      </c>
      <c r="J591" s="18">
        <f>18107.79-J592</f>
        <v>16663.97</v>
      </c>
      <c r="K591" s="104">
        <f t="shared" ref="K591:K597" si="48">SUM(H591:J591)</f>
        <v>42501.42</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v>1443.82</v>
      </c>
      <c r="K592" s="104">
        <f t="shared" si="48"/>
        <v>1443.82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25</v>
      </c>
      <c r="I595" s="18"/>
      <c r="J595" s="18"/>
      <c r="K595" s="104">
        <f t="shared" si="48"/>
        <v>25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3150</v>
      </c>
      <c r="I597" s="18"/>
      <c r="J597" s="18"/>
      <c r="K597" s="104">
        <f t="shared" si="48"/>
        <v>3150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17268.16</v>
      </c>
      <c r="I598" s="108">
        <f>SUM(I591:I597)</f>
        <v>11744.29</v>
      </c>
      <c r="J598" s="108">
        <f>SUM(J591:J597)</f>
        <v>18107.79</v>
      </c>
      <c r="K598" s="108">
        <f>SUM(K591:K597)</f>
        <v>47120.24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3337.53</v>
      </c>
      <c r="I604" s="18"/>
      <c r="J604" s="18"/>
      <c r="K604" s="104">
        <f>SUM(H604:J604)</f>
        <v>3337.53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3337.53</v>
      </c>
      <c r="I605" s="108">
        <f>SUM(I602:I604)</f>
        <v>0</v>
      </c>
      <c r="J605" s="108">
        <f>SUM(J602:J604)</f>
        <v>0</v>
      </c>
      <c r="K605" s="108">
        <f>SUM(K602:K604)</f>
        <v>3337.53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132776.28</v>
      </c>
      <c r="H617" s="109">
        <f>SUM(F52)</f>
        <v>132776.28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13961.42</v>
      </c>
      <c r="H619" s="109">
        <f>SUM(H52)</f>
        <v>13961.42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214898.43</v>
      </c>
      <c r="H621" s="109">
        <f>SUM(J52)</f>
        <v>214898.43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56236.160000000003</v>
      </c>
      <c r="H622" s="109">
        <f>F476</f>
        <v>56236.159999999916</v>
      </c>
      <c r="I622" s="121" t="s">
        <v>101</v>
      </c>
      <c r="J622" s="109">
        <f t="shared" ref="J622:J655" si="50">G622-H622</f>
        <v>8.7311491370201111E-11</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164898.43</v>
      </c>
      <c r="H626" s="109">
        <f>J476</f>
        <v>164898.43</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1051565.6700000002</v>
      </c>
      <c r="H627" s="104">
        <f>SUM(F468)</f>
        <v>1051565.67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26446.9</v>
      </c>
      <c r="H629" s="104">
        <f>SUM(H468)</f>
        <v>26446.9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740.08</v>
      </c>
      <c r="H631" s="104">
        <f>SUM(J468)</f>
        <v>740.08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1101944.5099999998</v>
      </c>
      <c r="H632" s="104">
        <f>SUM(F472)</f>
        <v>1101944.51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26446.9</v>
      </c>
      <c r="H633" s="104">
        <f>SUM(H472)</f>
        <v>26446.9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740.07999999999993</v>
      </c>
      <c r="H637" s="164">
        <f>SUM(J468)</f>
        <v>740.08</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55862.7</v>
      </c>
      <c r="H638" s="164">
        <f>SUM(J472)</f>
        <v>55862.7</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135853.41</v>
      </c>
      <c r="H639" s="104">
        <f>SUM(F461)</f>
        <v>135853.41</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79045.02</v>
      </c>
      <c r="H640" s="104">
        <f>SUM(G461)</f>
        <v>79045.02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214898.43</v>
      </c>
      <c r="H642" s="104">
        <f>SUM(I461)</f>
        <v>214898.43</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740.08</v>
      </c>
      <c r="H644" s="104">
        <f>H408</f>
        <v>740.07999999999993</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740.08</v>
      </c>
      <c r="H646" s="104">
        <f>L408</f>
        <v>740.07999999999993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47120.24</v>
      </c>
      <c r="H647" s="104">
        <f>L208+L226+L244</f>
        <v>47120.240000000005</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3337.53</v>
      </c>
      <c r="H648" s="104">
        <f>(J257+J338)-(J255+J336)</f>
        <v>3337.5300000000061</v>
      </c>
      <c r="I648" s="140" t="s">
        <v>699</v>
      </c>
      <c r="J648" s="109">
        <f t="shared" si="50"/>
        <v>-5.9117155615240335E-12</v>
      </c>
      <c r="K648" s="85"/>
      <c r="L648" s="88"/>
      <c r="M648" s="8"/>
    </row>
    <row r="649" spans="1:13" s="3" customFormat="1" ht="12.2" customHeight="1" x14ac:dyDescent="0.15">
      <c r="A649" s="22"/>
      <c r="B649" s="105"/>
      <c r="C649" s="105"/>
      <c r="D649" s="105"/>
      <c r="E649" s="105"/>
      <c r="F649" s="120" t="s">
        <v>387</v>
      </c>
      <c r="G649" s="109">
        <f>L208</f>
        <v>17268.16</v>
      </c>
      <c r="H649" s="104">
        <f>H598</f>
        <v>17268.16</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11744.29</v>
      </c>
      <c r="H650" s="104">
        <f>I598</f>
        <v>11744.29</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18107.79</v>
      </c>
      <c r="H651" s="104">
        <f>J598</f>
        <v>18107.79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518850.64</v>
      </c>
      <c r="G660" s="19">
        <f>(L229+L309+L359)</f>
        <v>171745.18</v>
      </c>
      <c r="H660" s="19">
        <f>(L247+L328+L360)</f>
        <v>379168.58999999997</v>
      </c>
      <c r="I660" s="19">
        <f>SUM(F660:H660)</f>
        <v>1069764.4100000001</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17268.16</v>
      </c>
      <c r="G662" s="19">
        <f>(L226+L306)-(J226+J306)</f>
        <v>11744.29</v>
      </c>
      <c r="H662" s="19">
        <f>(L244+L325)-(J244+J325)</f>
        <v>18107.79</v>
      </c>
      <c r="I662" s="19">
        <f>SUM(F662:H662)</f>
        <v>47120.240000000005</v>
      </c>
      <c r="J662"/>
      <c r="K662" s="13"/>
      <c r="L662" s="13"/>
      <c r="M662" s="8"/>
    </row>
    <row r="663" spans="1:13" s="3" customFormat="1" ht="12.2" customHeight="1" x14ac:dyDescent="0.15">
      <c r="A663" s="198" t="s">
        <v>129</v>
      </c>
      <c r="B663" s="169"/>
      <c r="C663" s="169"/>
      <c r="D663" s="169"/>
      <c r="E663" s="169"/>
      <c r="F663" s="199">
        <f>SUM(F575:F587)+SUM(H602:H604)+SUM(L611)</f>
        <v>248782.6</v>
      </c>
      <c r="G663" s="199">
        <f>SUM(G575:G587)+SUM(I602:I604)+L612</f>
        <v>144398.53</v>
      </c>
      <c r="H663" s="199">
        <f>SUM(H575:H587)+SUM(J602:J604)+L613</f>
        <v>342704.97</v>
      </c>
      <c r="I663" s="19">
        <f>SUM(F663:H663)</f>
        <v>735886.1</v>
      </c>
      <c r="J663" s="13"/>
      <c r="K663" s="13"/>
      <c r="L663" s="13"/>
      <c r="M663" s="9"/>
    </row>
    <row r="664" spans="1:13" s="3" customFormat="1" ht="12.2" customHeight="1" x14ac:dyDescent="0.15">
      <c r="A664" s="1" t="s">
        <v>130</v>
      </c>
      <c r="F664" s="19">
        <f>F660-SUM(F661:F663)</f>
        <v>252799.88</v>
      </c>
      <c r="G664" s="19">
        <f>G660-SUM(G661:G663)</f>
        <v>15602.359999999986</v>
      </c>
      <c r="H664" s="19">
        <f>H660-SUM(H661:H663)</f>
        <v>18355.830000000016</v>
      </c>
      <c r="I664" s="19">
        <f>I660-SUM(I661:I663)</f>
        <v>286758.07000000018</v>
      </c>
      <c r="J664" s="13"/>
      <c r="K664" s="13"/>
      <c r="L664" s="13"/>
      <c r="M664" s="9"/>
    </row>
    <row r="665" spans="1:13" s="3" customFormat="1" ht="12.2" customHeight="1" x14ac:dyDescent="0.2">
      <c r="A665" s="1" t="s">
        <v>131</v>
      </c>
      <c r="F665" s="246">
        <v>22.07</v>
      </c>
      <c r="G665" s="247"/>
      <c r="H665" s="247"/>
      <c r="I665" s="19">
        <f>SUM(F665:H665)</f>
        <v>22.07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11454.46</v>
      </c>
      <c r="G667" s="19" t="e">
        <f>ROUND(G664/G665,2)</f>
        <v>#DIV/0!</v>
      </c>
      <c r="H667" s="19" t="e">
        <f>ROUND(H664/H665,2)</f>
        <v>#DIV/0!</v>
      </c>
      <c r="I667" s="19">
        <f>ROUND(I664/I665,2)</f>
        <v>12993.12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-15602.36</v>
      </c>
      <c r="H669" s="18">
        <v>-18355.830000000002</v>
      </c>
      <c r="I669" s="19">
        <f>SUM(F669:H669)</f>
        <v>-33958.19</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11454.46</v>
      </c>
      <c r="G672" s="19" t="e">
        <f>ROUND((G664+G669)/(G665+G670),2)</f>
        <v>#DIV/0!</v>
      </c>
      <c r="H672" s="19" t="e">
        <f>ROUND((H664+H669)/(H665+H670),2)</f>
        <v>#DIV/0!</v>
      </c>
      <c r="I672" s="19">
        <f>ROUND((I664+I669)/(I665+I670),2)</f>
        <v>11454.46</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U1" sqref="U1:U104857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LANDAFF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110613.51</v>
      </c>
      <c r="C9" s="229">
        <f>'DOE25'!G197+'DOE25'!G215+'DOE25'!G233+'DOE25'!G276+'DOE25'!G295+'DOE25'!G314</f>
        <v>26773.65</v>
      </c>
    </row>
    <row r="10" spans="1:3" x14ac:dyDescent="0.2">
      <c r="A10" t="s">
        <v>775</v>
      </c>
      <c r="B10" s="240">
        <v>82339.47</v>
      </c>
      <c r="C10" s="240">
        <f>26773.65-1959.28-203.68</f>
        <v>24610.690000000002</v>
      </c>
    </row>
    <row r="11" spans="1:3" x14ac:dyDescent="0.2">
      <c r="A11" t="s">
        <v>776</v>
      </c>
      <c r="B11" s="240">
        <v>25611.54</v>
      </c>
      <c r="C11" s="240">
        <v>1959.28</v>
      </c>
    </row>
    <row r="12" spans="1:3" x14ac:dyDescent="0.2">
      <c r="A12" t="s">
        <v>777</v>
      </c>
      <c r="B12" s="240">
        <v>2662.5</v>
      </c>
      <c r="C12" s="240">
        <v>203.68</v>
      </c>
    </row>
    <row r="13" spans="1:3" x14ac:dyDescent="0.2">
      <c r="A13" t="str">
        <f>IF(B9=B13,IF(C9=C13,"Check Total OK","Check Total Error"),"Check Total Error")</f>
        <v>Check Total OK</v>
      </c>
      <c r="B13" s="231">
        <f>SUM(B10:B12)</f>
        <v>110613.51000000001</v>
      </c>
      <c r="C13" s="231">
        <f>SUM(C10:C12)</f>
        <v>26773.65</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765.62</v>
      </c>
      <c r="C18" s="229">
        <f>'DOE25'!G198+'DOE25'!G216+'DOE25'!G234+'DOE25'!G277+'DOE25'!G296+'DOE25'!G315</f>
        <v>71.55</v>
      </c>
    </row>
    <row r="19" spans="1:3" x14ac:dyDescent="0.2">
      <c r="A19" t="s">
        <v>775</v>
      </c>
      <c r="B19" s="240">
        <v>165.62</v>
      </c>
      <c r="C19" s="240">
        <f>71.55-45.9</f>
        <v>25.65</v>
      </c>
    </row>
    <row r="20" spans="1:3" x14ac:dyDescent="0.2">
      <c r="A20" t="s">
        <v>776</v>
      </c>
      <c r="B20" s="240">
        <v>600</v>
      </c>
      <c r="C20" s="240">
        <v>45.9</v>
      </c>
    </row>
    <row r="21" spans="1:3" x14ac:dyDescent="0.2">
      <c r="A21" t="s">
        <v>777</v>
      </c>
      <c r="B21" s="240"/>
      <c r="C21" s="240"/>
    </row>
    <row r="22" spans="1:3" x14ac:dyDescent="0.2">
      <c r="A22" t="str">
        <f>IF(B18=B22,IF(C18=C22,"Check Total OK","Check Total Error"),"Check Total Error")</f>
        <v>Check Total OK</v>
      </c>
      <c r="B22" s="231">
        <f>SUM(B19:B21)</f>
        <v>765.62</v>
      </c>
      <c r="C22" s="231">
        <f>SUM(C19:C21)</f>
        <v>71.55</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U1" sqref="U1:U1048576"/>
      <selection pane="bottomLeft" activeCell="D9" sqref="D9"/>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LANDAFF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878981.17999999993</v>
      </c>
      <c r="D5" s="20">
        <f>SUM('DOE25'!L197:L200)+SUM('DOE25'!L215:L218)+SUM('DOE25'!L233:L236)-F5-G5-H5</f>
        <v>878781.17999999993</v>
      </c>
      <c r="E5" s="243"/>
      <c r="F5" s="244"/>
      <c r="G5" s="53">
        <f>SUM('DOE25'!J197:J200)+SUM('DOE25'!J215:J218)+SUM('DOE25'!J233:J236)</f>
        <v>200</v>
      </c>
      <c r="H5" s="53">
        <f>SUM('DOE25'!K197:K200)+SUM('DOE25'!K215:K218)+SUM('DOE25'!K233:K236)</f>
        <v>0</v>
      </c>
      <c r="I5" s="256"/>
    </row>
    <row r="6" spans="1:9" x14ac:dyDescent="0.2">
      <c r="A6" s="32">
        <v>2100</v>
      </c>
      <c r="B6" t="s">
        <v>796</v>
      </c>
      <c r="C6" s="276">
        <f t="shared" si="0"/>
        <v>39469.490000000005</v>
      </c>
      <c r="D6" s="20">
        <f>'DOE25'!L202+'DOE25'!L220+'DOE25'!L238-F6-G6-H6</f>
        <v>39469.490000000005</v>
      </c>
      <c r="E6" s="243"/>
      <c r="F6" s="244"/>
      <c r="G6" s="53">
        <f>'DOE25'!J202+'DOE25'!J220+'DOE25'!J238</f>
        <v>0</v>
      </c>
      <c r="H6" s="53">
        <f>'DOE25'!K202+'DOE25'!K220+'DOE25'!K238</f>
        <v>0</v>
      </c>
      <c r="I6" s="256"/>
    </row>
    <row r="7" spans="1:9" x14ac:dyDescent="0.2">
      <c r="A7" s="32">
        <v>2200</v>
      </c>
      <c r="B7" t="s">
        <v>821</v>
      </c>
      <c r="C7" s="276">
        <f t="shared" si="0"/>
        <v>296.89</v>
      </c>
      <c r="D7" s="20">
        <f>'DOE25'!L203+'DOE25'!L221+'DOE25'!L239-F7-G7-H7</f>
        <v>296.89</v>
      </c>
      <c r="E7" s="243"/>
      <c r="F7" s="244"/>
      <c r="G7" s="53">
        <f>'DOE25'!J203+'DOE25'!J221+'DOE25'!J239</f>
        <v>0</v>
      </c>
      <c r="H7" s="53">
        <f>'DOE25'!K203+'DOE25'!K221+'DOE25'!K239</f>
        <v>0</v>
      </c>
      <c r="I7" s="256"/>
    </row>
    <row r="8" spans="1:9" x14ac:dyDescent="0.2">
      <c r="A8" s="32">
        <v>2300</v>
      </c>
      <c r="B8" t="s">
        <v>797</v>
      </c>
      <c r="C8" s="276">
        <f t="shared" si="0"/>
        <v>20364.430000000008</v>
      </c>
      <c r="D8" s="243"/>
      <c r="E8" s="20">
        <f>'DOE25'!L204+'DOE25'!L222+'DOE25'!L240-F8-G8-H8-D9-D11</f>
        <v>20364.430000000008</v>
      </c>
      <c r="F8" s="244"/>
      <c r="G8" s="53">
        <f>'DOE25'!J204+'DOE25'!J222+'DOE25'!J240</f>
        <v>0</v>
      </c>
      <c r="H8" s="53">
        <f>'DOE25'!K204+'DOE25'!K222+'DOE25'!K240</f>
        <v>0</v>
      </c>
      <c r="I8" s="256"/>
    </row>
    <row r="9" spans="1:9" ht="14.25" x14ac:dyDescent="0.2">
      <c r="A9" s="32">
        <v>2310</v>
      </c>
      <c r="B9" s="185" t="s">
        <v>890</v>
      </c>
      <c r="C9" s="276">
        <f t="shared" si="0"/>
        <v>18641.84</v>
      </c>
      <c r="D9" s="244">
        <v>18641.84</v>
      </c>
      <c r="E9" s="243"/>
      <c r="F9" s="253"/>
      <c r="G9" s="253"/>
      <c r="H9" s="253"/>
      <c r="I9" s="256"/>
    </row>
    <row r="10" spans="1:9" ht="14.25" x14ac:dyDescent="0.2">
      <c r="A10" s="32">
        <v>2317</v>
      </c>
      <c r="B10" s="185" t="s">
        <v>891</v>
      </c>
      <c r="C10" s="276">
        <f t="shared" si="0"/>
        <v>7401</v>
      </c>
      <c r="D10" s="243"/>
      <c r="E10" s="244">
        <v>7401</v>
      </c>
      <c r="F10" s="253"/>
      <c r="G10" s="253"/>
      <c r="H10" s="253"/>
      <c r="I10" s="256"/>
    </row>
    <row r="11" spans="1:9" ht="14.25" x14ac:dyDescent="0.2">
      <c r="A11" s="32">
        <v>2321</v>
      </c>
      <c r="B11" s="185" t="s">
        <v>892</v>
      </c>
      <c r="C11" s="276">
        <f t="shared" si="0"/>
        <v>8555.58</v>
      </c>
      <c r="D11" s="244">
        <v>8555.58</v>
      </c>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29887.859999999997</v>
      </c>
      <c r="D14" s="20">
        <f>'DOE25'!L207+'DOE25'!L225+'DOE25'!L243-F14-G14-H14</f>
        <v>27172.309999999998</v>
      </c>
      <c r="E14" s="243"/>
      <c r="F14" s="244"/>
      <c r="G14" s="53">
        <f>'DOE25'!J207+'DOE25'!J225+'DOE25'!J243</f>
        <v>2715.55</v>
      </c>
      <c r="H14" s="53">
        <f>'DOE25'!K207+'DOE25'!K225+'DOE25'!K243</f>
        <v>0</v>
      </c>
      <c r="I14" s="256"/>
    </row>
    <row r="15" spans="1:9" x14ac:dyDescent="0.2">
      <c r="A15" s="32">
        <v>2700</v>
      </c>
      <c r="B15" t="s">
        <v>799</v>
      </c>
      <c r="C15" s="276">
        <f t="shared" si="0"/>
        <v>47120.240000000005</v>
      </c>
      <c r="D15" s="20">
        <f>'DOE25'!L208+'DOE25'!L226+'DOE25'!L244-F15-G15-H15</f>
        <v>29618.820000000007</v>
      </c>
      <c r="E15" s="243"/>
      <c r="F15" s="244">
        <f>42501.42-25000</f>
        <v>17501.419999999998</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58627</v>
      </c>
      <c r="D22" s="243"/>
      <c r="E22" s="243"/>
      <c r="F22" s="243"/>
      <c r="G22" s="53">
        <f>'DOE25'!L255+'DOE25'!L336</f>
        <v>58627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26446.9</v>
      </c>
      <c r="D31" s="20">
        <f>'DOE25'!L290+'DOE25'!L309+'DOE25'!L328+'DOE25'!L333+'DOE25'!L334+'DOE25'!L335-F31-G31-H31</f>
        <v>24557.82</v>
      </c>
      <c r="E31" s="243"/>
      <c r="F31" s="244">
        <f>26446.9-25000</f>
        <v>1446.9000000000015</v>
      </c>
      <c r="G31" s="53">
        <f>'DOE25'!J290+'DOE25'!J309+'DOE25'!J328+'DOE25'!J333+'DOE25'!J334+'DOE25'!J335</f>
        <v>421.98</v>
      </c>
      <c r="H31" s="53">
        <f>'DOE25'!K290+'DOE25'!K309+'DOE25'!K328+'DOE25'!K333+'DOE25'!K334+'DOE25'!K335</f>
        <v>20.2</v>
      </c>
      <c r="I31" s="256"/>
    </row>
    <row r="32" spans="1:9" ht="12" thickBot="1" x14ac:dyDescent="0.25">
      <c r="C32" s="277"/>
      <c r="G32" s="251"/>
      <c r="H32" s="251"/>
      <c r="I32" s="258"/>
    </row>
    <row r="33" spans="1:9" ht="12" thickTop="1" x14ac:dyDescent="0.2">
      <c r="B33" t="s">
        <v>809</v>
      </c>
      <c r="D33" s="245">
        <f t="shared" ref="D33:I33" si="1">SUM(D5:D31)</f>
        <v>1027093.9299999998</v>
      </c>
      <c r="E33" s="245">
        <f t="shared" si="1"/>
        <v>27765.430000000008</v>
      </c>
      <c r="F33" s="245">
        <f t="shared" si="1"/>
        <v>18948.32</v>
      </c>
      <c r="G33" s="245">
        <f t="shared" si="1"/>
        <v>61964.530000000006</v>
      </c>
      <c r="H33" s="245">
        <f t="shared" si="1"/>
        <v>20.2</v>
      </c>
      <c r="I33" s="245">
        <f t="shared" si="1"/>
        <v>0</v>
      </c>
    </row>
    <row r="35" spans="1:9" ht="12" thickBot="1" x14ac:dyDescent="0.25">
      <c r="B35" s="251" t="s">
        <v>831</v>
      </c>
      <c r="D35" s="252">
        <f>E33</f>
        <v>27765.430000000008</v>
      </c>
      <c r="E35" s="248"/>
    </row>
    <row r="36" spans="1:9" ht="12" thickTop="1" x14ac:dyDescent="0.2">
      <c r="B36" t="s">
        <v>810</v>
      </c>
      <c r="D36" s="20">
        <f>D33</f>
        <v>1027093.9299999998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A29" sqref="A29"/>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LANDAFF SCHOOL DISTRICT</v>
      </c>
      <c r="B2" s="126">
        <f>'DOE25'!B2</f>
        <v>291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518850.63999999996</v>
      </c>
      <c r="G4" s="303">
        <f>'DOE25'!L211+'DOE25'!L290</f>
        <v>518850.64</v>
      </c>
      <c r="H4" s="304">
        <f>F4-G4</f>
        <v>0</v>
      </c>
      <c r="I4" s="310" t="str">
        <f>IF(H4=0,"","Does not match DOE25 page 7 and 11 Totals!!")</f>
        <v/>
      </c>
      <c r="N4"/>
    </row>
    <row r="5" spans="1:18" x14ac:dyDescent="0.2">
      <c r="A5" s="21" t="s">
        <v>1192</v>
      </c>
      <c r="B5" s="305">
        <f>IFERROR(VLOOKUP(A5,'School Tables'!$C$3:$D$368,2,FALSE),"")</f>
        <v>21410</v>
      </c>
      <c r="C5" s="297" t="str">
        <f>IFERROR(INDEX('School Tables'!$B$3:$B$368,MATCH('School Level Expenditures'!B5,'School Tables'!$D$3:$D$368,0)),"")</f>
        <v>Landaff</v>
      </c>
      <c r="D5" s="294">
        <f>458828.66+33302.67+272.41</f>
        <v>492403.73999999993</v>
      </c>
      <c r="E5" s="294">
        <v>26446.9</v>
      </c>
      <c r="F5" s="313">
        <f>D5+E5</f>
        <v>518850.63999999996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171745.18</v>
      </c>
      <c r="G24" s="303">
        <f>'DOE25'!L229+'DOE25'!L309</f>
        <v>171745.18</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171745.18</v>
      </c>
      <c r="E25" s="294"/>
      <c r="F25" s="308">
        <f>D25+E25</f>
        <v>171745.18</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379168.59</v>
      </c>
      <c r="G36" s="303">
        <f>'DOE25'!L247+'DOE25'!L328</f>
        <v>379168.58999999997</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379168.59</v>
      </c>
      <c r="E37" s="294"/>
      <c r="F37" s="308">
        <f>D37+E37</f>
        <v>379168.59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6" activePane="bottomLeft" state="frozen"/>
      <selection activeCell="U1" sqref="U1:U1048576"/>
      <selection pane="bottomLeft" activeCell="U1" sqref="U1:U104857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LANDAFF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24078.080000000002</v>
      </c>
      <c r="D8" s="95">
        <f>'DOE25'!G9</f>
        <v>0</v>
      </c>
      <c r="E8" s="95">
        <f>'DOE25'!H9</f>
        <v>0</v>
      </c>
      <c r="F8" s="95">
        <f>'DOE25'!I9</f>
        <v>0</v>
      </c>
      <c r="G8" s="95">
        <f>'DOE25'!J9</f>
        <v>214878.43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61646.77</v>
      </c>
      <c r="D11" s="95">
        <f>'DOE25'!G12</f>
        <v>0</v>
      </c>
      <c r="E11" s="95">
        <f>'DOE25'!H12</f>
        <v>0</v>
      </c>
      <c r="F11" s="95">
        <f>'DOE25'!I12</f>
        <v>0</v>
      </c>
      <c r="G11" s="95">
        <f>'DOE25'!J12</f>
        <v>0</v>
      </c>
      <c r="H11" s="124"/>
      <c r="I11" s="124"/>
    </row>
    <row r="12" spans="1:9" x14ac:dyDescent="0.2">
      <c r="A12" s="1" t="s">
        <v>143</v>
      </c>
      <c r="B12" s="6">
        <v>140</v>
      </c>
      <c r="C12" s="95">
        <f>'DOE25'!F13</f>
        <v>1090.8</v>
      </c>
      <c r="D12" s="95">
        <f>'DOE25'!G13</f>
        <v>0</v>
      </c>
      <c r="E12" s="95">
        <f>'DOE25'!H13</f>
        <v>13961.42</v>
      </c>
      <c r="F12" s="95">
        <f>'DOE25'!I13</f>
        <v>0</v>
      </c>
      <c r="G12" s="95">
        <f>'DOE25'!J13</f>
        <v>0</v>
      </c>
      <c r="H12" s="124"/>
      <c r="I12" s="124"/>
    </row>
    <row r="13" spans="1:9" x14ac:dyDescent="0.2">
      <c r="A13" s="1" t="s">
        <v>144</v>
      </c>
      <c r="B13" s="6">
        <v>150</v>
      </c>
      <c r="C13" s="95">
        <f>'DOE25'!F14</f>
        <v>45433.77</v>
      </c>
      <c r="D13" s="95">
        <f>'DOE25'!G14</f>
        <v>0</v>
      </c>
      <c r="E13" s="95">
        <f>'DOE25'!H14</f>
        <v>0</v>
      </c>
      <c r="F13" s="95">
        <f>'DOE25'!I14</f>
        <v>0</v>
      </c>
      <c r="G13" s="95">
        <f>'DOE25'!J14</f>
        <v>20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526.86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132776.28</v>
      </c>
      <c r="D18" s="41">
        <f>SUM(D8:D17)</f>
        <v>0</v>
      </c>
      <c r="E18" s="41">
        <f>SUM(E8:E17)</f>
        <v>13961.42</v>
      </c>
      <c r="F18" s="41">
        <f>SUM(F8:F17)</f>
        <v>0</v>
      </c>
      <c r="G18" s="41">
        <f>SUM(G8:G17)</f>
        <v>214898.43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11646.77</v>
      </c>
      <c r="F21" s="95">
        <f>'DOE25'!I22</f>
        <v>0</v>
      </c>
      <c r="G21" s="95">
        <f>'DOE25'!J22</f>
        <v>50000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76540.12</v>
      </c>
      <c r="D23" s="95">
        <f>'DOE25'!G24</f>
        <v>0</v>
      </c>
      <c r="E23" s="95">
        <f>'DOE25'!H24</f>
        <v>2314.65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76540.12</v>
      </c>
      <c r="D31" s="41">
        <f>SUM(D21:D30)</f>
        <v>0</v>
      </c>
      <c r="E31" s="41">
        <f>SUM(E21:E30)</f>
        <v>13961.42</v>
      </c>
      <c r="F31" s="41">
        <f>SUM(F21:F30)</f>
        <v>0</v>
      </c>
      <c r="G31" s="41">
        <f>SUM(G21:G30)</f>
        <v>50000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526.86</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164898.43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55709.3</v>
      </c>
      <c r="D49" s="24" t="s">
        <v>288</v>
      </c>
      <c r="E49" s="24" t="s">
        <v>288</v>
      </c>
      <c r="F49" s="24" t="s">
        <v>288</v>
      </c>
      <c r="G49" s="24" t="s">
        <v>288</v>
      </c>
      <c r="H49" s="124"/>
      <c r="I49" s="124"/>
    </row>
    <row r="50" spans="1:9" ht="12.75" thickTop="1" thickBot="1" x14ac:dyDescent="0.25">
      <c r="A50" s="38" t="s">
        <v>884</v>
      </c>
      <c r="B50" s="48"/>
      <c r="C50" s="41">
        <f>SUM(C34:C49)</f>
        <v>56236.160000000003</v>
      </c>
      <c r="D50" s="41">
        <f>SUM(D34:D49)</f>
        <v>0</v>
      </c>
      <c r="E50" s="41">
        <f>SUM(E34:E49)</f>
        <v>0</v>
      </c>
      <c r="F50" s="41">
        <f>SUM(F34:F49)</f>
        <v>0</v>
      </c>
      <c r="G50" s="41">
        <f>SUM(G34:G49)</f>
        <v>164898.43</v>
      </c>
      <c r="H50" s="124"/>
      <c r="I50" s="124"/>
    </row>
    <row r="51" spans="1:9" ht="12" thickTop="1" x14ac:dyDescent="0.2">
      <c r="A51" s="38" t="s">
        <v>885</v>
      </c>
      <c r="B51" s="2"/>
      <c r="C51" s="41">
        <f>C50+C31</f>
        <v>132776.28</v>
      </c>
      <c r="D51" s="41">
        <f>D50+D31</f>
        <v>0</v>
      </c>
      <c r="E51" s="41">
        <f>E50+E31</f>
        <v>13961.42</v>
      </c>
      <c r="F51" s="41">
        <f>F50+F31</f>
        <v>0</v>
      </c>
      <c r="G51" s="41">
        <f>G50+G31</f>
        <v>214898.43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600045</v>
      </c>
      <c r="D56" s="95">
        <f>'DOE25'!G60</f>
        <v>0</v>
      </c>
      <c r="E56" s="95">
        <f>'DOE25'!H60</f>
        <v>0</v>
      </c>
      <c r="F56" s="95">
        <f>'DOE25'!I60</f>
        <v>0</v>
      </c>
      <c r="G56" s="95">
        <f>'DOE25'!J60</f>
        <v>0</v>
      </c>
      <c r="H56"/>
      <c r="I56"/>
    </row>
    <row r="57" spans="1:9" x14ac:dyDescent="0.2">
      <c r="A57" s="1" t="s">
        <v>164</v>
      </c>
      <c r="B57" s="6" t="s">
        <v>165</v>
      </c>
      <c r="C57" s="95">
        <f>'DOE25'!F79</f>
        <v>11250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88.09</v>
      </c>
      <c r="D59" s="95">
        <f>'DOE25'!G96</f>
        <v>0</v>
      </c>
      <c r="E59" s="95">
        <f>'DOE25'!H96</f>
        <v>0</v>
      </c>
      <c r="F59" s="95">
        <f>'DOE25'!I96</f>
        <v>0</v>
      </c>
      <c r="G59" s="95">
        <f>'DOE25'!J96</f>
        <v>740.08</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95761.790000000008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107099.88</v>
      </c>
      <c r="D62" s="130">
        <f>SUM(D57:D61)</f>
        <v>0</v>
      </c>
      <c r="E62" s="130">
        <f>SUM(E57:E61)</f>
        <v>0</v>
      </c>
      <c r="F62" s="130">
        <f>SUM(F57:F61)</f>
        <v>0</v>
      </c>
      <c r="G62" s="130">
        <f>SUM(G57:G61)</f>
        <v>740.08</v>
      </c>
      <c r="H62"/>
      <c r="I62"/>
    </row>
    <row r="63" spans="1:9" ht="12" thickTop="1" x14ac:dyDescent="0.2">
      <c r="A63" s="29" t="s">
        <v>175</v>
      </c>
      <c r="B63" s="6"/>
      <c r="C63" s="22">
        <f>C56+C62</f>
        <v>707144.88</v>
      </c>
      <c r="D63" s="22">
        <f>D56+D62</f>
        <v>0</v>
      </c>
      <c r="E63" s="22">
        <f>E56+E62</f>
        <v>0</v>
      </c>
      <c r="F63" s="22">
        <f>F56+F62</f>
        <v>0</v>
      </c>
      <c r="G63" s="22">
        <f>G56+G62</f>
        <v>740.08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161372.03</v>
      </c>
      <c r="D66" s="24" t="s">
        <v>288</v>
      </c>
      <c r="E66" s="24" t="s">
        <v>288</v>
      </c>
      <c r="F66" s="24" t="s">
        <v>288</v>
      </c>
      <c r="G66" s="24" t="s">
        <v>288</v>
      </c>
      <c r="H66"/>
      <c r="I66"/>
    </row>
    <row r="67" spans="1:9" x14ac:dyDescent="0.2">
      <c r="A67" s="1" t="s">
        <v>770</v>
      </c>
      <c r="B67" s="6">
        <v>3112</v>
      </c>
      <c r="C67" s="95">
        <f>'DOE25'!F118</f>
        <v>105947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267319.03000000003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3300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5862.7</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9162.7000000000007</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276481.73000000004</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11423.43</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9669.15</v>
      </c>
      <c r="D88" s="95">
        <f>SUM('DOE25'!G153:G161)</f>
        <v>0</v>
      </c>
      <c r="E88" s="95">
        <f>SUM('DOE25'!H153:H161)</f>
        <v>15023.470000000001</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2407.21</v>
      </c>
      <c r="D90" s="24" t="s">
        <v>288</v>
      </c>
      <c r="E90" s="24" t="s">
        <v>288</v>
      </c>
      <c r="F90" s="24" t="s">
        <v>288</v>
      </c>
      <c r="G90" s="24" t="s">
        <v>288</v>
      </c>
    </row>
    <row r="91" spans="1:9" ht="12.75" thickTop="1" thickBot="1" x14ac:dyDescent="0.25">
      <c r="A91" s="33" t="s">
        <v>750</v>
      </c>
      <c r="C91" s="131">
        <f>SUM(C85:C90)</f>
        <v>12076.36</v>
      </c>
      <c r="D91" s="131">
        <f>SUM(D85:D90)</f>
        <v>0</v>
      </c>
      <c r="E91" s="131">
        <f>SUM(E85:E90)</f>
        <v>26446.9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55862.7</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55862.7</v>
      </c>
      <c r="D103" s="86">
        <f>SUM(D93:D102)</f>
        <v>0</v>
      </c>
      <c r="E103" s="86">
        <f>SUM(E93:E102)</f>
        <v>0</v>
      </c>
      <c r="F103" s="86">
        <f>SUM(F93:F102)</f>
        <v>0</v>
      </c>
      <c r="G103" s="86">
        <f>SUM(G93:G102)</f>
        <v>0</v>
      </c>
    </row>
    <row r="104" spans="1:7" ht="12.75" thickTop="1" thickBot="1" x14ac:dyDescent="0.25">
      <c r="A104" s="33" t="s">
        <v>761</v>
      </c>
      <c r="C104" s="86">
        <f>C63+C81+C91+C103</f>
        <v>1051565.6700000002</v>
      </c>
      <c r="D104" s="86">
        <f>D63+D81+D91+D103</f>
        <v>0</v>
      </c>
      <c r="E104" s="86">
        <f>E63+E81+E91+E103</f>
        <v>26446.9</v>
      </c>
      <c r="F104" s="86">
        <f>F63+F81+F91+F103</f>
        <v>0</v>
      </c>
      <c r="G104" s="86">
        <f>G63+G81+G103</f>
        <v>740.08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651839.75</v>
      </c>
      <c r="D109" s="24" t="s">
        <v>288</v>
      </c>
      <c r="E109" s="95">
        <f>('DOE25'!L276)+('DOE25'!L295)+('DOE25'!L314)</f>
        <v>11423.43</v>
      </c>
      <c r="F109" s="24" t="s">
        <v>288</v>
      </c>
      <c r="G109" s="24" t="s">
        <v>288</v>
      </c>
    </row>
    <row r="110" spans="1:7" x14ac:dyDescent="0.2">
      <c r="A110" t="s">
        <v>198</v>
      </c>
      <c r="B110" s="32" t="s">
        <v>199</v>
      </c>
      <c r="C110" s="95">
        <f>('DOE25'!L198)+('DOE25'!L216)+('DOE25'!L234)</f>
        <v>226393.43</v>
      </c>
      <c r="D110" s="24" t="s">
        <v>288</v>
      </c>
      <c r="E110" s="95">
        <f>('DOE25'!L277)+('DOE25'!L296)+('DOE25'!L315)</f>
        <v>807.17</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748</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878981.17999999993</v>
      </c>
      <c r="D115" s="86">
        <f>SUM(D109:D114)</f>
        <v>0</v>
      </c>
      <c r="E115" s="86">
        <f>SUM(E109:E114)</f>
        <v>12230.6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39469.490000000005</v>
      </c>
      <c r="D118" s="24" t="s">
        <v>288</v>
      </c>
      <c r="E118" s="95">
        <f>+('DOE25'!L281)+('DOE25'!L300)+('DOE25'!L319)</f>
        <v>9200</v>
      </c>
      <c r="F118" s="24" t="s">
        <v>288</v>
      </c>
      <c r="G118" s="24" t="s">
        <v>288</v>
      </c>
    </row>
    <row r="119" spans="1:7" x14ac:dyDescent="0.2">
      <c r="A119" t="s">
        <v>208</v>
      </c>
      <c r="B119" s="32" t="s">
        <v>209</v>
      </c>
      <c r="C119" s="95">
        <f>('DOE25'!L203)+('DOE25'!L221)+('DOE25'!L239)</f>
        <v>296.89</v>
      </c>
      <c r="D119" s="24" t="s">
        <v>288</v>
      </c>
      <c r="E119" s="95">
        <f>+('DOE25'!L282)+('DOE25'!L301)+('DOE25'!L320)</f>
        <v>6.81</v>
      </c>
      <c r="F119" s="24" t="s">
        <v>288</v>
      </c>
      <c r="G119" s="24" t="s">
        <v>288</v>
      </c>
    </row>
    <row r="120" spans="1:7" x14ac:dyDescent="0.2">
      <c r="A120" t="s">
        <v>210</v>
      </c>
      <c r="B120" s="32" t="s">
        <v>211</v>
      </c>
      <c r="C120" s="95">
        <f>('DOE25'!L204)+('DOE25'!L222)+('DOE25'!L240)</f>
        <v>47561.850000000006</v>
      </c>
      <c r="D120" s="24" t="s">
        <v>288</v>
      </c>
      <c r="E120" s="95">
        <f>+('DOE25'!L283)+('DOE25'!L302)+('DOE25'!L321)</f>
        <v>5009.4900000000007</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29887.859999999997</v>
      </c>
      <c r="D123" s="24" t="s">
        <v>288</v>
      </c>
      <c r="E123" s="95">
        <f>+('DOE25'!L286)+('DOE25'!L305)+('DOE25'!L324)</f>
        <v>0</v>
      </c>
      <c r="F123" s="24" t="s">
        <v>288</v>
      </c>
      <c r="G123" s="24" t="s">
        <v>288</v>
      </c>
    </row>
    <row r="124" spans="1:7" x14ac:dyDescent="0.2">
      <c r="A124" t="s">
        <v>218</v>
      </c>
      <c r="B124" s="32" t="s">
        <v>219</v>
      </c>
      <c r="C124" s="95">
        <f>('DOE25'!L208)+('DOE25'!L226)+('DOE25'!L244+'DOE25'!L254)</f>
        <v>47120.240000000005</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164336.33000000002</v>
      </c>
      <c r="D128" s="86">
        <f>SUM(D118:D127)</f>
        <v>0</v>
      </c>
      <c r="E128" s="86">
        <f>SUM(E118:E127)</f>
        <v>14216.3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58627</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55862.7</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195.04</v>
      </c>
      <c r="D138" s="24" t="s">
        <v>288</v>
      </c>
      <c r="E138" s="24" t="s">
        <v>288</v>
      </c>
      <c r="F138" s="24" t="s">
        <v>288</v>
      </c>
      <c r="G138" s="24" t="s">
        <v>288</v>
      </c>
    </row>
    <row r="139" spans="1:7" x14ac:dyDescent="0.2">
      <c r="A139" t="s">
        <v>239</v>
      </c>
      <c r="B139" s="32">
        <v>5252</v>
      </c>
      <c r="C139" s="95">
        <f>'DOE25'!L401</f>
        <v>545.04</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-740.07999999999993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58627</v>
      </c>
      <c r="D144" s="141">
        <f>SUM(D130:D143)</f>
        <v>0</v>
      </c>
      <c r="E144" s="141">
        <f>SUM(E130:E143)</f>
        <v>0</v>
      </c>
      <c r="F144" s="141">
        <f>SUM(F130:F143)</f>
        <v>0</v>
      </c>
      <c r="G144" s="141">
        <f>SUM(G130:G143)</f>
        <v>55862.7</v>
      </c>
    </row>
    <row r="145" spans="1:9" ht="12.75" thickTop="1" thickBot="1" x14ac:dyDescent="0.25">
      <c r="A145" s="33" t="s">
        <v>244</v>
      </c>
      <c r="C145" s="86">
        <f>(C115+C128+C144)</f>
        <v>1101944.51</v>
      </c>
      <c r="D145" s="86">
        <f>(D115+D128+D144)</f>
        <v>0</v>
      </c>
      <c r="E145" s="86">
        <f>(E115+E128+E144)</f>
        <v>26446.9</v>
      </c>
      <c r="F145" s="86">
        <f>(F115+F128+F144)</f>
        <v>0</v>
      </c>
      <c r="G145" s="86">
        <f>(G115+G128+G144)</f>
        <v>55862.7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U1" sqref="U1:U1048576"/>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LANDAFF SCHOOL DISTRICT</v>
      </c>
    </row>
    <row r="3" spans="1:4" x14ac:dyDescent="0.2">
      <c r="B3" s="188" t="s">
        <v>1602</v>
      </c>
    </row>
    <row r="4" spans="1:4" x14ac:dyDescent="0.2">
      <c r="B4" t="s">
        <v>61</v>
      </c>
      <c r="C4" s="179">
        <f>IF('DOE25'!F665+'DOE25'!F670=0,0,ROUND('DOE25'!F672,0))</f>
        <v>11454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11454</v>
      </c>
    </row>
    <row r="9" spans="1:4" x14ac:dyDescent="0.2">
      <c r="A9" s="187" t="s">
        <v>94</v>
      </c>
      <c r="B9" s="188" t="s">
        <v>1603</v>
      </c>
      <c r="C9" s="181" t="s">
        <v>720</v>
      </c>
      <c r="D9" s="181" t="s">
        <v>721</v>
      </c>
    </row>
    <row r="10" spans="1:4" x14ac:dyDescent="0.2">
      <c r="A10">
        <v>1100</v>
      </c>
      <c r="B10" t="s">
        <v>702</v>
      </c>
      <c r="C10" s="179">
        <f>ROUND('DOE25'!L197+'DOE25'!L215+'DOE25'!L233+'DOE25'!L276+'DOE25'!L295+'DOE25'!L314,0)</f>
        <v>663263</v>
      </c>
      <c r="D10" s="182">
        <f>ROUND((C10/$C$28)*100,1)</f>
        <v>62</v>
      </c>
    </row>
    <row r="11" spans="1:4" x14ac:dyDescent="0.2">
      <c r="A11">
        <v>1200</v>
      </c>
      <c r="B11" t="s">
        <v>703</v>
      </c>
      <c r="C11" s="179">
        <f>ROUND('DOE25'!L198+'DOE25'!L216+'DOE25'!L234+'DOE25'!L277+'DOE25'!L296+'DOE25'!L315,0)</f>
        <v>227201</v>
      </c>
      <c r="D11" s="182">
        <f>ROUND((C11/$C$28)*100,1)</f>
        <v>21.2</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748</v>
      </c>
      <c r="D13" s="182">
        <f>ROUND((C13/$C$28)*100,1)</f>
        <v>0.1</v>
      </c>
    </row>
    <row r="14" spans="1:4" x14ac:dyDescent="0.2">
      <c r="D14" s="182"/>
    </row>
    <row r="15" spans="1:4" x14ac:dyDescent="0.2">
      <c r="A15">
        <v>2100</v>
      </c>
      <c r="B15" t="s">
        <v>706</v>
      </c>
      <c r="C15" s="179">
        <f>ROUND('DOE25'!L202+'DOE25'!L220+'DOE25'!L238+'DOE25'!L281+'DOE25'!L300+'DOE25'!L319,0)</f>
        <v>48669</v>
      </c>
      <c r="D15" s="182">
        <f t="shared" ref="D15:D27" si="0">ROUND((C15/$C$28)*100,1)</f>
        <v>4.5</v>
      </c>
    </row>
    <row r="16" spans="1:4" x14ac:dyDescent="0.2">
      <c r="A16">
        <v>2200</v>
      </c>
      <c r="B16" t="s">
        <v>707</v>
      </c>
      <c r="C16" s="179">
        <f>ROUND('DOE25'!L203+'DOE25'!L221+'DOE25'!L239+'DOE25'!L282+'DOE25'!L301+'DOE25'!L320,0)</f>
        <v>304</v>
      </c>
      <c r="D16" s="182">
        <f t="shared" si="0"/>
        <v>0</v>
      </c>
    </row>
    <row r="17" spans="1:4" x14ac:dyDescent="0.2">
      <c r="A17" s="183" t="s">
        <v>723</v>
      </c>
      <c r="B17" t="s">
        <v>738</v>
      </c>
      <c r="C17" s="179">
        <f>ROUND('DOE25'!L204+'DOE25'!L209+'DOE25'!L222+'DOE25'!L227+'DOE25'!L240+'DOE25'!L245+'DOE25'!L283+'DOE25'!L288+'DOE25'!L302+'DOE25'!L307+'DOE25'!L321+'DOE25'!L326,0)</f>
        <v>52571</v>
      </c>
      <c r="D17" s="182">
        <f t="shared" si="0"/>
        <v>4.9000000000000004</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29888</v>
      </c>
      <c r="D20" s="182">
        <f t="shared" si="0"/>
        <v>2.8</v>
      </c>
    </row>
    <row r="21" spans="1:4" x14ac:dyDescent="0.2">
      <c r="A21">
        <v>2700</v>
      </c>
      <c r="B21" t="s">
        <v>710</v>
      </c>
      <c r="C21" s="179">
        <f>ROUND('DOE25'!L208+'DOE25'!L226+'DOE25'!L244+'DOE25'!L287+'DOE25'!L306+'DOE25'!L325,0)</f>
        <v>47120</v>
      </c>
      <c r="D21" s="182">
        <f t="shared" si="0"/>
        <v>4.4000000000000004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1069764</v>
      </c>
      <c r="D28" s="184">
        <f>ROUND(SUM(D10:D27),0)</f>
        <v>100</v>
      </c>
    </row>
    <row r="29" spans="1:4" x14ac:dyDescent="0.2">
      <c r="A29">
        <v>4000</v>
      </c>
      <c r="B29" t="s">
        <v>724</v>
      </c>
      <c r="C29" s="179">
        <f>ROUND('DOE25'!L255+'DOE25'!L336+'DOE25'!L374+'DOE25'!L375+'DOE25'!L376+'DOE25'!L377+'DOE25'!L378+'DOE25'!L379+'DOE25'!L380,0)</f>
        <v>58627</v>
      </c>
    </row>
    <row r="30" spans="1:4" x14ac:dyDescent="0.2">
      <c r="B30" s="187" t="s">
        <v>725</v>
      </c>
      <c r="C30" s="180">
        <f>SUM(C28:C29)</f>
        <v>1128391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600045</v>
      </c>
      <c r="D35" s="182">
        <f t="shared" ref="D35:D40" si="1">ROUND((C35/$C$41)*100,1)</f>
        <v>58.7</v>
      </c>
    </row>
    <row r="36" spans="1:4" x14ac:dyDescent="0.2">
      <c r="B36" s="185" t="s">
        <v>739</v>
      </c>
      <c r="C36" s="179">
        <f>SUM('DOE25'!F112:J112)-SUM('DOE25'!G97:G110)+('DOE25'!F174+'DOE25'!F175+'DOE25'!I174+'DOE25'!I175)-C35</f>
        <v>107839.95999999996</v>
      </c>
      <c r="D36" s="182">
        <f t="shared" si="1"/>
        <v>10.5</v>
      </c>
    </row>
    <row r="37" spans="1:4" x14ac:dyDescent="0.2">
      <c r="A37" s="183" t="s">
        <v>835</v>
      </c>
      <c r="B37" s="185" t="s">
        <v>728</v>
      </c>
      <c r="C37" s="179">
        <f>ROUND('DOE25'!F117+'DOE25'!F118,0)</f>
        <v>267319</v>
      </c>
      <c r="D37" s="182">
        <f t="shared" si="1"/>
        <v>26.1</v>
      </c>
    </row>
    <row r="38" spans="1:4" x14ac:dyDescent="0.2">
      <c r="A38" s="183" t="s">
        <v>734</v>
      </c>
      <c r="B38" s="185" t="s">
        <v>729</v>
      </c>
      <c r="C38" s="179">
        <f>ROUND(SUM('DOE25'!F140:J140)-SUM('DOE25'!F117:F119),0)</f>
        <v>9163</v>
      </c>
      <c r="D38" s="182">
        <f t="shared" si="1"/>
        <v>0.9</v>
      </c>
    </row>
    <row r="39" spans="1:4" x14ac:dyDescent="0.2">
      <c r="A39">
        <v>4000</v>
      </c>
      <c r="B39" s="185" t="s">
        <v>730</v>
      </c>
      <c r="C39" s="179">
        <f>ROUND('DOE25'!F169+'DOE25'!G169+'DOE25'!H169+'DOE25'!I169,0)</f>
        <v>38523</v>
      </c>
      <c r="D39" s="182">
        <f t="shared" si="1"/>
        <v>3.8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1022889.96</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I497" sqref="I497"/>
      <selection pane="bottomLeft" activeCell="I497" sqref="I497"/>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LANDAFF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2019-11-15T13:45:26Z</cp:lastPrinted>
  <dcterms:created xsi:type="dcterms:W3CDTF">1997-12-04T19:04:30Z</dcterms:created>
  <dcterms:modified xsi:type="dcterms:W3CDTF">2020-01-22T14:05:33Z</dcterms:modified>
</cp:coreProperties>
</file>